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2.xml" ContentType="application/vnd.openxmlformats-officedocument.spreadsheetml.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202300"/>
  <mc:AlternateContent xmlns:mc="http://schemas.openxmlformats.org/markup-compatibility/2006">
    <mc:Choice Requires="x15">
      <x15ac:absPath xmlns:x15ac="http://schemas.microsoft.com/office/spreadsheetml/2010/11/ac" url="C:\Dev\GOODE_ANALYSIS\"/>
    </mc:Choice>
  </mc:AlternateContent>
  <xr:revisionPtr revIDLastSave="0" documentId="13_ncr:1_{F0E4A55F-6611-4AED-880F-642193BA6312}" xr6:coauthVersionLast="47" xr6:coauthVersionMax="47" xr10:uidLastSave="{00000000-0000-0000-0000-000000000000}"/>
  <bookViews>
    <workbookView xWindow="-15435" yWindow="-16320" windowWidth="29040" windowHeight="16440" firstSheet="3" activeTab="8" xr2:uid="{2D356E3D-19C1-4DD5-8C22-6D8AC3819F19}"/>
  </bookViews>
  <sheets>
    <sheet name="TIPS" sheetId="5" r:id="rId1"/>
    <sheet name="$hourly" sheetId="7" r:id="rId2"/>
    <sheet name="HELPER COLUMNS" sheetId="6" r:id="rId3"/>
    <sheet name="RAW DATA" sheetId="1" r:id="rId4"/>
    <sheet name="DIST" sheetId="2" r:id="rId5"/>
    <sheet name="Holiday Calendar" sheetId="4" r:id="rId6"/>
    <sheet name="DROPDOWN LISTS" sheetId="3" r:id="rId7"/>
    <sheet name="Sheet1" sheetId="8" r:id="rId8"/>
    <sheet name="SELECTED DATA" sheetId="9" r:id="rId9"/>
  </sheets>
  <definedNames>
    <definedName name="AxAdjTIPS">_xlfn.TAKE('HELPER COLUMNS'!$H$6:$H$25,COUNT('HELPER COLUMNS'!$H$6:$H$25))</definedName>
    <definedName name="AxisAdjTIPS">TIPS!$V$39</definedName>
    <definedName name="BinArray">ROUND(_xlfn.TAKE('SELECTED DATA'!$L$4:$L$23,'SELECTED DATA'!$L$24,1),2)</definedName>
    <definedName name="BinArrDIST" localSheetId="0">_xlfn.TAKE(TIPS!$K$30:$K$48,COUNT(TIPS!$K$30:$K$48))</definedName>
    <definedName name="BinArrDIST">_xlfn.TAKE(DIST!$K$30:$K$48,COUNT(DIST!$K$30:$K$48))</definedName>
    <definedName name="BinLabDIST" localSheetId="0">_xlfn.TAKE(TIPS!$L$30:$L$48,COUNTIF(TIPS!$L$30:$L$48,"&lt;&gt;0"))</definedName>
    <definedName name="BinLabDIST">_xlfn.TAKE(DIST!$L$30:$L$48,COUNTIF(DIST!$L$30:$L$48,"&lt;&gt;0"))</definedName>
    <definedName name="BinLabels">_xlfn.TAKE('SELECTED DATA'!$M$4:$M$23,'SELECTED DATA'!$M$24,1)</definedName>
    <definedName name="BinMidDIST" localSheetId="0">_xlfn.TAKE(TIPS!$O$30:$O$48,COUNT(TIPS!$O$30:$O$48))</definedName>
    <definedName name="BinMidDIST">_xlfn.TAKE(DIST!$O$30:$O$48,COUNT(DIST!$O$30:$O$48))</definedName>
    <definedName name="BinMidTIPS">_xlfn.TAKE(TIPS!$O$30:$O$48,COUNT(TIPS!$O$30:$O$48))</definedName>
    <definedName name="DummyX" localSheetId="0">ROUND(TIPS!BinMidDIST,0)</definedName>
    <definedName name="DummyX">ROUND(BinMidDIST,0)</definedName>
    <definedName name="DummyY" localSheetId="0">IF(IF(ISNA(MATCH(TIPS!$S$14,TIPS!SalesNormDIST,0))=TRUE,TIPS!FreqDIST,TIPS!SalesNormDIST)=TIPS!$S$14,TIPS!$S$14,0)</definedName>
    <definedName name="DummyY">IF(IF(ISNA(MATCH(DIST!$S$12,SalesNormDIST,0))=TRUE,FreqDIST,SalesNormDIST)=DIST!$S$12,DIST!$S$12,0)</definedName>
    <definedName name="FilteredData">_xlfn.CHOOSECOLS(_xlfn._xlws.FILTER(RAW[],(RAW[Shift Count]&lt;&gt;0)*(_xlfn.SWITCH(Sheet1!$B$7, "Month of Year",(RAW[MONTH]=Sheet1!$B$9), "Day of Week",(RAW[DOW]=Sheet1!$B$9), "Entire Year",(RAW[Shift Count]=1))*(_xlfn.SWITCH(Sheet1!$B$11, "AM",(RAW[AM/PM]=Sheet1!$B$11), "PM",(RAW[AM/PM]=Sheet1!$B$11), "DOUBLE",(RAW[SINGLE/DODBLUBLE]="DOUBLE"), "ALL",(RAW[SINGLE/DODBLUBLE]&lt;&gt;""))))),1,2,3,4,_xlfn.SWITCH(Sheet1!$B$5, "Tips per Hour",22, "Sales per Hour",23, "Sales",5, "Hours Worked",14, "Tips",17),  21)</definedName>
    <definedName name="FilteredFrequency">_xlfn.TAKE('SELECTED DATA'!$N$4:$N$23,'SELECTED DATA'!$L$24)</definedName>
    <definedName name="FilteredNormal">_xlfn.TAKE('SELECTED DATA'!$P$4:$P$23,'SELECTED DATA'!$O$24,1)</definedName>
    <definedName name="FilteredValues">ROUND(_xlfn.CHOOSECOLS(FilteredData,5),2)</definedName>
    <definedName name="FreqDIST" localSheetId="0">_xlfn.TAKE(TIPS!$M$30:$M$48,COUNT(TIPS!$M$30:$M$48)-1)</definedName>
    <definedName name="FreqDIST">_xlfn.TAKE(DIST!$M$30:$M$48,COUNT(DIST!$M$30:$M$48)-1)</definedName>
    <definedName name="FreqNormPDIST" localSheetId="0">_xlfn.TAKE(ROUND(TIPS!$Q$30:$Q$48*100,1),COUNT(TIPS!$Q$30:$Q$48))</definedName>
    <definedName name="FreqNormPDIST">_xlfn.TAKE(ROUND(DIST!$Q$30:$Q$48*100,1),COUNT(DIST!$Q$30:$Q$48))</definedName>
    <definedName name="FreqPerDIST" localSheetId="0">ROUND(_xlfn.TAKE(TIPS!$N$30:$N$48,COUNT(TIPS!$N$30:$N$48))*100,1)&amp;"%"</definedName>
    <definedName name="FreqPerDIST">ROUND(_xlfn.TAKE(DIST!$N$30:$N$48,COUNT(DIST!$N$30:$N$48))*100,1)&amp;"%"</definedName>
    <definedName name="FreqTIPS">_xlfn.TAKE(FREQUENCY(TIPS,TIPS!BinArrDIST),TIPS!$H$36)</definedName>
    <definedName name="FrequencyPercentage">_xlfn.TAKE('SELECTED DATA'!$Q$4:$Q$23,'SELECTED DATA'!$L$24,1)</definedName>
    <definedName name="HAxisTIPS">_xlfn._xlws.SORT(_xlfn.UNIQUE(ROUND(TIPS!$X$28:$X$96,0),FALSE,TRUE),,1)</definedName>
    <definedName name="holidays" localSheetId="0">Table3[]</definedName>
    <definedName name="holidays">Table3[]</definedName>
    <definedName name="IntDIST" localSheetId="0">IF(OFFSET('DROPDOWN LISTS'!$A$1,1,MATCH(TIPS!$B$6,'DROPDOWN LISTS'!$B$1:$C$1,0),(COUNTA(_xlfn.ANCHORARRAY('DROPDOWN LISTS'!$F$2))-COUNTBLANK(_xlfn.ANCHORARRAY('DROPDOWN LISTS'!$F$2))),1)=0,"",OFFSET('DROPDOWN LISTS'!$A$1,1,MATCH(TIPS!$B$6,'DROPDOWN LISTS'!$B$1:$C$1,0),(COUNTA(_xlfn.ANCHORARRAY('DROPDOWN LISTS'!$F$2))-COUNTBLANK(_xlfn.ANCHORARRAY('DROPDOWN LISTS'!$F$2))),1))</definedName>
    <definedName name="IntDIST">IF(OFFSET('DROPDOWN LISTS'!$A$1,1,MATCH(DIST!$B$6,'DROPDOWN LISTS'!$B$1:$C$1,0),(COUNTA(_xlfn.ANCHORARRAY('DROPDOWN LISTS'!$F$2))-COUNTBLANK(_xlfn.ANCHORARRAY('DROPDOWN LISTS'!$F$2))),1)=0,"",OFFSET('DROPDOWN LISTS'!$A$1,1,MATCH(DIST!$B$6,'DROPDOWN LISTS'!$B$1:$C$1,0),(COUNTA(_xlfn.ANCHORARRAY('DROPDOWN LISTS'!$F$2))-COUNTBLANK(_xlfn.ANCHORARRAY('DROPDOWN LISTS'!$F$2))),1))</definedName>
    <definedName name="MeanTIPS">_xlfn.TAKE(TIPS!$AA$29:$AA$51,COUNT(TIPS!XFC1:XFC23),1)</definedName>
    <definedName name="MeanValTIPS">_xlfn.TAKE('HELPER COLUMNS'!$K$6:$K$626,COUNT('HELPER COLUMNS'!$K$6:$K$626))</definedName>
    <definedName name="MeanXTIPS">_xlfn.TAKE('HELPER COLUMNS'!$J$6:$J$626,COUNT('HELPER COLUMNS'!$J$6:$J$626))</definedName>
    <definedName name="NormalPercentage">_xlfn.TAKE('SELECTED DATA'!$R$4:$R$23,'SELECTED DATA'!$R$24,1)</definedName>
    <definedName name="NormalValues">ROUND(_xlfn.TAKE('SELECTED DATA'!$P$29:$P$333,'SELECTED DATA'!$M$27,1),2)</definedName>
    <definedName name="NormTIPS">_xlfn.TAKE(TIPS!$P$30:$P$48,TIPS!$H$36)</definedName>
    <definedName name="OutlierDIST" localSheetId="0">_xlfn._xlws.FILTER(_xlfn.CHOOSECOLS(_xlfn._xlws.FILTER(RAW[],(RAW[Shift Count]&lt;&gt;0)*(_xlfn.SWITCH(TIPS!$B$6, "Month of Year",(RAW[MONTH]=TIPS!#REF!), "Day of Week",(RAW[DOW]=TIPS!#REF!), "Entire Year",(RAW[Shift Count]=1))*(_xlfn.SWITCH(TIPS!$B$9, "AM",(RAW[AM/PM]=TIPS!$B$9), "PM",(RAW[AM/PM]=TIPS!$B$9), "DOUBLE",(RAW[SINGLE/DODBLUBLE]="DOUBLE"), "ALL",(RAW[MINUTES]&gt;0))))),1,2,3,4,5,21),(_xlfn.CHOOSECOLS(_xlfn.CHOOSECOLS(_xlfn._xlws.FILTER(RAW[],(RAW[Shift Count]&lt;&gt;0)*(_xlfn.SWITCH(TIPS!$B$6, "Month of Year",(RAW[MONTH]=TIPS!#REF!), "Day of Week",(RAW[DOW]=TIPS!#REF!), "Entire Year",(RAW[Shift Count]=1))*(_xlfn.SWITCH(TIPS!$B$9, "AM",(RAW[AM/PM]=TIPS!$B$9), "PM",(RAW[AM/PM]=TIPS!$B$9), "DOUBLE",(RAW[SINGLE/DODBLUBLE]="DOUBLE"), "ALL",(RAW[MINUTES]&gt;0))))),1,2,3,4,5,21),5)&lt;TIPS!$J$52)+(_xlfn.CHOOSECOLS(_xlfn.CHOOSECOLS(_xlfn._xlws.FILTER(RAW[],(RAW[Shift Count]&lt;&gt;0)*(_xlfn.SWITCH(TIPS!$B$6, "Month of Year",(RAW[MONTH]=TIPS!#REF!), "Day of Week",(RAW[DOW]=TIPS!#REF!), "Entire Year",(RAW[Shift Count]=1))*(_xlfn.SWITCH(TIPS!$B$9, "AM",(RAW[AM/PM]=TIPS!$B$9), "PM",(RAW[AM/PM]=TIPS!$B$9), "DOUBLE",(RAW[SINGLE/DODBLUBLE]="DOUBLE"), "ALL",(RAW[MINUTES]&gt;0))))),1,2,3,4,5,21),5)&gt;TIPS!F1048575))</definedName>
    <definedName name="OutlierDIST">_xlfn._xlws.FILTER(_xlfn.CHOOSECOLS(_xlfn._xlws.FILTER(RAW[],(RAW[Shift Count]&lt;&gt;0)*(_xlfn.SWITCH(DIST!$B$6, "Month of Year",(RAW[MONTH]=DIST!$B$7), "Day of Week",(RAW[DOW]=DIST!$B$7), "Entire Year",(RAW[Shift Count]=1))*(_xlfn.SWITCH(DIST!$B$9, "AM",(RAW[AM/PM]=DIST!$B$9), "PM",(RAW[AM/PM]=DIST!$B$9), "DOUBLE",(RAW[SINGLE/DODBLUBLE]="DOUBLE"), "ALL",(RAW[MINUTES]&gt;0))))),1,2,3,4,5,21),(_xlfn.CHOOSECOLS(_xlfn.CHOOSECOLS(_xlfn._xlws.FILTER(RAW[],(RAW[Shift Count]&lt;&gt;0)*(_xlfn.SWITCH(DIST!$B$6, "Month of Year",(RAW[MONTH]=DIST!$B$7), "Day of Week",(RAW[DOW]=DIST!$B$7), "Entire Year",(RAW[Shift Count]=1))*(_xlfn.SWITCH(DIST!$B$9, "AM",(RAW[AM/PM]=DIST!$B$9), "PM",(RAW[AM/PM]=DIST!$B$9), "DOUBLE",(RAW[SINGLE/DODBLUBLE]="DOUBLE"), "ALL",(RAW[MINUTES]&gt;0))))),1,2,3,4,5,21),5)&lt;DIST!$J$52)+(_xlfn.CHOOSECOLS(_xlfn.CHOOSECOLS(_xlfn._xlws.FILTER(RAW[],(RAW[Shift Count]&lt;&gt;0)*(_xlfn.SWITCH(DIST!$B$6, "Month of Year",(RAW[MONTH]=DIST!$B$7), "Day of Week",(RAW[DOW]=DIST!$B$7), "Entire Year",(RAW[Shift Count]=1))*(_xlfn.SWITCH(DIST!$B$9, "AM",(RAW[AM/PM]=DIST!$B$9), "PM",(RAW[AM/PM]=DIST!$B$9), "DOUBLE",(RAW[SINGLE/DODBLUBLE]="DOUBLE"), "ALL",(RAW[MINUTES]&gt;0))))),1,2,3,4,5,21),5)&gt;DIST!F1048575))</definedName>
    <definedName name="OutlierID">_xlfn._xlws.FILTER(FilteredData,(INDEX(FilteredData,,5)&gt;=('SELECTED DATA'!$B$8+('SELECTED DATA'!$R$27*'SELECTED DATA'!$B$27)))+(INDEX(FilteredData,,5)&lt;=('SELECTED DATA'!$B$8-('SELECTED DATA'!$R$27*'SELECTED DATA'!$B$27))))</definedName>
    <definedName name="SalesDIST" localSheetId="0">_xlfn.CHOOSECOLS(_xlfn.CHOOSECOLS(_xlfn._xlws.FILTER(RAW[],(RAW[Shift Count]&lt;&gt;0)*(_xlfn.SWITCH(TIPS!$B$6, "Month of Year",(RAW[MONTH]=TIPS!#REF!), "Day of Week",(RAW[DOW]=TIPS!#REF!), "Entire Year",(RAW[Shift Count]=1))*(_xlfn.SWITCH(TIPS!$B$9, "AM",(RAW[AM/PM]=TIPS!$B$9), "PM",(RAW[AM/PM]=TIPS!$B$9), "DOUBLE",(RAW[SINGLE/DODBLUBLE]="DOUBLE"), "ALL",(RAW[MINUTES]&gt;0))))),1,2,3,4,5,21),5)</definedName>
    <definedName name="SalesDIST">_xlfn.CHOOSECOLS(_xlfn.CHOOSECOLS(_xlfn._xlws.FILTER(RAW[],(RAW[Shift Count]&lt;&gt;0)*(_xlfn.SWITCH(DIST!$B$6, "Month of Year",(RAW[MONTH]=DIST!$B$7), "Day of Week",(RAW[DOW]=DIST!$B$7), "Entire Year",(RAW[Shift Count]=1))*(_xlfn.SWITCH(DIST!$B$9, "AM",(RAW[AM/PM]=DIST!$B$9), "PM",(RAW[AM/PM]=DIST!$B$9), "DOUBLE",(RAW[SINGLE/DODBLUBLE]="DOUBLE"), "ALL",(RAW[MINUTES]&gt;0))))),1,2,3,4,5,21),5)</definedName>
    <definedName name="SalesNormDIST" localSheetId="0">_xlfn.TAKE(TIPS!$P$30:$P$48,COUNT(TIPS!$P$30:$P$48))</definedName>
    <definedName name="SalesNormDIST">_xlfn.TAKE(DIST!$P$30:$P$48,COUNT(DIST!$P$30:$P$48))</definedName>
    <definedName name="SelDataDIST" localSheetId="0">_xlfn.CHOOSECOLS(_xlfn._xlws.FILTER(RAW[],(RAW[Shift Count]&lt;&gt;0)*(_xlfn.SWITCH(TIPS!$B$6, "Month of Year",(RAW[MONTH]=TIPS!#REF!), "Day of Week",(RAW[DOW]=TIPS!#REF!), "Entire Year",(RAW[Shift Count]=1))*(_xlfn.SWITCH(TIPS!$B$9, "AM",(RAW[AM/PM]=TIPS!$B$9), "PM",(RAW[AM/PM]=TIPS!$B$9), "DOUBLE",(RAW[SINGLE/DODBLUBLE]="DOUBLE"), "ALL",(RAW[MINUTES]&gt;0))))),1,2,3,4,5,21)</definedName>
    <definedName name="SelDataDIST">_xlfn.CHOOSECOLS(_xlfn._xlws.FILTER(RAW[],(RAW[Shift Count]&lt;&gt;0)*(_xlfn.SWITCH(DIST!$B$6, "Month of Year",(RAW[MONTH]=DIST!$B$7), "Day of Week",(RAW[DOW]=DIST!$B$7), "Entire Year",(RAW[Shift Count]=1))*(_xlfn.SWITCH(DIST!$B$9, "AM",(RAW[AM/PM]=DIST!$B$9), "PM",(RAW[AM/PM]=DIST!$B$9), "DOUBLE",(RAW[SINGLE/DODBLUBLE]="DOUBLE"), "ALL",(RAW[MINUTES]&gt;0))))),1,2,3,4,5,21)</definedName>
    <definedName name="TIPS">_xlfn.CHOOSECOLS(_xlfn._xlws.FILTER(RAW[],(RAW[Shift Count]&lt;&gt;0)*(_xlfn.SWITCH(TIPS!$B$6, "Month of Year",(RAW[MONTH]=TIPS!$B$7), "Day of Week",(RAW[DOW]=TIPS!$B$7), "Entire Year",(RAW[Shift Count]=1))*(_xlfn.SWITCH(TIPS!$B$9, "AM",(RAW[AM/PM]=TIPS!$B$9), "PM",(RAW[AM/PM]=TIPS!$B$9), "DOUBLE",(RAW[SINGLE/DODBLUBLE]="DOUBLE"), "ALL",(RAW[MINUTES]&gt;0))))),1,2,3,4,17,21)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4" i="9" l="1"/>
  <c r="X18" i="9" a="1"/>
  <c r="X18" i="9" s="1"/>
  <c r="F126" i="8" a="1"/>
  <c r="F126" i="8" s="1"/>
  <c r="F127" i="8" a="1"/>
  <c r="F127" i="8" s="1"/>
  <c r="F128" i="8" a="1"/>
  <c r="F128" i="8" s="1"/>
  <c r="E128" i="8" s="1" a="1"/>
  <c r="E128" i="8" s="1"/>
  <c r="F129" i="8" a="1"/>
  <c r="F129" i="8" s="1"/>
  <c r="F130" i="8" a="1"/>
  <c r="F130" i="8" s="1"/>
  <c r="F131" i="8" a="1"/>
  <c r="F131" i="8" s="1"/>
  <c r="F132" i="8" a="1"/>
  <c r="F132" i="8" s="1"/>
  <c r="E132" i="8" s="1" a="1"/>
  <c r="E132" i="8" s="1"/>
  <c r="F133" i="8" a="1"/>
  <c r="F133" i="8" s="1"/>
  <c r="F134" i="8" a="1"/>
  <c r="F134" i="8" s="1"/>
  <c r="F135" i="8" a="1"/>
  <c r="F135" i="8" s="1"/>
  <c r="F136" i="8" a="1"/>
  <c r="F136" i="8" s="1"/>
  <c r="E136" i="8" s="1" a="1"/>
  <c r="E136" i="8" s="1"/>
  <c r="F137" i="8" a="1"/>
  <c r="F137" i="8" s="1"/>
  <c r="F138" i="8" a="1"/>
  <c r="F138" i="8" s="1"/>
  <c r="F139" i="8" a="1"/>
  <c r="F139" i="8" s="1"/>
  <c r="F140" i="8" a="1"/>
  <c r="F140" i="8" s="1"/>
  <c r="E140" i="8" s="1" a="1"/>
  <c r="E140" i="8" s="1"/>
  <c r="F141" i="8" a="1"/>
  <c r="F141" i="8" s="1"/>
  <c r="F142" i="8" a="1"/>
  <c r="F142" i="8" s="1"/>
  <c r="F143" i="8" a="1"/>
  <c r="F143" i="8" s="1"/>
  <c r="F144" i="8" a="1"/>
  <c r="F144" i="8" s="1"/>
  <c r="E144" i="8" s="1" a="1"/>
  <c r="E144" i="8" s="1"/>
  <c r="F145" i="8" a="1"/>
  <c r="F145" i="8" s="1"/>
  <c r="F146" i="8" a="1"/>
  <c r="F146" i="8" s="1"/>
  <c r="F147" i="8" a="1"/>
  <c r="F147" i="8" s="1"/>
  <c r="F148" i="8" a="1"/>
  <c r="F148" i="8" s="1"/>
  <c r="E148" i="8" s="1" a="1"/>
  <c r="E148" i="8" s="1"/>
  <c r="F149" i="8" a="1"/>
  <c r="F149" i="8" s="1"/>
  <c r="F150" i="8" a="1"/>
  <c r="F150" i="8" s="1"/>
  <c r="F151" i="8" a="1"/>
  <c r="F151" i="8" s="1"/>
  <c r="F152" i="8" a="1"/>
  <c r="F152" i="8" s="1"/>
  <c r="E152" i="8" s="1" a="1"/>
  <c r="E152" i="8" s="1"/>
  <c r="F153" i="8" a="1"/>
  <c r="F153" i="8" s="1"/>
  <c r="F154" i="8" a="1"/>
  <c r="F154" i="8" s="1"/>
  <c r="F155" i="8" a="1"/>
  <c r="F155" i="8" s="1"/>
  <c r="F156" i="8" a="1"/>
  <c r="F156" i="8" s="1"/>
  <c r="E156" i="8" s="1" a="1"/>
  <c r="E156" i="8" s="1"/>
  <c r="F157" i="8" a="1"/>
  <c r="F157" i="8" s="1"/>
  <c r="F158" i="8" a="1"/>
  <c r="F158" i="8" s="1"/>
  <c r="F159" i="8" a="1"/>
  <c r="F159" i="8" s="1"/>
  <c r="F160" i="8" a="1"/>
  <c r="F160" i="8" s="1"/>
  <c r="E160" i="8" s="1" a="1"/>
  <c r="E160" i="8" s="1"/>
  <c r="F161" i="8" a="1"/>
  <c r="F161" i="8" s="1"/>
  <c r="F162" i="8" a="1"/>
  <c r="F162" i="8" s="1"/>
  <c r="F163" i="8" a="1"/>
  <c r="F163" i="8" s="1"/>
  <c r="F164" i="8" a="1"/>
  <c r="F164" i="8" s="1"/>
  <c r="E164" i="8" s="1" a="1"/>
  <c r="E164" i="8" s="1"/>
  <c r="F165" i="8" a="1"/>
  <c r="F165" i="8" s="1"/>
  <c r="F166" i="8" a="1"/>
  <c r="F166" i="8" s="1"/>
  <c r="F167" i="8" a="1"/>
  <c r="F167" i="8" s="1"/>
  <c r="F168" i="8" a="1"/>
  <c r="F168" i="8" s="1"/>
  <c r="E168" i="8" s="1" a="1"/>
  <c r="E168" i="8" s="1"/>
  <c r="F169" i="8" a="1"/>
  <c r="F169" i="8" s="1"/>
  <c r="F170" i="8" a="1"/>
  <c r="F170" i="8" s="1"/>
  <c r="F171" i="8" a="1"/>
  <c r="F171" i="8" s="1"/>
  <c r="F172" i="8" a="1"/>
  <c r="F172" i="8" s="1"/>
  <c r="E172" i="8" s="1" a="1"/>
  <c r="E172" i="8" s="1"/>
  <c r="F173" i="8" a="1"/>
  <c r="F173" i="8" s="1"/>
  <c r="F174" i="8" a="1"/>
  <c r="F174" i="8" s="1"/>
  <c r="F175" i="8" a="1"/>
  <c r="F175" i="8" s="1"/>
  <c r="F176" i="8" a="1"/>
  <c r="F176" i="8" s="1"/>
  <c r="E176" i="8" s="1" a="1"/>
  <c r="E176" i="8" s="1"/>
  <c r="F177" i="8" a="1"/>
  <c r="F177" i="8" s="1"/>
  <c r="F178" i="8" a="1"/>
  <c r="F178" i="8" s="1"/>
  <c r="F179" i="8" a="1"/>
  <c r="F179" i="8" s="1"/>
  <c r="F180" i="8" a="1"/>
  <c r="F180" i="8" s="1"/>
  <c r="E180" i="8" s="1" a="1"/>
  <c r="E180" i="8" s="1"/>
  <c r="F181" i="8" a="1"/>
  <c r="F181" i="8" s="1"/>
  <c r="F182" i="8" a="1"/>
  <c r="F182" i="8" s="1"/>
  <c r="F183" i="8" a="1"/>
  <c r="F183" i="8" s="1"/>
  <c r="F184" i="8" a="1"/>
  <c r="F184" i="8" s="1"/>
  <c r="E184" i="8" s="1" a="1"/>
  <c r="E184" i="8" s="1"/>
  <c r="F185" i="8" a="1"/>
  <c r="F185" i="8" s="1"/>
  <c r="F186" i="8" a="1"/>
  <c r="F186" i="8" s="1"/>
  <c r="F187" i="8" a="1"/>
  <c r="F187" i="8" s="1"/>
  <c r="F188" i="8" a="1"/>
  <c r="F188" i="8" s="1"/>
  <c r="E188" i="8" s="1" a="1"/>
  <c r="E188" i="8" s="1"/>
  <c r="F189" i="8" a="1"/>
  <c r="F189" i="8" s="1"/>
  <c r="F190" i="8" a="1"/>
  <c r="F190" i="8" s="1"/>
  <c r="F191" i="8" a="1"/>
  <c r="F191" i="8" s="1"/>
  <c r="F192" i="8" a="1"/>
  <c r="F192" i="8" s="1"/>
  <c r="E192" i="8" s="1" a="1"/>
  <c r="E192" i="8" s="1"/>
  <c r="F193" i="8" a="1"/>
  <c r="F193" i="8" s="1"/>
  <c r="F194" i="8" a="1"/>
  <c r="F194" i="8" s="1"/>
  <c r="F195" i="8" a="1"/>
  <c r="F195" i="8" s="1"/>
  <c r="F196" i="8" a="1"/>
  <c r="F196" i="8" s="1"/>
  <c r="E196" i="8" s="1" a="1"/>
  <c r="E196" i="8" s="1"/>
  <c r="F197" i="8" a="1"/>
  <c r="F197" i="8" s="1"/>
  <c r="F198" i="8" a="1"/>
  <c r="F198" i="8" s="1"/>
  <c r="F199" i="8" a="1"/>
  <c r="F199" i="8" s="1"/>
  <c r="F200" i="8" a="1"/>
  <c r="F200" i="8" s="1"/>
  <c r="E200" i="8" s="1" a="1"/>
  <c r="E200" i="8" s="1"/>
  <c r="F201" i="8" a="1"/>
  <c r="F201" i="8" s="1"/>
  <c r="F202" i="8" a="1"/>
  <c r="F202" i="8" s="1"/>
  <c r="F203" i="8" a="1"/>
  <c r="F203" i="8" s="1"/>
  <c r="F204" i="8" a="1"/>
  <c r="F204" i="8" s="1"/>
  <c r="E204" i="8" s="1" a="1"/>
  <c r="E204" i="8" s="1"/>
  <c r="F205" i="8" a="1"/>
  <c r="F205" i="8" s="1"/>
  <c r="F206" i="8" a="1"/>
  <c r="F206" i="8" s="1"/>
  <c r="E206" i="8" s="1" a="1"/>
  <c r="E206" i="8" s="1"/>
  <c r="F207" i="8" a="1"/>
  <c r="F207" i="8" s="1"/>
  <c r="F208" i="8" a="1"/>
  <c r="F208" i="8" s="1"/>
  <c r="E208" i="8" s="1" a="1"/>
  <c r="E208" i="8" s="1"/>
  <c r="F209" i="8" a="1"/>
  <c r="F209" i="8" s="1"/>
  <c r="F210" i="8" a="1"/>
  <c r="F210" i="8" s="1"/>
  <c r="E210" i="8" s="1" a="1"/>
  <c r="E210" i="8" s="1"/>
  <c r="F211" i="8" a="1"/>
  <c r="F211" i="8" s="1"/>
  <c r="F212" i="8" a="1"/>
  <c r="F212" i="8" s="1"/>
  <c r="E212" i="8" s="1" a="1"/>
  <c r="E212" i="8" s="1"/>
  <c r="F213" i="8" a="1"/>
  <c r="F213" i="8" s="1"/>
  <c r="F214" i="8" a="1"/>
  <c r="F214" i="8" s="1"/>
  <c r="F215" i="8" a="1"/>
  <c r="F215" i="8" s="1"/>
  <c r="F216" i="8" a="1"/>
  <c r="F216" i="8" s="1"/>
  <c r="F217" i="8" a="1"/>
  <c r="F217" i="8" s="1"/>
  <c r="F218" i="8" a="1"/>
  <c r="F218" i="8" s="1"/>
  <c r="E218" i="8" s="1" a="1"/>
  <c r="E218" i="8" s="1"/>
  <c r="F219" i="8" a="1"/>
  <c r="F219" i="8" s="1"/>
  <c r="F220" i="8" a="1"/>
  <c r="F220" i="8" s="1"/>
  <c r="E220" i="8" s="1" a="1"/>
  <c r="E220" i="8" s="1"/>
  <c r="F221" i="8" a="1"/>
  <c r="F221" i="8" s="1"/>
  <c r="F222" i="8" a="1"/>
  <c r="F222" i="8" s="1"/>
  <c r="E222" i="8" s="1" a="1"/>
  <c r="E222" i="8" s="1"/>
  <c r="F223" i="8" a="1"/>
  <c r="F223" i="8" s="1"/>
  <c r="F224" i="8" a="1"/>
  <c r="F224" i="8" s="1"/>
  <c r="E224" i="8" s="1" a="1"/>
  <c r="E224" i="8" s="1"/>
  <c r="F225" i="8" a="1"/>
  <c r="F225" i="8" s="1"/>
  <c r="F226" i="8" a="1"/>
  <c r="F226" i="8" s="1"/>
  <c r="E226" i="8" s="1" a="1"/>
  <c r="E226" i="8" s="1"/>
  <c r="F227" i="8" a="1"/>
  <c r="F227" i="8" s="1"/>
  <c r="F228" i="8" a="1"/>
  <c r="F228" i="8" s="1"/>
  <c r="E228" i="8" s="1" a="1"/>
  <c r="E228" i="8" s="1"/>
  <c r="F229" i="8" a="1"/>
  <c r="F229" i="8" s="1"/>
  <c r="F230" i="8" a="1"/>
  <c r="F230" i="8" s="1"/>
  <c r="F231" i="8" a="1"/>
  <c r="F231" i="8" s="1"/>
  <c r="F232" i="8" a="1"/>
  <c r="F232" i="8" s="1"/>
  <c r="F233" i="8" a="1"/>
  <c r="F233" i="8" s="1"/>
  <c r="F234" i="8" a="1"/>
  <c r="F234" i="8" s="1"/>
  <c r="E234" i="8" s="1" a="1"/>
  <c r="E234" i="8" s="1"/>
  <c r="F235" i="8" a="1"/>
  <c r="F235" i="8" s="1"/>
  <c r="F236" i="8" a="1"/>
  <c r="F236" i="8" s="1"/>
  <c r="F237" i="8" a="1"/>
  <c r="F237" i="8" s="1"/>
  <c r="F238" i="8" a="1"/>
  <c r="F238" i="8" s="1"/>
  <c r="E238" i="8" s="1" a="1"/>
  <c r="E238" i="8" s="1"/>
  <c r="F239" i="8" a="1"/>
  <c r="F239" i="8" s="1"/>
  <c r="E239" i="8" s="1" a="1"/>
  <c r="E239" i="8" s="1"/>
  <c r="F240" i="8" a="1"/>
  <c r="F240" i="8" s="1"/>
  <c r="E240" i="8" s="1" a="1"/>
  <c r="E240" i="8" s="1"/>
  <c r="F241" i="8" a="1"/>
  <c r="F241" i="8" s="1"/>
  <c r="F242" i="8" a="1"/>
  <c r="F242" i="8" s="1"/>
  <c r="E242" i="8" s="1" a="1"/>
  <c r="E242" i="8" s="1"/>
  <c r="F243" i="8" a="1"/>
  <c r="F243" i="8" s="1"/>
  <c r="F244" i="8" a="1"/>
  <c r="F244" i="8" s="1"/>
  <c r="F245" i="8" a="1"/>
  <c r="F245" i="8" s="1"/>
  <c r="F246" i="8" a="1"/>
  <c r="F246" i="8" s="1"/>
  <c r="F247" i="8" a="1"/>
  <c r="F247" i="8" s="1"/>
  <c r="E247" i="8" s="1" a="1"/>
  <c r="E247" i="8" s="1"/>
  <c r="F248" i="8" a="1"/>
  <c r="F248" i="8" s="1"/>
  <c r="F249" i="8" a="1"/>
  <c r="F249" i="8" s="1"/>
  <c r="F250" i="8" a="1"/>
  <c r="F250" i="8" s="1"/>
  <c r="E250" i="8" s="1" a="1"/>
  <c r="E250" i="8" s="1"/>
  <c r="F251" i="8" a="1"/>
  <c r="F251" i="8" s="1"/>
  <c r="F252" i="8" a="1"/>
  <c r="F252" i="8" s="1"/>
  <c r="F253" i="8" a="1"/>
  <c r="F253" i="8" s="1"/>
  <c r="F254" i="8" a="1"/>
  <c r="F254" i="8" s="1"/>
  <c r="E254" i="8" s="1" a="1"/>
  <c r="E254" i="8" s="1"/>
  <c r="F255" i="8" a="1"/>
  <c r="F255" i="8" s="1"/>
  <c r="E255" i="8" s="1" a="1"/>
  <c r="E255" i="8" s="1"/>
  <c r="F256" i="8" a="1"/>
  <c r="F256" i="8" s="1"/>
  <c r="E256" i="8" s="1" a="1"/>
  <c r="E256" i="8" s="1"/>
  <c r="F257" i="8" a="1"/>
  <c r="F257" i="8" s="1"/>
  <c r="F258" i="8" a="1"/>
  <c r="F258" i="8" s="1"/>
  <c r="F259" i="8" a="1"/>
  <c r="F259" i="8" s="1"/>
  <c r="F260" i="8" a="1"/>
  <c r="F260" i="8" s="1"/>
  <c r="F261" i="8" a="1"/>
  <c r="F261" i="8" s="1"/>
  <c r="F262" i="8" a="1"/>
  <c r="F262" i="8" s="1"/>
  <c r="F263" i="8" a="1"/>
  <c r="F263" i="8" s="1"/>
  <c r="F264" i="8" a="1"/>
  <c r="F264" i="8" s="1"/>
  <c r="E264" i="8" s="1" a="1"/>
  <c r="E264" i="8" s="1"/>
  <c r="F265" i="8" a="1"/>
  <c r="F265" i="8" s="1"/>
  <c r="F266" i="8" a="1"/>
  <c r="F266" i="8" s="1"/>
  <c r="E266" i="8" s="1" a="1"/>
  <c r="E266" i="8" s="1"/>
  <c r="F267" i="8" a="1"/>
  <c r="F267" i="8" s="1"/>
  <c r="F268" i="8" a="1"/>
  <c r="F268" i="8" s="1"/>
  <c r="E268" i="8" s="1" a="1"/>
  <c r="E268" i="8" s="1"/>
  <c r="F269" i="8" a="1"/>
  <c r="F269" i="8" s="1"/>
  <c r="F270" i="8" a="1"/>
  <c r="F270" i="8" s="1"/>
  <c r="F271" i="8" a="1"/>
  <c r="F271" i="8" s="1"/>
  <c r="F272" i="8" a="1"/>
  <c r="F272" i="8" s="1"/>
  <c r="F273" i="8" a="1"/>
  <c r="F273" i="8" s="1"/>
  <c r="F274" i="8" a="1"/>
  <c r="F274" i="8" s="1"/>
  <c r="F275" i="8" a="1"/>
  <c r="F275" i="8" s="1"/>
  <c r="F276" i="8" a="1"/>
  <c r="F276" i="8" s="1"/>
  <c r="F277" i="8" a="1"/>
  <c r="F277" i="8" s="1"/>
  <c r="F278" i="8" a="1"/>
  <c r="F278" i="8" s="1"/>
  <c r="F279" i="8" a="1"/>
  <c r="F279" i="8" s="1"/>
  <c r="F280" i="8" a="1"/>
  <c r="F280" i="8" s="1"/>
  <c r="F281" i="8" a="1"/>
  <c r="F281" i="8" s="1"/>
  <c r="F282" i="8" a="1"/>
  <c r="F282" i="8" s="1"/>
  <c r="E282" i="8" s="1" a="1"/>
  <c r="E282" i="8" s="1"/>
  <c r="F283" i="8" a="1"/>
  <c r="F283" i="8" s="1"/>
  <c r="F284" i="8" a="1"/>
  <c r="F284" i="8" s="1"/>
  <c r="E284" i="8" s="1" a="1"/>
  <c r="E284" i="8" s="1"/>
  <c r="F285" i="8" a="1"/>
  <c r="F285" i="8" s="1"/>
  <c r="F286" i="8" a="1"/>
  <c r="F286" i="8" s="1"/>
  <c r="F287" i="8" a="1"/>
  <c r="F287" i="8" s="1"/>
  <c r="F288" i="8" a="1"/>
  <c r="F288" i="8" s="1"/>
  <c r="E288" i="8" s="1" a="1"/>
  <c r="E288" i="8" s="1"/>
  <c r="F289" i="8" a="1"/>
  <c r="F289" i="8" s="1"/>
  <c r="F290" i="8" a="1"/>
  <c r="F290" i="8" s="1"/>
  <c r="F291" i="8" a="1"/>
  <c r="F291" i="8" s="1"/>
  <c r="F292" i="8" a="1"/>
  <c r="F292" i="8" s="1"/>
  <c r="F293" i="8" a="1"/>
  <c r="F293" i="8" s="1"/>
  <c r="F294" i="8" a="1"/>
  <c r="F294" i="8" s="1"/>
  <c r="F295" i="8" a="1"/>
  <c r="F295" i="8" s="1"/>
  <c r="E295" i="8" s="1" a="1"/>
  <c r="E295" i="8" s="1"/>
  <c r="F296" i="8" a="1"/>
  <c r="F296" i="8" s="1"/>
  <c r="F297" i="8" a="1"/>
  <c r="F297" i="8" s="1"/>
  <c r="F298" i="8" a="1"/>
  <c r="F298" i="8" s="1"/>
  <c r="F299" i="8" a="1"/>
  <c r="F299" i="8" s="1"/>
  <c r="F300" i="8" a="1"/>
  <c r="F300" i="8" s="1"/>
  <c r="F301" i="8" a="1"/>
  <c r="F301" i="8" s="1"/>
  <c r="F302" i="8" a="1"/>
  <c r="F302" i="8" s="1"/>
  <c r="E302" i="8" s="1" a="1"/>
  <c r="E302" i="8" s="1"/>
  <c r="F303" i="8" a="1"/>
  <c r="F303" i="8" s="1"/>
  <c r="F304" i="8" a="1"/>
  <c r="F304" i="8" s="1"/>
  <c r="E304" i="8" s="1" a="1"/>
  <c r="E304" i="8" s="1"/>
  <c r="F305" i="8" a="1"/>
  <c r="F305" i="8" s="1"/>
  <c r="F306" i="8" a="1"/>
  <c r="F306" i="8" s="1"/>
  <c r="F307" i="8" a="1"/>
  <c r="F307" i="8" s="1"/>
  <c r="F308" i="8" a="1"/>
  <c r="F308" i="8" s="1"/>
  <c r="F309" i="8" a="1"/>
  <c r="F309" i="8" s="1"/>
  <c r="F310" i="8" a="1"/>
  <c r="F310" i="8" s="1"/>
  <c r="F311" i="8" a="1"/>
  <c r="F311" i="8" s="1"/>
  <c r="F312" i="8" a="1"/>
  <c r="F312" i="8" s="1"/>
  <c r="E312" i="8" s="1" a="1"/>
  <c r="E312" i="8" s="1"/>
  <c r="F313" i="8" a="1"/>
  <c r="F313" i="8" s="1"/>
  <c r="F314" i="8" a="1"/>
  <c r="F314" i="8" s="1"/>
  <c r="F315" i="8" a="1"/>
  <c r="F315" i="8" s="1"/>
  <c r="F316" i="8" a="1"/>
  <c r="F316" i="8" s="1"/>
  <c r="E316" i="8" s="1" a="1"/>
  <c r="E316" i="8" s="1"/>
  <c r="F317" i="8" a="1"/>
  <c r="F317" i="8" s="1"/>
  <c r="F318" i="8" a="1"/>
  <c r="F318" i="8" s="1"/>
  <c r="F319" i="8" a="1"/>
  <c r="F319" i="8" s="1"/>
  <c r="F320" i="8" a="1"/>
  <c r="F320" i="8" s="1"/>
  <c r="F321" i="8" a="1"/>
  <c r="F321" i="8" s="1"/>
  <c r="F322" i="8" a="1"/>
  <c r="F322" i="8" s="1"/>
  <c r="E322" i="8" s="1" a="1"/>
  <c r="E322" i="8" s="1"/>
  <c r="F323" i="8" a="1"/>
  <c r="F323" i="8" s="1"/>
  <c r="F324" i="8" a="1"/>
  <c r="F324" i="8" s="1"/>
  <c r="E324" i="8" s="1" a="1"/>
  <c r="E324" i="8" s="1"/>
  <c r="F325" i="8" a="1"/>
  <c r="F325" i="8" s="1"/>
  <c r="F326" i="8" a="1"/>
  <c r="F326" i="8" s="1"/>
  <c r="F327" i="8" a="1"/>
  <c r="F327" i="8" s="1"/>
  <c r="F328" i="8" a="1"/>
  <c r="F328" i="8" s="1"/>
  <c r="F329" i="8" a="1"/>
  <c r="F329" i="8" s="1"/>
  <c r="F330" i="8" a="1"/>
  <c r="F330" i="8" s="1"/>
  <c r="F331" i="8" a="1"/>
  <c r="F331" i="8" s="1"/>
  <c r="F332" i="8" a="1"/>
  <c r="F332" i="8" s="1"/>
  <c r="F333" i="8" a="1"/>
  <c r="F333" i="8" s="1"/>
  <c r="F334" i="8" a="1"/>
  <c r="F334" i="8" s="1"/>
  <c r="E334" i="8" s="1" a="1"/>
  <c r="E334" i="8" s="1"/>
  <c r="F335" i="8" a="1"/>
  <c r="F335" i="8" s="1"/>
  <c r="E335" i="8" s="1" a="1"/>
  <c r="E335" i="8" s="1"/>
  <c r="E214" i="8" a="1"/>
  <c r="E214" i="8" s="1"/>
  <c r="E216" i="8" a="1"/>
  <c r="E216" i="8" s="1"/>
  <c r="E230" i="8" a="1"/>
  <c r="E230" i="8" s="1"/>
  <c r="E231" i="8" a="1"/>
  <c r="E231" i="8" s="1"/>
  <c r="E233" i="8" a="1"/>
  <c r="E233" i="8" s="1"/>
  <c r="E235" i="8" a="1"/>
  <c r="E235" i="8" s="1"/>
  <c r="E237" i="8" a="1"/>
  <c r="E237" i="8" s="1"/>
  <c r="E241" i="8" a="1"/>
  <c r="E241" i="8" s="1"/>
  <c r="E243" i="8" a="1"/>
  <c r="E243" i="8" s="1"/>
  <c r="E245" i="8" a="1"/>
  <c r="E245" i="8" s="1"/>
  <c r="E246" i="8" a="1"/>
  <c r="E246" i="8" s="1"/>
  <c r="E249" i="8" a="1"/>
  <c r="E249" i="8" s="1"/>
  <c r="E251" i="8" a="1"/>
  <c r="E251" i="8" s="1"/>
  <c r="E253" i="8" a="1"/>
  <c r="E253" i="8" s="1"/>
  <c r="E257" i="8" a="1"/>
  <c r="E257" i="8" s="1"/>
  <c r="E258" i="8" a="1"/>
  <c r="E258" i="8" s="1"/>
  <c r="E259" i="8" a="1"/>
  <c r="E259" i="8" s="1"/>
  <c r="E261" i="8" a="1"/>
  <c r="E261" i="8" s="1"/>
  <c r="E262" i="8" a="1"/>
  <c r="E262" i="8" s="1"/>
  <c r="E265" i="8" a="1"/>
  <c r="E265" i="8" s="1"/>
  <c r="E269" i="8" a="1"/>
  <c r="E269" i="8" s="1"/>
  <c r="E270" i="8" a="1"/>
  <c r="E270" i="8" s="1"/>
  <c r="E272" i="8" a="1"/>
  <c r="E272" i="8" s="1"/>
  <c r="E273" i="8" a="1"/>
  <c r="E273" i="8" s="1"/>
  <c r="E274" i="8" a="1"/>
  <c r="E274" i="8" s="1"/>
  <c r="E275" i="8" a="1"/>
  <c r="E275" i="8" s="1"/>
  <c r="E276" i="8" a="1"/>
  <c r="E276" i="8" s="1"/>
  <c r="E277" i="8" a="1"/>
  <c r="E277" i="8" s="1"/>
  <c r="E278" i="8" a="1"/>
  <c r="E278" i="8" s="1"/>
  <c r="E280" i="8" a="1"/>
  <c r="E280" i="8" s="1"/>
  <c r="E281" i="8" a="1"/>
  <c r="E281" i="8" s="1"/>
  <c r="E286" i="8" a="1"/>
  <c r="E286" i="8" s="1"/>
  <c r="E287" i="8" a="1"/>
  <c r="E287" i="8" s="1"/>
  <c r="E289" i="8" a="1"/>
  <c r="E289" i="8" s="1"/>
  <c r="E291" i="8" a="1"/>
  <c r="E291" i="8" s="1"/>
  <c r="E293" i="8" a="1"/>
  <c r="E293" i="8" s="1"/>
  <c r="E294" i="8" a="1"/>
  <c r="E294" i="8" s="1"/>
  <c r="E297" i="8" a="1"/>
  <c r="E297" i="8" s="1"/>
  <c r="E300" i="8" a="1"/>
  <c r="E300" i="8" s="1"/>
  <c r="E301" i="8" a="1"/>
  <c r="E301" i="8" s="1"/>
  <c r="E305" i="8" a="1"/>
  <c r="E305" i="8" s="1"/>
  <c r="E307" i="8" a="1"/>
  <c r="E307" i="8" s="1"/>
  <c r="E309" i="8" a="1"/>
  <c r="E309" i="8" s="1"/>
  <c r="E314" i="8" a="1"/>
  <c r="E314" i="8" s="1"/>
  <c r="E315" i="8" a="1"/>
  <c r="E315" i="8" s="1"/>
  <c r="E318" i="8" a="1"/>
  <c r="E318" i="8" s="1"/>
  <c r="E320" i="8" a="1"/>
  <c r="E320" i="8" s="1"/>
  <c r="E321" i="8" a="1"/>
  <c r="E321" i="8" s="1"/>
  <c r="E323" i="8" a="1"/>
  <c r="E323" i="8" s="1"/>
  <c r="E325" i="8" a="1"/>
  <c r="E325" i="8" s="1"/>
  <c r="E328" i="8" a="1"/>
  <c r="E329" i="8" a="1"/>
  <c r="E329" i="8" s="1"/>
  <c r="E330" i="8" a="1"/>
  <c r="E330" i="8" s="1"/>
  <c r="E331" i="8" a="1"/>
  <c r="E331" i="8" s="1"/>
  <c r="E332" i="8" a="1"/>
  <c r="E332" i="8" s="1"/>
  <c r="E126" i="8" a="1"/>
  <c r="E126" i="8" s="1"/>
  <c r="E127" i="8" a="1"/>
  <c r="E127" i="8" s="1"/>
  <c r="E129" i="8" a="1"/>
  <c r="E129" i="8" s="1"/>
  <c r="E130" i="8" a="1"/>
  <c r="E130" i="8" s="1"/>
  <c r="E131" i="8" a="1"/>
  <c r="E131" i="8" s="1"/>
  <c r="E133" i="8" a="1"/>
  <c r="E133" i="8" s="1"/>
  <c r="E134" i="8" a="1"/>
  <c r="E134" i="8" s="1"/>
  <c r="E135" i="8" a="1"/>
  <c r="E135" i="8" s="1"/>
  <c r="E137" i="8" a="1"/>
  <c r="E137" i="8" s="1"/>
  <c r="E138" i="8" a="1"/>
  <c r="E138" i="8" s="1"/>
  <c r="E139" i="8" a="1"/>
  <c r="E139" i="8" s="1"/>
  <c r="E141" i="8" a="1"/>
  <c r="E141" i="8" s="1"/>
  <c r="E142" i="8" a="1"/>
  <c r="E142" i="8" s="1"/>
  <c r="E143" i="8" a="1"/>
  <c r="E143" i="8" s="1"/>
  <c r="E145" i="8" a="1"/>
  <c r="E145" i="8" s="1"/>
  <c r="E146" i="8" a="1"/>
  <c r="E146" i="8" s="1"/>
  <c r="E147" i="8" a="1"/>
  <c r="E147" i="8" s="1"/>
  <c r="E149" i="8" a="1"/>
  <c r="E149" i="8" s="1"/>
  <c r="E150" i="8" a="1"/>
  <c r="E150" i="8" s="1"/>
  <c r="E151" i="8" a="1"/>
  <c r="E151" i="8" s="1"/>
  <c r="E153" i="8" a="1"/>
  <c r="E153" i="8" s="1"/>
  <c r="E154" i="8" a="1"/>
  <c r="E154" i="8" s="1"/>
  <c r="E155" i="8" a="1"/>
  <c r="E155" i="8" s="1"/>
  <c r="E157" i="8" a="1"/>
  <c r="E157" i="8" s="1"/>
  <c r="E158" i="8" a="1"/>
  <c r="E158" i="8" s="1"/>
  <c r="E159" i="8" a="1"/>
  <c r="E159" i="8" s="1"/>
  <c r="E161" i="8" a="1"/>
  <c r="E161" i="8" s="1"/>
  <c r="E162" i="8" a="1"/>
  <c r="E162" i="8" s="1"/>
  <c r="E163" i="8" a="1"/>
  <c r="E163" i="8" s="1"/>
  <c r="E165" i="8" a="1"/>
  <c r="E165" i="8" s="1"/>
  <c r="E166" i="8" a="1"/>
  <c r="E166" i="8" s="1"/>
  <c r="E167" i="8" a="1"/>
  <c r="E167" i="8" s="1"/>
  <c r="E169" i="8" a="1"/>
  <c r="E169" i="8" s="1"/>
  <c r="E170" i="8" a="1"/>
  <c r="E170" i="8" s="1"/>
  <c r="E171" i="8" a="1"/>
  <c r="E171" i="8" s="1"/>
  <c r="E173" i="8" a="1"/>
  <c r="E173" i="8" s="1"/>
  <c r="E174" i="8" a="1"/>
  <c r="E174" i="8" s="1"/>
  <c r="E175" i="8" a="1"/>
  <c r="E175" i="8" s="1"/>
  <c r="E177" i="8" a="1"/>
  <c r="E177" i="8" s="1"/>
  <c r="E178" i="8" a="1"/>
  <c r="E178" i="8" s="1"/>
  <c r="E179" i="8" a="1"/>
  <c r="E179" i="8" s="1"/>
  <c r="E181" i="8" a="1"/>
  <c r="E181" i="8" s="1"/>
  <c r="E182" i="8" a="1"/>
  <c r="E182" i="8" s="1"/>
  <c r="E183" i="8" a="1"/>
  <c r="E183" i="8" s="1"/>
  <c r="E185" i="8" a="1"/>
  <c r="E185" i="8" s="1"/>
  <c r="E186" i="8" a="1"/>
  <c r="E186" i="8" s="1"/>
  <c r="E187" i="8" a="1"/>
  <c r="E187" i="8" s="1"/>
  <c r="E189" i="8" a="1"/>
  <c r="E189" i="8" s="1"/>
  <c r="E190" i="8" a="1"/>
  <c r="E190" i="8" s="1"/>
  <c r="E191" i="8" a="1"/>
  <c r="E191" i="8" s="1"/>
  <c r="E193" i="8" a="1"/>
  <c r="E193" i="8" s="1"/>
  <c r="E194" i="8" a="1"/>
  <c r="E194" i="8" s="1"/>
  <c r="E195" i="8" a="1"/>
  <c r="E195" i="8" s="1"/>
  <c r="E197" i="8" a="1"/>
  <c r="E197" i="8" s="1"/>
  <c r="E198" i="8" a="1"/>
  <c r="E198" i="8" s="1"/>
  <c r="E199" i="8" a="1"/>
  <c r="E199" i="8" s="1"/>
  <c r="E201" i="8" a="1"/>
  <c r="E201" i="8" s="1"/>
  <c r="E202" i="8" a="1"/>
  <c r="E202" i="8" s="1"/>
  <c r="E203" i="8" a="1"/>
  <c r="E203" i="8" s="1"/>
  <c r="E205" i="8" a="1"/>
  <c r="E205" i="8" s="1"/>
  <c r="E207" i="8" a="1"/>
  <c r="E207" i="8" s="1"/>
  <c r="E209" i="8" a="1"/>
  <c r="E209" i="8" s="1"/>
  <c r="E211" i="8" a="1"/>
  <c r="E211" i="8" s="1"/>
  <c r="E213" i="8" a="1"/>
  <c r="E213" i="8" s="1"/>
  <c r="E215" i="8" a="1"/>
  <c r="E215" i="8" s="1"/>
  <c r="E217" i="8" a="1"/>
  <c r="E217" i="8" s="1"/>
  <c r="E219" i="8" a="1"/>
  <c r="E219" i="8" s="1"/>
  <c r="E221" i="8" a="1"/>
  <c r="E221" i="8" s="1"/>
  <c r="E223" i="8" a="1"/>
  <c r="E223" i="8" s="1"/>
  <c r="E225" i="8" a="1"/>
  <c r="E225" i="8" s="1"/>
  <c r="E227" i="8" a="1"/>
  <c r="E227" i="8" s="1"/>
  <c r="E229" i="8" a="1"/>
  <c r="E229" i="8" s="1"/>
  <c r="E232" i="8" a="1"/>
  <c r="E232" i="8" s="1"/>
  <c r="E236" i="8" a="1"/>
  <c r="E236" i="8" s="1"/>
  <c r="E244" i="8" a="1"/>
  <c r="E244" i="8" s="1"/>
  <c r="E248" i="8" a="1"/>
  <c r="E248" i="8" s="1"/>
  <c r="E252" i="8" a="1"/>
  <c r="E252" i="8" s="1"/>
  <c r="E260" i="8" a="1"/>
  <c r="E260" i="8" s="1"/>
  <c r="E263" i="8" a="1"/>
  <c r="E263" i="8" s="1"/>
  <c r="E267" i="8" a="1"/>
  <c r="E267" i="8" s="1"/>
  <c r="E271" i="8" a="1"/>
  <c r="E271" i="8" s="1"/>
  <c r="E279" i="8" a="1"/>
  <c r="E279" i="8" s="1"/>
  <c r="E283" i="8" a="1"/>
  <c r="E283" i="8" s="1"/>
  <c r="E285" i="8" a="1"/>
  <c r="E285" i="8" s="1"/>
  <c r="E290" i="8" a="1"/>
  <c r="E290" i="8" s="1"/>
  <c r="E292" i="8" a="1"/>
  <c r="E292" i="8" s="1"/>
  <c r="E296" i="8" a="1"/>
  <c r="E296" i="8" s="1"/>
  <c r="E298" i="8" a="1"/>
  <c r="E298" i="8" s="1"/>
  <c r="E299" i="8" a="1"/>
  <c r="E299" i="8" s="1"/>
  <c r="E303" i="8" a="1"/>
  <c r="E303" i="8" s="1"/>
  <c r="E306" i="8" a="1"/>
  <c r="E306" i="8" s="1"/>
  <c r="E308" i="8" a="1"/>
  <c r="E308" i="8" s="1"/>
  <c r="E310" i="8" a="1"/>
  <c r="E310" i="8" s="1"/>
  <c r="E311" i="8" a="1"/>
  <c r="E311" i="8" s="1"/>
  <c r="E313" i="8" a="1"/>
  <c r="E313" i="8" s="1"/>
  <c r="E317" i="8" a="1"/>
  <c r="E317" i="8" s="1"/>
  <c r="E319" i="8" a="1"/>
  <c r="E319" i="8" s="1"/>
  <c r="E326" i="8" a="1"/>
  <c r="E326" i="8" s="1"/>
  <c r="E327" i="8" a="1"/>
  <c r="E327" i="8" s="1"/>
  <c r="E328" i="8"/>
  <c r="E333" i="8" a="1"/>
  <c r="E333" i="8" s="1"/>
  <c r="R27" i="9"/>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C7" i="9" a="1"/>
  <c r="C7" i="9" s="1"/>
  <c r="J6" i="9" s="1"/>
  <c r="AA4" i="1"/>
  <c r="AA3" i="1"/>
  <c r="AA2" i="1"/>
  <c r="Q22" i="9"/>
  <c r="Q23" i="9"/>
  <c r="N333" i="9"/>
  <c r="O333" i="9" s="1"/>
  <c r="L29" i="9" a="1"/>
  <c r="B40" i="9"/>
  <c r="B39" i="9"/>
  <c r="B37" i="9"/>
  <c r="B36" i="9"/>
  <c r="B35" i="9"/>
  <c r="B34" i="9"/>
  <c r="B33" i="9"/>
  <c r="B31" i="9"/>
  <c r="B30" i="9"/>
  <c r="B28" i="9"/>
  <c r="B27" i="9"/>
  <c r="B24" i="9"/>
  <c r="B23" i="9"/>
  <c r="B11" i="9" a="1"/>
  <c r="B11" i="9" s="1"/>
  <c r="B10" i="9"/>
  <c r="B9" i="9"/>
  <c r="B8" i="9"/>
  <c r="B7" i="9"/>
  <c r="I7" i="9" a="1"/>
  <c r="I7" i="9" s="1"/>
  <c r="C6" i="9" a="1"/>
  <c r="C6" i="9" s="1"/>
  <c r="AD3" i="9" a="1"/>
  <c r="AE10" i="9" a="1"/>
  <c r="AD3" i="9" l="1"/>
  <c r="AE10" i="9"/>
  <c r="W333" i="9" a="1"/>
  <c r="W333" i="9" s="1"/>
  <c r="G32" i="8" a="1"/>
  <c r="Q29" i="9" a="1"/>
  <c r="J7" i="9" a="1"/>
  <c r="J7" i="9" s="1"/>
  <c r="B25" i="9"/>
  <c r="J14" i="9" a="1"/>
  <c r="J14" i="9" s="1"/>
  <c r="B42" i="9"/>
  <c r="P333" i="9"/>
  <c r="L29" i="9"/>
  <c r="M327" i="9" s="1"/>
  <c r="C14" i="8"/>
  <c r="F22" i="8" s="1"/>
  <c r="C47" i="8"/>
  <c r="C46" i="8"/>
  <c r="C18" i="8" a="1"/>
  <c r="C18" i="8" s="1"/>
  <c r="C17" i="8"/>
  <c r="C16" i="8"/>
  <c r="C44" i="8"/>
  <c r="C43" i="8"/>
  <c r="C42" i="8"/>
  <c r="C41" i="8"/>
  <c r="C40" i="8"/>
  <c r="C38" i="8"/>
  <c r="C37" i="8"/>
  <c r="C35" i="8"/>
  <c r="C34" i="8"/>
  <c r="C31" i="8"/>
  <c r="F24" i="8" s="1"/>
  <c r="C30" i="8"/>
  <c r="F23" i="8" s="1"/>
  <c r="C15" i="8"/>
  <c r="W2"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V2" i="1"/>
  <c r="V3" i="1"/>
  <c r="V4" i="1"/>
  <c r="V5" i="1"/>
  <c r="V6" i="1"/>
  <c r="V7" i="1"/>
  <c r="V8" i="1"/>
  <c r="V9" i="1"/>
  <c r="W39" i="5" s="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C42" i="2" s="1" a="1"/>
  <c r="C42" i="2" s="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B10" i="8"/>
  <c r="B8" i="8"/>
  <c r="Q2" i="3" a="1"/>
  <c r="Q2" i="3" s="1"/>
  <c r="J3" i="7" a="1"/>
  <c r="P84" i="7" s="1"/>
  <c r="L6" i="6" a="1"/>
  <c r="L6" i="6" s="1"/>
  <c r="I2" i="3" a="1"/>
  <c r="J13" i="3" s="1"/>
  <c r="F2" i="3" a="1"/>
  <c r="G13" i="3" s="1"/>
  <c r="H40" i="4"/>
  <c r="G40" i="4"/>
  <c r="H39" i="4"/>
  <c r="G39" i="4"/>
  <c r="H38" i="4"/>
  <c r="G38" i="4"/>
  <c r="H37" i="4"/>
  <c r="G37" i="4"/>
  <c r="H36" i="4"/>
  <c r="G36" i="4"/>
  <c r="H35" i="4"/>
  <c r="G35" i="4"/>
  <c r="H34" i="4"/>
  <c r="G34" i="4"/>
  <c r="H33" i="4"/>
  <c r="G33" i="4"/>
  <c r="H32" i="4"/>
  <c r="G32" i="4"/>
  <c r="H31" i="4"/>
  <c r="G31" i="4"/>
  <c r="H30" i="4"/>
  <c r="G30" i="4"/>
  <c r="H29" i="4"/>
  <c r="G29" i="4"/>
  <c r="H28" i="4"/>
  <c r="G28" i="4"/>
  <c r="H27" i="4"/>
  <c r="G27" i="4"/>
  <c r="H26" i="4"/>
  <c r="G26" i="4"/>
  <c r="H25" i="4"/>
  <c r="G25" i="4"/>
  <c r="H24" i="4"/>
  <c r="G24" i="4"/>
  <c r="H23" i="4"/>
  <c r="G23" i="4"/>
  <c r="H22" i="4"/>
  <c r="G22" i="4"/>
  <c r="H21" i="4"/>
  <c r="G21" i="4"/>
  <c r="H20" i="4"/>
  <c r="G20" i="4"/>
  <c r="H19" i="4"/>
  <c r="G19" i="4"/>
  <c r="H18" i="4"/>
  <c r="G18" i="4"/>
  <c r="H17" i="4"/>
  <c r="G17" i="4"/>
  <c r="H16" i="4"/>
  <c r="G16" i="4"/>
  <c r="H15" i="4"/>
  <c r="G15" i="4"/>
  <c r="H14" i="4"/>
  <c r="G14" i="4"/>
  <c r="H13" i="4"/>
  <c r="G13" i="4"/>
  <c r="H12" i="4"/>
  <c r="G12" i="4"/>
  <c r="H11" i="4"/>
  <c r="G11" i="4"/>
  <c r="H10" i="4"/>
  <c r="G10" i="4"/>
  <c r="H9" i="4"/>
  <c r="G9" i="4"/>
  <c r="H8" i="4"/>
  <c r="G8" i="4"/>
  <c r="H7" i="4"/>
  <c r="G7" i="4"/>
  <c r="J343" i="2" a="1"/>
  <c r="J343" i="2" s="1"/>
  <c r="J344" i="2" a="1"/>
  <c r="J344" i="2" s="1"/>
  <c r="J340" i="2" a="1"/>
  <c r="J340" i="2" s="1"/>
  <c r="J339" i="2" a="1"/>
  <c r="J339" i="2" s="1"/>
  <c r="J335" i="2" a="1"/>
  <c r="J335" i="2" s="1"/>
  <c r="J332" i="2" a="1"/>
  <c r="J332" i="2" s="1"/>
  <c r="J331" i="2" a="1"/>
  <c r="J331" i="2" s="1"/>
  <c r="J327" i="2" a="1"/>
  <c r="J327" i="2" s="1"/>
  <c r="J324" i="2" a="1"/>
  <c r="J324" i="2" s="1"/>
  <c r="J323" i="2" a="1"/>
  <c r="J323" i="2" s="1"/>
  <c r="J319" i="2" a="1"/>
  <c r="J319" i="2" s="1"/>
  <c r="J316" i="2" a="1"/>
  <c r="J316" i="2" s="1"/>
  <c r="J315" i="2" a="1"/>
  <c r="J315" i="2" s="1"/>
  <c r="J313" i="2" a="1"/>
  <c r="J313" i="2" s="1"/>
  <c r="J312" i="2" a="1"/>
  <c r="J312" i="2" s="1"/>
  <c r="J311" i="2" a="1"/>
  <c r="J311" i="2" s="1"/>
  <c r="J309" i="2" a="1"/>
  <c r="J309" i="2" s="1"/>
  <c r="J308" i="2" a="1"/>
  <c r="J308" i="2" s="1"/>
  <c r="J306" i="2" a="1"/>
  <c r="J306" i="2" s="1"/>
  <c r="J305" i="2" a="1"/>
  <c r="J305" i="2" s="1"/>
  <c r="J303" i="2" a="1"/>
  <c r="J303" i="2" s="1"/>
  <c r="J302" i="2" a="1"/>
  <c r="J302" i="2" s="1"/>
  <c r="J300" i="2" a="1"/>
  <c r="J300" i="2" s="1"/>
  <c r="J299" i="2" a="1"/>
  <c r="J299" i="2" s="1"/>
  <c r="J298" i="2" a="1"/>
  <c r="J298" i="2" s="1"/>
  <c r="J297" i="2" a="1"/>
  <c r="J297" i="2" s="1"/>
  <c r="J296" i="2" a="1"/>
  <c r="J296" i="2" s="1"/>
  <c r="J295" i="2" a="1"/>
  <c r="J295" i="2" s="1"/>
  <c r="J293" i="2" a="1"/>
  <c r="J293" i="2" s="1"/>
  <c r="J292" i="2" a="1"/>
  <c r="J292" i="2" s="1"/>
  <c r="J290" i="2" a="1"/>
  <c r="J290" i="2" s="1"/>
  <c r="J289" i="2" a="1"/>
  <c r="J289" i="2" s="1"/>
  <c r="J287" i="2" a="1"/>
  <c r="J287" i="2" s="1"/>
  <c r="J286" i="2" a="1"/>
  <c r="J286" i="2" s="1"/>
  <c r="J284" i="2" a="1"/>
  <c r="J284" i="2" s="1"/>
  <c r="J283" i="2" a="1"/>
  <c r="J283" i="2" s="1"/>
  <c r="J282" i="2" a="1"/>
  <c r="J282" i="2" s="1"/>
  <c r="J281" i="2" a="1"/>
  <c r="J281" i="2" s="1"/>
  <c r="J280" i="2" a="1"/>
  <c r="J280" i="2" s="1"/>
  <c r="J279" i="2" a="1"/>
  <c r="J279" i="2" s="1"/>
  <c r="J277" i="2" a="1"/>
  <c r="J277" i="2" s="1"/>
  <c r="J276" i="2" a="1"/>
  <c r="J276" i="2" s="1"/>
  <c r="J274" i="2" a="1"/>
  <c r="J274" i="2" s="1"/>
  <c r="J273" i="2" a="1"/>
  <c r="J273" i="2" s="1"/>
  <c r="J271" i="2" a="1"/>
  <c r="J271" i="2" s="1"/>
  <c r="J270" i="2" a="1"/>
  <c r="J270" i="2" s="1"/>
  <c r="J269" i="2" a="1"/>
  <c r="J269" i="2" s="1"/>
  <c r="J268" i="2" a="1"/>
  <c r="J268" i="2" s="1"/>
  <c r="J267" i="2" a="1"/>
  <c r="J267" i="2" s="1"/>
  <c r="J266" i="2" a="1"/>
  <c r="J266" i="2" s="1"/>
  <c r="J265" i="2" a="1"/>
  <c r="J265" i="2" s="1"/>
  <c r="J264" i="2" a="1"/>
  <c r="J264" i="2" s="1"/>
  <c r="J263" i="2" a="1"/>
  <c r="J263" i="2" s="1"/>
  <c r="J262" i="2" a="1"/>
  <c r="J262" i="2" s="1"/>
  <c r="J261" i="2" a="1"/>
  <c r="J261" i="2" s="1"/>
  <c r="J260" i="2" a="1"/>
  <c r="J260" i="2" s="1"/>
  <c r="J259" i="2" a="1"/>
  <c r="J259" i="2" s="1"/>
  <c r="J258" i="2" a="1"/>
  <c r="J258" i="2" s="1"/>
  <c r="J257" i="2" a="1"/>
  <c r="J257" i="2" s="1"/>
  <c r="J256" i="2" a="1"/>
  <c r="J256" i="2" s="1"/>
  <c r="J255" i="2" a="1"/>
  <c r="J255" i="2" s="1"/>
  <c r="J254" i="2" a="1"/>
  <c r="J254" i="2" s="1"/>
  <c r="J253" i="2" a="1"/>
  <c r="J253" i="2" s="1"/>
  <c r="J252" i="2" a="1"/>
  <c r="J252" i="2" s="1"/>
  <c r="J251" i="2" a="1"/>
  <c r="J251" i="2" s="1"/>
  <c r="J250" i="2" a="1"/>
  <c r="J250" i="2" s="1"/>
  <c r="J249" i="2" a="1"/>
  <c r="J249" i="2" s="1"/>
  <c r="J248" i="2" a="1"/>
  <c r="J248" i="2" s="1"/>
  <c r="J247" i="2" a="1"/>
  <c r="J247" i="2" s="1"/>
  <c r="J246" i="2" a="1"/>
  <c r="J246" i="2" s="1"/>
  <c r="J245" i="2" a="1"/>
  <c r="J245" i="2" s="1"/>
  <c r="J244" i="2" a="1"/>
  <c r="J244" i="2" s="1"/>
  <c r="J243" i="2" a="1"/>
  <c r="J243" i="2" s="1"/>
  <c r="J242" i="2" a="1"/>
  <c r="J242" i="2" s="1"/>
  <c r="J241" i="2" a="1"/>
  <c r="J241" i="2" s="1"/>
  <c r="J240" i="2" a="1"/>
  <c r="J240" i="2" s="1"/>
  <c r="J239" i="2" a="1"/>
  <c r="J239" i="2" s="1"/>
  <c r="J238" i="2" a="1"/>
  <c r="J238" i="2" s="1"/>
  <c r="J237" i="2" a="1"/>
  <c r="J237" i="2" s="1"/>
  <c r="J236" i="2" a="1"/>
  <c r="J236" i="2" s="1"/>
  <c r="J235" i="2" a="1"/>
  <c r="J235" i="2" s="1"/>
  <c r="J234" i="2" a="1"/>
  <c r="J234" i="2" s="1"/>
  <c r="J233" i="2" a="1"/>
  <c r="J233" i="2" s="1"/>
  <c r="J232" i="2" a="1"/>
  <c r="J232" i="2" s="1"/>
  <c r="J231" i="2" a="1"/>
  <c r="J231" i="2" s="1"/>
  <c r="J230" i="2" a="1"/>
  <c r="J230" i="2" s="1"/>
  <c r="J229" i="2" a="1"/>
  <c r="J229" i="2" s="1"/>
  <c r="J228" i="2" a="1"/>
  <c r="J228" i="2" s="1"/>
  <c r="J227" i="2" a="1"/>
  <c r="J227" i="2" s="1"/>
  <c r="J226" i="2" a="1"/>
  <c r="J226" i="2" s="1"/>
  <c r="J225" i="2" a="1"/>
  <c r="J225" i="2" s="1"/>
  <c r="J224" i="2" a="1"/>
  <c r="J224" i="2" s="1"/>
  <c r="J223" i="2" a="1"/>
  <c r="J223" i="2" s="1"/>
  <c r="J222" i="2" a="1"/>
  <c r="J222" i="2" s="1"/>
  <c r="J221" i="2" a="1"/>
  <c r="J221" i="2" s="1"/>
  <c r="J220" i="2" a="1"/>
  <c r="J220" i="2" s="1"/>
  <c r="J219" i="2" a="1"/>
  <c r="J219" i="2" s="1"/>
  <c r="J218" i="2" a="1"/>
  <c r="J218" i="2" s="1"/>
  <c r="J217" i="2" a="1"/>
  <c r="J217" i="2" s="1"/>
  <c r="J216" i="2" a="1"/>
  <c r="J216" i="2" s="1"/>
  <c r="J215" i="2" a="1"/>
  <c r="J215" i="2" s="1"/>
  <c r="J214" i="2" a="1"/>
  <c r="J214" i="2" s="1"/>
  <c r="J213" i="2" a="1"/>
  <c r="J213" i="2" s="1"/>
  <c r="J212" i="2" a="1"/>
  <c r="J212" i="2" s="1"/>
  <c r="J211" i="2" a="1"/>
  <c r="J211" i="2" s="1"/>
  <c r="J210" i="2" a="1"/>
  <c r="J210" i="2" s="1"/>
  <c r="J209" i="2" a="1"/>
  <c r="J209" i="2" s="1"/>
  <c r="J208" i="2" a="1"/>
  <c r="J208" i="2" s="1"/>
  <c r="J207" i="2" a="1"/>
  <c r="J207" i="2" s="1"/>
  <c r="J206" i="2" a="1"/>
  <c r="J206" i="2" s="1"/>
  <c r="J205" i="2" a="1"/>
  <c r="J205" i="2" s="1"/>
  <c r="J204" i="2" a="1"/>
  <c r="J204" i="2" s="1"/>
  <c r="J203" i="2" a="1"/>
  <c r="J203" i="2" s="1"/>
  <c r="J202" i="2" a="1"/>
  <c r="J202" i="2" s="1"/>
  <c r="J201" i="2" a="1"/>
  <c r="J201" i="2" s="1"/>
  <c r="J200" i="2" a="1"/>
  <c r="J200" i="2" s="1"/>
  <c r="J199" i="2" a="1"/>
  <c r="J199" i="2" s="1"/>
  <c r="J198" i="2" a="1"/>
  <c r="J198" i="2" s="1"/>
  <c r="J197" i="2" a="1"/>
  <c r="J197" i="2" s="1"/>
  <c r="J196" i="2" a="1"/>
  <c r="J196" i="2" s="1"/>
  <c r="J195" i="2" a="1"/>
  <c r="J195" i="2" s="1"/>
  <c r="J194" i="2" a="1"/>
  <c r="J194" i="2" s="1"/>
  <c r="J193" i="2" a="1"/>
  <c r="J193" i="2" s="1"/>
  <c r="J192" i="2" a="1"/>
  <c r="J192" i="2" s="1"/>
  <c r="J191" i="2" a="1"/>
  <c r="J191" i="2" s="1"/>
  <c r="J190" i="2" a="1"/>
  <c r="J190" i="2" s="1"/>
  <c r="J189" i="2" a="1"/>
  <c r="J189" i="2" s="1"/>
  <c r="J188" i="2" a="1"/>
  <c r="J188" i="2" s="1"/>
  <c r="J187" i="2" a="1"/>
  <c r="J187" i="2" s="1"/>
  <c r="J186" i="2" a="1"/>
  <c r="J186" i="2" s="1"/>
  <c r="J185" i="2" a="1"/>
  <c r="J185" i="2" s="1"/>
  <c r="J184" i="2" a="1"/>
  <c r="J184" i="2" s="1"/>
  <c r="J183" i="2" a="1"/>
  <c r="J183" i="2" s="1"/>
  <c r="J182" i="2" a="1"/>
  <c r="J182" i="2" s="1"/>
  <c r="J181" i="2" a="1"/>
  <c r="J181" i="2" s="1"/>
  <c r="J180" i="2" a="1"/>
  <c r="J180" i="2" s="1"/>
  <c r="J179" i="2" a="1"/>
  <c r="J179" i="2" s="1"/>
  <c r="J178" i="2" a="1"/>
  <c r="J178" i="2" s="1"/>
  <c r="J177" i="2" a="1"/>
  <c r="J177" i="2" s="1"/>
  <c r="J176" i="2" a="1"/>
  <c r="J176" i="2" s="1"/>
  <c r="J175" i="2" a="1"/>
  <c r="J175" i="2" s="1"/>
  <c r="J174" i="2" a="1"/>
  <c r="J174" i="2" s="1"/>
  <c r="J173" i="2" a="1"/>
  <c r="J173" i="2" s="1"/>
  <c r="J172" i="2" a="1"/>
  <c r="J172" i="2" s="1"/>
  <c r="J171" i="2" a="1"/>
  <c r="J171" i="2" s="1"/>
  <c r="J170" i="2" a="1"/>
  <c r="J170" i="2" s="1"/>
  <c r="J169" i="2" a="1"/>
  <c r="J169" i="2" s="1"/>
  <c r="J168" i="2" a="1"/>
  <c r="J168" i="2" s="1"/>
  <c r="J167" i="2" a="1"/>
  <c r="J167" i="2" s="1"/>
  <c r="J166" i="2" a="1"/>
  <c r="J166" i="2" s="1"/>
  <c r="J165" i="2" a="1"/>
  <c r="J165" i="2" s="1"/>
  <c r="J164" i="2" a="1"/>
  <c r="J164" i="2" s="1"/>
  <c r="J163" i="2" a="1"/>
  <c r="J163" i="2" s="1"/>
  <c r="J162" i="2" a="1"/>
  <c r="J162" i="2" s="1"/>
  <c r="J161" i="2" a="1"/>
  <c r="J161" i="2" s="1"/>
  <c r="J160" i="2" a="1"/>
  <c r="J160" i="2" s="1"/>
  <c r="J159" i="2" a="1"/>
  <c r="J159" i="2" s="1"/>
  <c r="J158" i="2" a="1"/>
  <c r="J158" i="2" s="1"/>
  <c r="J157" i="2" a="1"/>
  <c r="J157" i="2" s="1"/>
  <c r="J156" i="2" a="1"/>
  <c r="J156" i="2" s="1"/>
  <c r="J155" i="2" a="1"/>
  <c r="J155" i="2" s="1"/>
  <c r="J154" i="2" a="1"/>
  <c r="J154" i="2" s="1"/>
  <c r="J153" i="2" a="1"/>
  <c r="J153" i="2" s="1"/>
  <c r="J152" i="2" a="1"/>
  <c r="J152" i="2" s="1"/>
  <c r="J151" i="2" a="1"/>
  <c r="J151" i="2" s="1"/>
  <c r="J150" i="2" a="1"/>
  <c r="J150" i="2" s="1"/>
  <c r="J149" i="2" a="1"/>
  <c r="J149" i="2" s="1"/>
  <c r="J148" i="2" a="1"/>
  <c r="J148" i="2" s="1"/>
  <c r="J147" i="2" a="1"/>
  <c r="J147" i="2" s="1"/>
  <c r="J146" i="2" a="1"/>
  <c r="J146" i="2" s="1"/>
  <c r="J145" i="2" a="1"/>
  <c r="J145" i="2" s="1"/>
  <c r="J144" i="2" a="1"/>
  <c r="J144" i="2" s="1"/>
  <c r="J143" i="2" a="1"/>
  <c r="J143" i="2" s="1"/>
  <c r="J142" i="2" a="1"/>
  <c r="J142" i="2" s="1"/>
  <c r="J141" i="2" a="1"/>
  <c r="J141" i="2" s="1"/>
  <c r="J140" i="2" a="1"/>
  <c r="J140" i="2" s="1"/>
  <c r="J139" i="2" a="1"/>
  <c r="J139" i="2" s="1"/>
  <c r="J138" i="2" a="1"/>
  <c r="J138" i="2" s="1"/>
  <c r="J137" i="2" a="1"/>
  <c r="J137" i="2" s="1"/>
  <c r="J136" i="2" a="1"/>
  <c r="J136" i="2" s="1"/>
  <c r="J135" i="2" a="1"/>
  <c r="J135" i="2" s="1"/>
  <c r="J134" i="2" a="1"/>
  <c r="J134" i="2" s="1"/>
  <c r="J133" i="2" a="1"/>
  <c r="J133" i="2" s="1"/>
  <c r="J132" i="2" a="1"/>
  <c r="J132" i="2" s="1"/>
  <c r="J131" i="2" a="1"/>
  <c r="J131" i="2" s="1"/>
  <c r="J130" i="2" a="1"/>
  <c r="J130" i="2" s="1"/>
  <c r="J129" i="2" a="1"/>
  <c r="J129" i="2" s="1"/>
  <c r="J128" i="2" a="1"/>
  <c r="J128" i="2" s="1"/>
  <c r="J127" i="2" a="1"/>
  <c r="J127" i="2" s="1"/>
  <c r="J126" i="2" a="1"/>
  <c r="J126" i="2" s="1"/>
  <c r="J125" i="2" a="1"/>
  <c r="J125" i="2" s="1"/>
  <c r="J124" i="2" a="1"/>
  <c r="J124" i="2" s="1"/>
  <c r="J123" i="2" a="1"/>
  <c r="J123" i="2" s="1"/>
  <c r="J122" i="2" a="1"/>
  <c r="J122" i="2" s="1"/>
  <c r="J121" i="2" a="1"/>
  <c r="J121" i="2" s="1"/>
  <c r="J120" i="2" a="1"/>
  <c r="J120" i="2" s="1"/>
  <c r="J119" i="2" a="1"/>
  <c r="J119" i="2" s="1"/>
  <c r="J118" i="2" a="1"/>
  <c r="J118" i="2" s="1"/>
  <c r="J117" i="2" a="1"/>
  <c r="J117" i="2" s="1"/>
  <c r="J116" i="2" a="1"/>
  <c r="J116" i="2" s="1"/>
  <c r="J115" i="2" a="1"/>
  <c r="J115" i="2" s="1"/>
  <c r="J114" i="2" a="1"/>
  <c r="J114" i="2" s="1"/>
  <c r="J113" i="2" a="1"/>
  <c r="J113" i="2" s="1"/>
  <c r="J112" i="2" a="1"/>
  <c r="J112" i="2" s="1"/>
  <c r="J111" i="2" a="1"/>
  <c r="J111" i="2" s="1"/>
  <c r="J110" i="2" a="1"/>
  <c r="J110" i="2" s="1"/>
  <c r="J109" i="2" a="1"/>
  <c r="J109" i="2" s="1"/>
  <c r="J108" i="2" a="1"/>
  <c r="J108" i="2" s="1"/>
  <c r="J107" i="2" a="1"/>
  <c r="J107" i="2" s="1"/>
  <c r="J106" i="2" a="1"/>
  <c r="J106" i="2" s="1"/>
  <c r="J105" i="2" a="1"/>
  <c r="J105" i="2" s="1"/>
  <c r="J104" i="2" a="1"/>
  <c r="J104" i="2" s="1"/>
  <c r="J103" i="2" a="1"/>
  <c r="J103" i="2" s="1"/>
  <c r="J102" i="2" a="1"/>
  <c r="J102" i="2" s="1"/>
  <c r="J101" i="2" a="1"/>
  <c r="J101" i="2" s="1"/>
  <c r="J100" i="2" a="1"/>
  <c r="J100" i="2" s="1"/>
  <c r="J99" i="2" a="1"/>
  <c r="J99" i="2" s="1"/>
  <c r="J98" i="2" a="1"/>
  <c r="J98" i="2" s="1"/>
  <c r="J97" i="2" a="1"/>
  <c r="J97" i="2" s="1"/>
  <c r="J96" i="2" a="1"/>
  <c r="J96" i="2" s="1"/>
  <c r="J95" i="2" a="1"/>
  <c r="J95" i="2" s="1"/>
  <c r="J94" i="2" a="1"/>
  <c r="J94" i="2" s="1"/>
  <c r="J93" i="2" a="1"/>
  <c r="J93" i="2" s="1"/>
  <c r="J92" i="2" a="1"/>
  <c r="J92" i="2" s="1"/>
  <c r="J91" i="2" a="1"/>
  <c r="J91" i="2" s="1"/>
  <c r="J90" i="2" a="1"/>
  <c r="J90" i="2" s="1"/>
  <c r="J89" i="2" a="1"/>
  <c r="J89" i="2" s="1"/>
  <c r="J88" i="2" a="1"/>
  <c r="J88" i="2" s="1"/>
  <c r="J87" i="2" a="1"/>
  <c r="J87" i="2" s="1"/>
  <c r="J86" i="2" a="1"/>
  <c r="J86" i="2" s="1"/>
  <c r="J85" i="2" a="1"/>
  <c r="J85" i="2" s="1"/>
  <c r="J84" i="2" a="1"/>
  <c r="J84" i="2" s="1"/>
  <c r="J83" i="2" a="1"/>
  <c r="J83" i="2" s="1"/>
  <c r="J82" i="2" a="1"/>
  <c r="J82" i="2" s="1"/>
  <c r="J81" i="2" a="1"/>
  <c r="J81" i="2" s="1"/>
  <c r="J80" i="2" a="1"/>
  <c r="J80" i="2" s="1"/>
  <c r="J79" i="2" a="1"/>
  <c r="J79" i="2" s="1"/>
  <c r="J78" i="2" a="1"/>
  <c r="J78" i="2" s="1"/>
  <c r="J77" i="2" a="1"/>
  <c r="J77" i="2" s="1"/>
  <c r="J76" i="2" a="1"/>
  <c r="J76" i="2" s="1"/>
  <c r="J75" i="2" a="1"/>
  <c r="J75" i="2" s="1"/>
  <c r="J74" i="2" a="1"/>
  <c r="J74" i="2" s="1"/>
  <c r="J73" i="2" a="1"/>
  <c r="J73" i="2" s="1"/>
  <c r="J72" i="2" a="1"/>
  <c r="J72" i="2" s="1"/>
  <c r="J71" i="2" a="1"/>
  <c r="J71" i="2" s="1"/>
  <c r="J70" i="2" a="1"/>
  <c r="J70" i="2" s="1"/>
  <c r="J69" i="2" a="1"/>
  <c r="J69" i="2" s="1"/>
  <c r="J68" i="2" a="1"/>
  <c r="J68" i="2" s="1"/>
  <c r="J67" i="2" a="1"/>
  <c r="J67" i="2" s="1"/>
  <c r="J66" i="2" a="1"/>
  <c r="J66" i="2" s="1"/>
  <c r="J65" i="2" a="1"/>
  <c r="J65" i="2" s="1"/>
  <c r="J64" i="2" a="1"/>
  <c r="J64" i="2" s="1"/>
  <c r="J63" i="2" a="1"/>
  <c r="J63" i="2" s="1"/>
  <c r="J62" i="2" a="1"/>
  <c r="J62" i="2" s="1"/>
  <c r="J61" i="2" a="1"/>
  <c r="J61" i="2" s="1"/>
  <c r="J60" i="2" a="1"/>
  <c r="J60" i="2" s="1"/>
  <c r="J59" i="2" a="1"/>
  <c r="J59" i="2" s="1"/>
  <c r="J58" i="2" a="1"/>
  <c r="J58" i="2" s="1"/>
  <c r="J57" i="2" a="1"/>
  <c r="J57" i="2" s="1"/>
  <c r="J56" i="2" a="1"/>
  <c r="J56" i="2" s="1"/>
  <c r="Q28" i="2"/>
  <c r="Q27" i="2"/>
  <c r="Q26" i="2"/>
  <c r="Q25" i="2"/>
  <c r="Q24" i="2"/>
  <c r="Q23" i="2"/>
  <c r="Q22" i="2"/>
  <c r="Q21" i="2"/>
  <c r="Q20" i="2"/>
  <c r="Q19" i="2"/>
  <c r="Q18" i="2"/>
  <c r="Q17" i="2"/>
  <c r="Q16" i="2"/>
  <c r="Q15" i="2"/>
  <c r="Q14" i="2"/>
  <c r="C5" i="2"/>
  <c r="C5" i="2" a="1"/>
  <c r="C42" i="5" a="1"/>
  <c r="C42" i="5" s="1"/>
  <c r="Q28" i="5"/>
  <c r="Q27" i="5"/>
  <c r="Q26" i="5"/>
  <c r="Q25" i="5"/>
  <c r="Q24" i="5"/>
  <c r="Q23" i="5"/>
  <c r="Q22" i="5"/>
  <c r="Q21" i="5"/>
  <c r="Q20" i="5"/>
  <c r="Q19" i="5"/>
  <c r="Q18" i="5"/>
  <c r="C5" i="5" a="1"/>
  <c r="C5" i="5" s="1"/>
  <c r="F33" i="8" l="1" a="1"/>
  <c r="F33" i="8" s="1"/>
  <c r="E33" i="8" s="1" a="1"/>
  <c r="E33" i="8" s="1"/>
  <c r="F34" i="8" a="1"/>
  <c r="F34" i="8" s="1"/>
  <c r="E34" i="8" s="1" a="1"/>
  <c r="E34" i="8" s="1"/>
  <c r="F38" i="8" a="1"/>
  <c r="F38" i="8" s="1"/>
  <c r="E38" i="8" s="1" a="1"/>
  <c r="E38" i="8" s="1"/>
  <c r="F41" i="8" a="1"/>
  <c r="F41" i="8" s="1"/>
  <c r="E41" i="8" s="1" a="1"/>
  <c r="E41" i="8" s="1"/>
  <c r="F45" i="8" a="1"/>
  <c r="F45" i="8" s="1"/>
  <c r="E45" i="8" s="1" a="1"/>
  <c r="E45" i="8" s="1"/>
  <c r="F48" i="8" a="1"/>
  <c r="F48" i="8" s="1"/>
  <c r="E48" i="8" s="1" a="1"/>
  <c r="E48" i="8" s="1"/>
  <c r="F52" i="8" a="1"/>
  <c r="F52" i="8" s="1"/>
  <c r="E52" i="8" s="1" a="1"/>
  <c r="E52" i="8" s="1"/>
  <c r="F55" i="8" a="1"/>
  <c r="F55" i="8" s="1"/>
  <c r="E55" i="8" s="1" a="1"/>
  <c r="E55" i="8" s="1"/>
  <c r="F59" i="8" a="1"/>
  <c r="F59" i="8" s="1"/>
  <c r="E59" i="8" s="1" a="1"/>
  <c r="E59" i="8" s="1"/>
  <c r="F62" i="8" a="1"/>
  <c r="F62" i="8" s="1"/>
  <c r="E62" i="8" s="1" a="1"/>
  <c r="E62" i="8" s="1"/>
  <c r="F66" i="8" a="1"/>
  <c r="F66" i="8" s="1"/>
  <c r="E66" i="8" s="1" a="1"/>
  <c r="E66" i="8" s="1"/>
  <c r="F69" i="8" a="1"/>
  <c r="F69" i="8" s="1"/>
  <c r="E69" i="8" s="1" a="1"/>
  <c r="E69" i="8" s="1"/>
  <c r="F73" i="8" a="1"/>
  <c r="F73" i="8" s="1"/>
  <c r="E73" i="8" s="1" a="1"/>
  <c r="E73" i="8" s="1"/>
  <c r="F80" i="8" a="1"/>
  <c r="F80" i="8" s="1"/>
  <c r="E80" i="8" s="1" a="1"/>
  <c r="E80" i="8" s="1"/>
  <c r="F84" i="8" a="1"/>
  <c r="F84" i="8" s="1"/>
  <c r="E84" i="8" s="1" a="1"/>
  <c r="E84" i="8" s="1"/>
  <c r="F87" i="8" a="1"/>
  <c r="F87" i="8" s="1"/>
  <c r="E87" i="8" s="1" a="1"/>
  <c r="E87" i="8" s="1"/>
  <c r="F91" i="8" a="1"/>
  <c r="F91" i="8" s="1"/>
  <c r="E91" i="8" s="1" a="1"/>
  <c r="E91" i="8" s="1"/>
  <c r="F94" i="8" a="1"/>
  <c r="F94" i="8" s="1"/>
  <c r="E94" i="8" s="1" a="1"/>
  <c r="E94" i="8" s="1"/>
  <c r="F98" i="8" a="1"/>
  <c r="F98" i="8" s="1"/>
  <c r="E98" i="8" s="1" a="1"/>
  <c r="E98" i="8" s="1"/>
  <c r="F101" i="8" a="1"/>
  <c r="F101" i="8" s="1"/>
  <c r="E101" i="8" s="1" a="1"/>
  <c r="E101" i="8" s="1"/>
  <c r="F105" i="8" a="1"/>
  <c r="F105" i="8" s="1"/>
  <c r="E105" i="8" s="1" a="1"/>
  <c r="E105" i="8" s="1"/>
  <c r="F112" i="8" a="1"/>
  <c r="F112" i="8" s="1"/>
  <c r="E112" i="8" s="1" a="1"/>
  <c r="E112" i="8" s="1"/>
  <c r="F116" i="8" a="1"/>
  <c r="F116" i="8" s="1"/>
  <c r="E116" i="8" s="1" a="1"/>
  <c r="E116" i="8" s="1"/>
  <c r="F119" i="8" a="1"/>
  <c r="F119" i="8" s="1"/>
  <c r="E119" i="8" s="1" a="1"/>
  <c r="E119" i="8" s="1"/>
  <c r="F123" i="8" a="1"/>
  <c r="F123" i="8" s="1"/>
  <c r="E123" i="8" s="1" a="1"/>
  <c r="E123" i="8" s="1"/>
  <c r="F40" i="8" a="1"/>
  <c r="F40" i="8" s="1"/>
  <c r="E40" i="8" s="1" a="1"/>
  <c r="E40" i="8" s="1"/>
  <c r="F47" i="8" a="1"/>
  <c r="F47" i="8" s="1"/>
  <c r="E47" i="8" s="1" a="1"/>
  <c r="E47" i="8" s="1"/>
  <c r="F54" i="8" a="1"/>
  <c r="F54" i="8" s="1"/>
  <c r="E54" i="8" s="1" a="1"/>
  <c r="E54" i="8" s="1"/>
  <c r="F61" i="8" a="1"/>
  <c r="F61" i="8" s="1"/>
  <c r="E61" i="8" s="1" a="1"/>
  <c r="E61" i="8" s="1"/>
  <c r="F76" i="8" a="1"/>
  <c r="F76" i="8" s="1"/>
  <c r="E76" i="8" s="1" a="1"/>
  <c r="E76" i="8" s="1"/>
  <c r="F83" i="8" a="1"/>
  <c r="F83" i="8" s="1"/>
  <c r="E83" i="8" s="1" a="1"/>
  <c r="E83" i="8" s="1"/>
  <c r="F90" i="8" a="1"/>
  <c r="F90" i="8" s="1"/>
  <c r="E90" i="8" s="1" a="1"/>
  <c r="E90" i="8" s="1"/>
  <c r="F97" i="8" a="1"/>
  <c r="F97" i="8" s="1"/>
  <c r="E97" i="8" s="1" a="1"/>
  <c r="E97" i="8" s="1"/>
  <c r="F108" i="8" a="1"/>
  <c r="F108" i="8" s="1"/>
  <c r="E108" i="8" s="1" a="1"/>
  <c r="E108" i="8" s="1"/>
  <c r="F122" i="8" a="1"/>
  <c r="F122" i="8" s="1"/>
  <c r="E122" i="8" s="1" a="1"/>
  <c r="E122" i="8" s="1"/>
  <c r="F35" i="8" a="1"/>
  <c r="F35" i="8" s="1"/>
  <c r="E35" i="8" s="1" a="1"/>
  <c r="E35" i="8" s="1"/>
  <c r="F42" i="8" a="1"/>
  <c r="F42" i="8" s="1"/>
  <c r="E42" i="8" s="1" a="1"/>
  <c r="E42" i="8" s="1"/>
  <c r="F46" i="8" a="1"/>
  <c r="F46" i="8" s="1"/>
  <c r="E46" i="8" s="1" a="1"/>
  <c r="E46" i="8" s="1"/>
  <c r="F49" i="8" a="1"/>
  <c r="F49" i="8" s="1"/>
  <c r="E49" i="8" s="1" a="1"/>
  <c r="E49" i="8" s="1"/>
  <c r="F56" i="8" a="1"/>
  <c r="F56" i="8" s="1"/>
  <c r="E56" i="8" s="1" a="1"/>
  <c r="E56" i="8" s="1"/>
  <c r="F60" i="8" a="1"/>
  <c r="F60" i="8" s="1"/>
  <c r="E60" i="8" s="1" a="1"/>
  <c r="E60" i="8" s="1"/>
  <c r="F63" i="8" a="1"/>
  <c r="F63" i="8" s="1"/>
  <c r="E63" i="8" s="1" a="1"/>
  <c r="E63" i="8" s="1"/>
  <c r="F67" i="8" a="1"/>
  <c r="F67" i="8" s="1"/>
  <c r="E67" i="8" s="1" a="1"/>
  <c r="E67" i="8" s="1"/>
  <c r="F70" i="8" a="1"/>
  <c r="F70" i="8" s="1"/>
  <c r="E70" i="8" s="1" a="1"/>
  <c r="E70" i="8" s="1"/>
  <c r="F74" i="8" a="1"/>
  <c r="F74" i="8" s="1"/>
  <c r="E74" i="8" s="1" a="1"/>
  <c r="E74" i="8" s="1"/>
  <c r="F77" i="8" a="1"/>
  <c r="F77" i="8" s="1"/>
  <c r="E77" i="8" s="1" a="1"/>
  <c r="E77" i="8" s="1"/>
  <c r="F81" i="8" a="1"/>
  <c r="F81" i="8" s="1"/>
  <c r="E81" i="8" s="1" a="1"/>
  <c r="E81" i="8" s="1"/>
  <c r="F88" i="8" a="1"/>
  <c r="F88" i="8" s="1"/>
  <c r="E88" i="8" s="1" a="1"/>
  <c r="E88" i="8" s="1"/>
  <c r="F92" i="8" a="1"/>
  <c r="F92" i="8" s="1"/>
  <c r="E92" i="8" s="1" a="1"/>
  <c r="E92" i="8" s="1"/>
  <c r="F95" i="8" a="1"/>
  <c r="F95" i="8" s="1"/>
  <c r="E95" i="8" s="1" a="1"/>
  <c r="E95" i="8" s="1"/>
  <c r="F99" i="8" a="1"/>
  <c r="F99" i="8" s="1"/>
  <c r="E99" i="8" s="1" a="1"/>
  <c r="E99" i="8" s="1"/>
  <c r="F102" i="8" a="1"/>
  <c r="F102" i="8" s="1"/>
  <c r="E102" i="8" s="1" a="1"/>
  <c r="E102" i="8" s="1"/>
  <c r="F106" i="8" a="1"/>
  <c r="F106" i="8" s="1"/>
  <c r="E106" i="8" s="1" a="1"/>
  <c r="E106" i="8" s="1"/>
  <c r="F109" i="8" a="1"/>
  <c r="F109" i="8" s="1"/>
  <c r="E109" i="8" s="1" a="1"/>
  <c r="E109" i="8" s="1"/>
  <c r="F113" i="8" a="1"/>
  <c r="F113" i="8" s="1"/>
  <c r="E113" i="8" s="1" a="1"/>
  <c r="E113" i="8" s="1"/>
  <c r="F120" i="8" a="1"/>
  <c r="F120" i="8" s="1"/>
  <c r="E120" i="8" s="1" a="1"/>
  <c r="E120" i="8" s="1"/>
  <c r="F124" i="8" a="1"/>
  <c r="F124" i="8" s="1"/>
  <c r="E124" i="8" s="1" a="1"/>
  <c r="E124" i="8" s="1"/>
  <c r="F44" i="8" a="1"/>
  <c r="F44" i="8" s="1"/>
  <c r="E44" i="8" s="1" a="1"/>
  <c r="E44" i="8" s="1"/>
  <c r="F111" i="8" a="1"/>
  <c r="F111" i="8" s="1"/>
  <c r="E111" i="8" s="1" a="1"/>
  <c r="E111" i="8" s="1"/>
  <c r="F125" i="8" a="1"/>
  <c r="F125" i="8" s="1"/>
  <c r="E125" i="8" s="1" a="1"/>
  <c r="E125" i="8" s="1"/>
  <c r="F36" i="8" a="1"/>
  <c r="F36" i="8" s="1"/>
  <c r="E36" i="8" s="1" a="1"/>
  <c r="E36" i="8" s="1"/>
  <c r="F39" i="8" a="1"/>
  <c r="F39" i="8" s="1"/>
  <c r="E39" i="8" s="1" a="1"/>
  <c r="E39" i="8" s="1"/>
  <c r="F43" i="8" a="1"/>
  <c r="F43" i="8" s="1"/>
  <c r="E43" i="8" s="1" a="1"/>
  <c r="E43" i="8" s="1"/>
  <c r="F50" i="8" a="1"/>
  <c r="F50" i="8" s="1"/>
  <c r="E50" i="8" s="1" a="1"/>
  <c r="E50" i="8" s="1"/>
  <c r="F53" i="8" a="1"/>
  <c r="F53" i="8" s="1"/>
  <c r="E53" i="8" s="1" a="1"/>
  <c r="E53" i="8" s="1"/>
  <c r="F57" i="8" a="1"/>
  <c r="F57" i="8" s="1"/>
  <c r="E57" i="8" s="1" a="1"/>
  <c r="E57" i="8" s="1"/>
  <c r="F64" i="8" a="1"/>
  <c r="F64" i="8" s="1"/>
  <c r="E64" i="8" s="1" a="1"/>
  <c r="E64" i="8" s="1"/>
  <c r="F68" i="8" a="1"/>
  <c r="F68" i="8" s="1"/>
  <c r="E68" i="8" s="1" a="1"/>
  <c r="E68" i="8" s="1"/>
  <c r="F71" i="8" a="1"/>
  <c r="F71" i="8" s="1"/>
  <c r="E71" i="8" s="1" a="1"/>
  <c r="E71" i="8" s="1"/>
  <c r="F75" i="8" a="1"/>
  <c r="F75" i="8" s="1"/>
  <c r="E75" i="8" s="1" a="1"/>
  <c r="E75" i="8" s="1"/>
  <c r="F78" i="8" a="1"/>
  <c r="F78" i="8" s="1"/>
  <c r="E78" i="8" s="1" a="1"/>
  <c r="E78" i="8" s="1"/>
  <c r="F82" i="8" a="1"/>
  <c r="F82" i="8" s="1"/>
  <c r="E82" i="8" s="1" a="1"/>
  <c r="E82" i="8" s="1"/>
  <c r="F85" i="8" a="1"/>
  <c r="F85" i="8" s="1"/>
  <c r="E85" i="8" s="1" a="1"/>
  <c r="E85" i="8" s="1"/>
  <c r="F89" i="8" a="1"/>
  <c r="F89" i="8" s="1"/>
  <c r="E89" i="8" s="1" a="1"/>
  <c r="E89" i="8" s="1"/>
  <c r="F96" i="8" a="1"/>
  <c r="F96" i="8" s="1"/>
  <c r="E96" i="8" s="1" a="1"/>
  <c r="E96" i="8" s="1"/>
  <c r="F100" i="8" a="1"/>
  <c r="F100" i="8" s="1"/>
  <c r="E100" i="8" s="1" a="1"/>
  <c r="E100" i="8" s="1"/>
  <c r="F103" i="8" a="1"/>
  <c r="F103" i="8" s="1"/>
  <c r="E103" i="8" s="1" a="1"/>
  <c r="E103" i="8" s="1"/>
  <c r="F107" i="8" a="1"/>
  <c r="F107" i="8" s="1"/>
  <c r="E107" i="8" s="1" a="1"/>
  <c r="E107" i="8" s="1"/>
  <c r="F110" i="8" a="1"/>
  <c r="F110" i="8" s="1"/>
  <c r="E110" i="8" s="1" a="1"/>
  <c r="E110" i="8" s="1"/>
  <c r="F114" i="8" a="1"/>
  <c r="F114" i="8" s="1"/>
  <c r="E114" i="8" s="1" a="1"/>
  <c r="E114" i="8" s="1"/>
  <c r="F117" i="8" a="1"/>
  <c r="F117" i="8" s="1"/>
  <c r="E117" i="8" s="1" a="1"/>
  <c r="E117" i="8" s="1"/>
  <c r="F121" i="8" a="1"/>
  <c r="F121" i="8" s="1"/>
  <c r="E121" i="8" s="1" a="1"/>
  <c r="E121" i="8" s="1"/>
  <c r="F37" i="8" a="1"/>
  <c r="F37" i="8" s="1"/>
  <c r="E37" i="8" s="1" a="1"/>
  <c r="E37" i="8" s="1"/>
  <c r="F51" i="8" a="1"/>
  <c r="F51" i="8" s="1"/>
  <c r="E51" i="8" s="1" a="1"/>
  <c r="E51" i="8" s="1"/>
  <c r="F58" i="8" a="1"/>
  <c r="F58" i="8" s="1"/>
  <c r="E58" i="8" s="1" a="1"/>
  <c r="E58" i="8" s="1"/>
  <c r="F65" i="8" a="1"/>
  <c r="F65" i="8" s="1"/>
  <c r="E65" i="8" s="1" a="1"/>
  <c r="E65" i="8" s="1"/>
  <c r="F72" i="8" a="1"/>
  <c r="F72" i="8" s="1"/>
  <c r="E72" i="8" s="1" a="1"/>
  <c r="E72" i="8" s="1"/>
  <c r="F79" i="8" a="1"/>
  <c r="F79" i="8" s="1"/>
  <c r="E79" i="8" s="1" a="1"/>
  <c r="E79" i="8" s="1"/>
  <c r="F86" i="8" a="1"/>
  <c r="F86" i="8" s="1"/>
  <c r="E86" i="8" s="1" a="1"/>
  <c r="E86" i="8" s="1"/>
  <c r="F93" i="8" a="1"/>
  <c r="F93" i="8" s="1"/>
  <c r="E93" i="8" s="1" a="1"/>
  <c r="E93" i="8" s="1"/>
  <c r="F104" i="8" a="1"/>
  <c r="F104" i="8" s="1"/>
  <c r="E104" i="8" s="1" a="1"/>
  <c r="E104" i="8" s="1"/>
  <c r="F115" i="8" a="1"/>
  <c r="F115" i="8" s="1"/>
  <c r="E115" i="8" s="1" a="1"/>
  <c r="E115" i="8" s="1"/>
  <c r="F118" i="8" a="1"/>
  <c r="F118" i="8" s="1"/>
  <c r="E118" i="8" s="1" a="1"/>
  <c r="E118" i="8" s="1"/>
  <c r="J149" i="5" a="1"/>
  <c r="J149" i="5" s="1"/>
  <c r="J165" i="5" a="1"/>
  <c r="J165" i="5" s="1"/>
  <c r="J332" i="5" a="1"/>
  <c r="J332" i="5" s="1"/>
  <c r="J324" i="5" a="1"/>
  <c r="J324" i="5" s="1"/>
  <c r="J316" i="5" a="1"/>
  <c r="J316" i="5" s="1"/>
  <c r="J308" i="5" a="1"/>
  <c r="J308" i="5" s="1"/>
  <c r="J297" i="5" a="1"/>
  <c r="J297" i="5" s="1"/>
  <c r="J281" i="5" a="1"/>
  <c r="J281" i="5" s="1"/>
  <c r="J265" i="5" a="1"/>
  <c r="J265" i="5" s="1"/>
  <c r="J249" i="5" a="1"/>
  <c r="J249" i="5" s="1"/>
  <c r="J233" i="5" a="1"/>
  <c r="J233" i="5" s="1"/>
  <c r="J220" i="5" a="1"/>
  <c r="J220" i="5" s="1"/>
  <c r="J207" i="5" a="1"/>
  <c r="J207" i="5" s="1"/>
  <c r="J194" i="5" a="1"/>
  <c r="J194" i="5" s="1"/>
  <c r="J181" i="5" a="1"/>
  <c r="J181" i="5" s="1"/>
  <c r="J155" i="5" a="1"/>
  <c r="J155" i="5" s="1"/>
  <c r="J329" i="5" a="1"/>
  <c r="J329" i="5" s="1"/>
  <c r="J321" i="5" a="1"/>
  <c r="J321" i="5" s="1"/>
  <c r="J313" i="5" a="1"/>
  <c r="J313" i="5" s="1"/>
  <c r="J305" i="5" a="1"/>
  <c r="J305" i="5" s="1"/>
  <c r="J293" i="5" a="1"/>
  <c r="J293" i="5" s="1"/>
  <c r="J277" i="5" a="1"/>
  <c r="J277" i="5" s="1"/>
  <c r="J261" i="5" a="1"/>
  <c r="J261" i="5" s="1"/>
  <c r="J245" i="5" a="1"/>
  <c r="J245" i="5" s="1"/>
  <c r="J230" i="5" a="1"/>
  <c r="J230" i="5" s="1"/>
  <c r="J203" i="5" a="1"/>
  <c r="J203" i="5" s="1"/>
  <c r="J191" i="5" a="1"/>
  <c r="J191" i="5" s="1"/>
  <c r="J178" i="5" a="1"/>
  <c r="J178" i="5" s="1"/>
  <c r="J328" i="5" a="1"/>
  <c r="J328" i="5" s="1"/>
  <c r="J320" i="5" a="1"/>
  <c r="J320" i="5" s="1"/>
  <c r="J312" i="5" a="1"/>
  <c r="J312" i="5" s="1"/>
  <c r="J304" i="5" a="1"/>
  <c r="J304" i="5" s="1"/>
  <c r="J289" i="5" a="1"/>
  <c r="J289" i="5" s="1"/>
  <c r="J273" i="5" a="1"/>
  <c r="J273" i="5" s="1"/>
  <c r="J257" i="5" a="1"/>
  <c r="J257" i="5" s="1"/>
  <c r="J241" i="5" a="1"/>
  <c r="J241" i="5" s="1"/>
  <c r="J227" i="5" a="1"/>
  <c r="J227" i="5" s="1"/>
  <c r="J213" i="5" a="1"/>
  <c r="J213" i="5" s="1"/>
  <c r="J187" i="5" a="1"/>
  <c r="J187" i="5" s="1"/>
  <c r="J175" i="5" a="1"/>
  <c r="J175" i="5" s="1"/>
  <c r="J162" i="5" a="1"/>
  <c r="J162" i="5" s="1"/>
  <c r="J150" i="5" a="1"/>
  <c r="J150" i="5" s="1"/>
  <c r="J153" i="5" a="1"/>
  <c r="J153" i="5" s="1"/>
  <c r="J156" i="5" a="1"/>
  <c r="J156" i="5" s="1"/>
  <c r="J160" i="5" a="1"/>
  <c r="J160" i="5" s="1"/>
  <c r="J166" i="5" a="1"/>
  <c r="J166" i="5" s="1"/>
  <c r="J169" i="5" a="1"/>
  <c r="J169" i="5" s="1"/>
  <c r="J172" i="5" a="1"/>
  <c r="J172" i="5" s="1"/>
  <c r="J176" i="5" a="1"/>
  <c r="J176" i="5" s="1"/>
  <c r="J182" i="5" a="1"/>
  <c r="J182" i="5" s="1"/>
  <c r="J185" i="5" a="1"/>
  <c r="J185" i="5" s="1"/>
  <c r="J188" i="5" a="1"/>
  <c r="J188" i="5" s="1"/>
  <c r="J192" i="5" a="1"/>
  <c r="J192" i="5" s="1"/>
  <c r="J198" i="5" a="1"/>
  <c r="J198" i="5" s="1"/>
  <c r="J201" i="5" a="1"/>
  <c r="J201" i="5" s="1"/>
  <c r="J204" i="5" a="1"/>
  <c r="J204" i="5" s="1"/>
  <c r="J208" i="5" a="1"/>
  <c r="J208" i="5" s="1"/>
  <c r="J214" i="5" a="1"/>
  <c r="J214" i="5" s="1"/>
  <c r="J217" i="5" a="1"/>
  <c r="J217" i="5" s="1"/>
  <c r="J221" i="5" a="1"/>
  <c r="J221" i="5" s="1"/>
  <c r="J228" i="5" a="1"/>
  <c r="J228" i="5" s="1"/>
  <c r="J231" i="5" a="1"/>
  <c r="J231" i="5" s="1"/>
  <c r="J234" i="5" a="1"/>
  <c r="J234" i="5" s="1"/>
  <c r="J238" i="5" a="1"/>
  <c r="J238" i="5" s="1"/>
  <c r="J242" i="5" a="1"/>
  <c r="J242" i="5" s="1"/>
  <c r="J246" i="5" a="1"/>
  <c r="J246" i="5" s="1"/>
  <c r="J250" i="5" a="1"/>
  <c r="J250" i="5" s="1"/>
  <c r="J254" i="5" a="1"/>
  <c r="J254" i="5" s="1"/>
  <c r="J258" i="5" a="1"/>
  <c r="J258" i="5" s="1"/>
  <c r="J262" i="5" a="1"/>
  <c r="J262" i="5" s="1"/>
  <c r="J266" i="5" a="1"/>
  <c r="J266" i="5" s="1"/>
  <c r="J270" i="5" a="1"/>
  <c r="J270" i="5" s="1"/>
  <c r="J274" i="5" a="1"/>
  <c r="J274" i="5" s="1"/>
  <c r="J278" i="5" a="1"/>
  <c r="J278" i="5" s="1"/>
  <c r="J282" i="5" a="1"/>
  <c r="J282" i="5" s="1"/>
  <c r="J286" i="5" a="1"/>
  <c r="J286" i="5" s="1"/>
  <c r="J290" i="5" a="1"/>
  <c r="J290" i="5" s="1"/>
  <c r="J294" i="5" a="1"/>
  <c r="J294" i="5" s="1"/>
  <c r="J298" i="5" a="1"/>
  <c r="J298" i="5" s="1"/>
  <c r="J302" i="5" a="1"/>
  <c r="J302" i="5" s="1"/>
  <c r="J306" i="5" a="1"/>
  <c r="J306" i="5" s="1"/>
  <c r="J310" i="5" a="1"/>
  <c r="J310" i="5" s="1"/>
  <c r="J314" i="5" a="1"/>
  <c r="J314" i="5" s="1"/>
  <c r="J318" i="5" a="1"/>
  <c r="J318" i="5" s="1"/>
  <c r="J322" i="5" a="1"/>
  <c r="J322" i="5" s="1"/>
  <c r="J326" i="5" a="1"/>
  <c r="J326" i="5" s="1"/>
  <c r="J330" i="5" a="1"/>
  <c r="J330" i="5" s="1"/>
  <c r="J186" i="5" a="1"/>
  <c r="J186" i="5" s="1"/>
  <c r="J195" i="5" a="1"/>
  <c r="J195" i="5" s="1"/>
  <c r="J202" i="5" a="1"/>
  <c r="J202" i="5" s="1"/>
  <c r="J211" i="5" a="1"/>
  <c r="J211" i="5" s="1"/>
  <c r="J218" i="5" a="1"/>
  <c r="J218" i="5" s="1"/>
  <c r="J225" i="5" a="1"/>
  <c r="J225" i="5" s="1"/>
  <c r="J235" i="5" a="1"/>
  <c r="J235" i="5" s="1"/>
  <c r="J243" i="5" a="1"/>
  <c r="J243" i="5" s="1"/>
  <c r="J251" i="5" a="1"/>
  <c r="J251" i="5" s="1"/>
  <c r="J259" i="5" a="1"/>
  <c r="J259" i="5" s="1"/>
  <c r="J267" i="5" a="1"/>
  <c r="J267" i="5" s="1"/>
  <c r="J275" i="5" a="1"/>
  <c r="J275" i="5" s="1"/>
  <c r="J283" i="5" a="1"/>
  <c r="J283" i="5" s="1"/>
  <c r="J291" i="5" a="1"/>
  <c r="J291" i="5" s="1"/>
  <c r="J299" i="5" a="1"/>
  <c r="J299" i="5" s="1"/>
  <c r="J307" i="5" a="1"/>
  <c r="J307" i="5" s="1"/>
  <c r="J319" i="5" a="1"/>
  <c r="J319" i="5" s="1"/>
  <c r="J327" i="5" a="1"/>
  <c r="J327" i="5" s="1"/>
  <c r="J331" i="5" a="1"/>
  <c r="J331" i="5" s="1"/>
  <c r="J216" i="5" a="1"/>
  <c r="J216" i="5" s="1"/>
  <c r="J223" i="5" a="1"/>
  <c r="J223" i="5" s="1"/>
  <c r="J229" i="5" a="1"/>
  <c r="J229" i="5" s="1"/>
  <c r="J240" i="5" a="1"/>
  <c r="J240" i="5" s="1"/>
  <c r="J248" i="5" a="1"/>
  <c r="J248" i="5" s="1"/>
  <c r="J256" i="5" a="1"/>
  <c r="J256" i="5" s="1"/>
  <c r="J264" i="5" a="1"/>
  <c r="J264" i="5" s="1"/>
  <c r="J272" i="5" a="1"/>
  <c r="J272" i="5" s="1"/>
  <c r="J280" i="5" a="1"/>
  <c r="J280" i="5" s="1"/>
  <c r="J288" i="5" a="1"/>
  <c r="J288" i="5" s="1"/>
  <c r="J296" i="5" a="1"/>
  <c r="J296" i="5" s="1"/>
  <c r="J147" i="5" a="1"/>
  <c r="J147" i="5" s="1"/>
  <c r="J151" i="5" a="1"/>
  <c r="J151" i="5" s="1"/>
  <c r="J154" i="5" a="1"/>
  <c r="J154" i="5" s="1"/>
  <c r="J157" i="5" a="1"/>
  <c r="J157" i="5" s="1"/>
  <c r="J163" i="5" a="1"/>
  <c r="J163" i="5" s="1"/>
  <c r="J167" i="5" a="1"/>
  <c r="J167" i="5" s="1"/>
  <c r="J170" i="5" a="1"/>
  <c r="J170" i="5" s="1"/>
  <c r="J173" i="5" a="1"/>
  <c r="J173" i="5" s="1"/>
  <c r="J179" i="5" a="1"/>
  <c r="J179" i="5" s="1"/>
  <c r="J183" i="5" a="1"/>
  <c r="J183" i="5" s="1"/>
  <c r="J189" i="5" a="1"/>
  <c r="J189" i="5" s="1"/>
  <c r="J199" i="5" a="1"/>
  <c r="J199" i="5" s="1"/>
  <c r="J205" i="5" a="1"/>
  <c r="J205" i="5" s="1"/>
  <c r="J215" i="5" a="1"/>
  <c r="J215" i="5" s="1"/>
  <c r="J222" i="5" a="1"/>
  <c r="J222" i="5" s="1"/>
  <c r="J232" i="5" a="1"/>
  <c r="J232" i="5" s="1"/>
  <c r="J239" i="5" a="1"/>
  <c r="J239" i="5" s="1"/>
  <c r="J247" i="5" a="1"/>
  <c r="J247" i="5" s="1"/>
  <c r="J255" i="5" a="1"/>
  <c r="J255" i="5" s="1"/>
  <c r="J263" i="5" a="1"/>
  <c r="J263" i="5" s="1"/>
  <c r="J271" i="5" a="1"/>
  <c r="J271" i="5" s="1"/>
  <c r="J279" i="5" a="1"/>
  <c r="J279" i="5" s="1"/>
  <c r="J287" i="5" a="1"/>
  <c r="J287" i="5" s="1"/>
  <c r="J295" i="5" a="1"/>
  <c r="J295" i="5" s="1"/>
  <c r="J303" i="5" a="1"/>
  <c r="J303" i="5" s="1"/>
  <c r="J311" i="5" a="1"/>
  <c r="J311" i="5" s="1"/>
  <c r="J315" i="5" a="1"/>
  <c r="J315" i="5" s="1"/>
  <c r="J323" i="5" a="1"/>
  <c r="J323" i="5" s="1"/>
  <c r="J219" i="5" a="1"/>
  <c r="J219" i="5" s="1"/>
  <c r="J226" i="5" a="1"/>
  <c r="J226" i="5" s="1"/>
  <c r="J236" i="5" a="1"/>
  <c r="J236" i="5" s="1"/>
  <c r="J244" i="5" a="1"/>
  <c r="J244" i="5" s="1"/>
  <c r="J252" i="5" a="1"/>
  <c r="J252" i="5" s="1"/>
  <c r="J260" i="5" a="1"/>
  <c r="J260" i="5" s="1"/>
  <c r="J268" i="5" a="1"/>
  <c r="J268" i="5" s="1"/>
  <c r="J276" i="5" a="1"/>
  <c r="J276" i="5" s="1"/>
  <c r="J284" i="5" a="1"/>
  <c r="J284" i="5" s="1"/>
  <c r="J292" i="5" a="1"/>
  <c r="J292" i="5" s="1"/>
  <c r="J300" i="5" a="1"/>
  <c r="J300" i="5" s="1"/>
  <c r="J148" i="5" a="1"/>
  <c r="J148" i="5" s="1"/>
  <c r="J152" i="5" a="1"/>
  <c r="J152" i="5" s="1"/>
  <c r="J158" i="5" a="1"/>
  <c r="J158" i="5" s="1"/>
  <c r="J161" i="5" a="1"/>
  <c r="J161" i="5" s="1"/>
  <c r="J164" i="5" a="1"/>
  <c r="J164" i="5" s="1"/>
  <c r="J168" i="5" a="1"/>
  <c r="J168" i="5" s="1"/>
  <c r="J174" i="5" a="1"/>
  <c r="J174" i="5" s="1"/>
  <c r="J177" i="5" a="1"/>
  <c r="J177" i="5" s="1"/>
  <c r="J180" i="5" a="1"/>
  <c r="J180" i="5" s="1"/>
  <c r="J184" i="5" a="1"/>
  <c r="J184" i="5" s="1"/>
  <c r="J190" i="5" a="1"/>
  <c r="J190" i="5" s="1"/>
  <c r="J193" i="5" a="1"/>
  <c r="J193" i="5" s="1"/>
  <c r="J196" i="5" a="1"/>
  <c r="J196" i="5" s="1"/>
  <c r="J200" i="5" a="1"/>
  <c r="J200" i="5" s="1"/>
  <c r="J206" i="5" a="1"/>
  <c r="J206" i="5" s="1"/>
  <c r="J209" i="5" a="1"/>
  <c r="J209" i="5" s="1"/>
  <c r="J212" i="5" a="1"/>
  <c r="J212" i="5" s="1"/>
  <c r="J325" i="5" a="1"/>
  <c r="J325" i="5" s="1"/>
  <c r="J317" i="5" a="1"/>
  <c r="J317" i="5" s="1"/>
  <c r="J309" i="5" a="1"/>
  <c r="J309" i="5" s="1"/>
  <c r="J301" i="5" a="1"/>
  <c r="J301" i="5" s="1"/>
  <c r="J285" i="5" a="1"/>
  <c r="J285" i="5" s="1"/>
  <c r="J269" i="5" a="1"/>
  <c r="J269" i="5" s="1"/>
  <c r="J253" i="5" a="1"/>
  <c r="J253" i="5" s="1"/>
  <c r="J237" i="5" a="1"/>
  <c r="J237" i="5" s="1"/>
  <c r="J224" i="5" a="1"/>
  <c r="J224" i="5" s="1"/>
  <c r="J210" i="5" a="1"/>
  <c r="J210" i="5" s="1"/>
  <c r="J197" i="5" a="1"/>
  <c r="J197" i="5" s="1"/>
  <c r="J171" i="5" a="1"/>
  <c r="J171" i="5" s="1"/>
  <c r="J159" i="5" a="1"/>
  <c r="J159" i="5" s="1"/>
  <c r="G32" i="8"/>
  <c r="F32" i="8" s="1" a="1"/>
  <c r="F32" i="8" s="1"/>
  <c r="E32" i="8" s="1" a="1"/>
  <c r="E32" i="8" s="1"/>
  <c r="M55" i="9"/>
  <c r="M151" i="9"/>
  <c r="M279" i="9"/>
  <c r="Q29" i="9"/>
  <c r="W48" i="9" a="1"/>
  <c r="W48" i="9" s="1"/>
  <c r="W52" i="9" a="1"/>
  <c r="W52" i="9" s="1"/>
  <c r="W55" i="9" a="1"/>
  <c r="W55" i="9" s="1"/>
  <c r="W59" i="9" a="1"/>
  <c r="W59" i="9" s="1"/>
  <c r="W62" i="9" a="1"/>
  <c r="W62" i="9" s="1"/>
  <c r="W66" i="9" a="1"/>
  <c r="W66" i="9" s="1"/>
  <c r="W69" i="9" a="1"/>
  <c r="W69" i="9" s="1"/>
  <c r="W73" i="9" a="1"/>
  <c r="W73" i="9" s="1"/>
  <c r="W80" i="9" a="1"/>
  <c r="W80" i="9" s="1"/>
  <c r="W84" i="9" a="1"/>
  <c r="W84" i="9" s="1"/>
  <c r="W87" i="9" a="1"/>
  <c r="W87" i="9" s="1"/>
  <c r="W91" i="9" a="1"/>
  <c r="W91" i="9" s="1"/>
  <c r="W94" i="9" a="1"/>
  <c r="W94" i="9" s="1"/>
  <c r="W98" i="9" a="1"/>
  <c r="W98" i="9" s="1"/>
  <c r="W101" i="9" a="1"/>
  <c r="W101" i="9" s="1"/>
  <c r="W105" i="9" a="1"/>
  <c r="W105" i="9" s="1"/>
  <c r="W112" i="9" a="1"/>
  <c r="W112" i="9" s="1"/>
  <c r="W116" i="9" a="1"/>
  <c r="W116" i="9" s="1"/>
  <c r="W119" i="9" a="1"/>
  <c r="W119" i="9" s="1"/>
  <c r="W123" i="9" a="1"/>
  <c r="W123" i="9" s="1"/>
  <c r="W126" i="9" a="1"/>
  <c r="W126" i="9" s="1"/>
  <c r="W130" i="9" a="1"/>
  <c r="W130" i="9" s="1"/>
  <c r="W133" i="9" a="1"/>
  <c r="W133" i="9" s="1"/>
  <c r="W137" i="9" a="1"/>
  <c r="W137" i="9" s="1"/>
  <c r="W144" i="9" a="1"/>
  <c r="W144" i="9" s="1"/>
  <c r="W148" i="9" a="1"/>
  <c r="W148" i="9" s="1"/>
  <c r="W151" i="9" a="1"/>
  <c r="W151" i="9" s="1"/>
  <c r="W155" i="9" a="1"/>
  <c r="W155" i="9" s="1"/>
  <c r="W158" i="9" a="1"/>
  <c r="W158" i="9" s="1"/>
  <c r="W162" i="9" a="1"/>
  <c r="W162" i="9" s="1"/>
  <c r="W165" i="9" a="1"/>
  <c r="W165" i="9" s="1"/>
  <c r="W169" i="9" a="1"/>
  <c r="W169" i="9" s="1"/>
  <c r="W176" i="9" a="1"/>
  <c r="W176" i="9" s="1"/>
  <c r="W180" i="9" a="1"/>
  <c r="W180" i="9" s="1"/>
  <c r="W183" i="9" a="1"/>
  <c r="W183" i="9" s="1"/>
  <c r="W187" i="9" a="1"/>
  <c r="W187" i="9" s="1"/>
  <c r="W190" i="9" a="1"/>
  <c r="W190" i="9" s="1"/>
  <c r="W194" i="9" a="1"/>
  <c r="W194" i="9" s="1"/>
  <c r="W197" i="9" a="1"/>
  <c r="W197" i="9" s="1"/>
  <c r="W201" i="9" a="1"/>
  <c r="W201" i="9" s="1"/>
  <c r="W208" i="9" a="1"/>
  <c r="W208" i="9" s="1"/>
  <c r="W212" i="9" a="1"/>
  <c r="W212" i="9" s="1"/>
  <c r="W215" i="9" a="1"/>
  <c r="W215" i="9" s="1"/>
  <c r="W219" i="9" a="1"/>
  <c r="W219" i="9" s="1"/>
  <c r="W223" i="9" a="1"/>
  <c r="W223" i="9" s="1"/>
  <c r="W227" i="9" a="1"/>
  <c r="W227" i="9" s="1"/>
  <c r="W231" i="9" a="1"/>
  <c r="W231" i="9" s="1"/>
  <c r="W235" i="9" a="1"/>
  <c r="W235" i="9" s="1"/>
  <c r="W239" i="9" a="1"/>
  <c r="W239" i="9" s="1"/>
  <c r="W243" i="9" a="1"/>
  <c r="W243" i="9" s="1"/>
  <c r="W247" i="9" a="1"/>
  <c r="W247" i="9" s="1"/>
  <c r="W251" i="9" a="1"/>
  <c r="W251" i="9" s="1"/>
  <c r="W255" i="9" a="1"/>
  <c r="W255" i="9" s="1"/>
  <c r="W259" i="9" a="1"/>
  <c r="W259" i="9" s="1"/>
  <c r="W263" i="9" a="1"/>
  <c r="W263" i="9" s="1"/>
  <c r="W267" i="9" a="1"/>
  <c r="W267" i="9" s="1"/>
  <c r="W271" i="9" a="1"/>
  <c r="W271" i="9" s="1"/>
  <c r="W275" i="9" a="1"/>
  <c r="W275" i="9" s="1"/>
  <c r="W279" i="9" a="1"/>
  <c r="W279" i="9" s="1"/>
  <c r="W283" i="9" a="1"/>
  <c r="W283" i="9" s="1"/>
  <c r="W287" i="9" a="1"/>
  <c r="W287" i="9" s="1"/>
  <c r="W291" i="9" a="1"/>
  <c r="W291" i="9" s="1"/>
  <c r="W295" i="9" a="1"/>
  <c r="W295" i="9" s="1"/>
  <c r="W299" i="9" a="1"/>
  <c r="W299" i="9" s="1"/>
  <c r="W303" i="9" a="1"/>
  <c r="W303" i="9" s="1"/>
  <c r="W307" i="9" a="1"/>
  <c r="W307" i="9" s="1"/>
  <c r="W311" i="9" a="1"/>
  <c r="W311" i="9" s="1"/>
  <c r="W315" i="9" a="1"/>
  <c r="W315" i="9" s="1"/>
  <c r="W319" i="9" a="1"/>
  <c r="W319" i="9" s="1"/>
  <c r="W323" i="9" a="1"/>
  <c r="W323" i="9" s="1"/>
  <c r="W327" i="9" a="1"/>
  <c r="W327" i="9" s="1"/>
  <c r="W331" i="9" a="1"/>
  <c r="W331" i="9" s="1"/>
  <c r="W36" i="9" a="1"/>
  <c r="W36" i="9" s="1"/>
  <c r="W39" i="9" a="1"/>
  <c r="W39" i="9" s="1"/>
  <c r="W45" i="9" a="1"/>
  <c r="W45" i="9" s="1"/>
  <c r="W49" i="9" a="1"/>
  <c r="W49" i="9" s="1"/>
  <c r="W56" i="9" a="1"/>
  <c r="W56" i="9" s="1"/>
  <c r="W60" i="9" a="1"/>
  <c r="W60" i="9" s="1"/>
  <c r="W63" i="9" a="1"/>
  <c r="W63" i="9" s="1"/>
  <c r="W67" i="9" a="1"/>
  <c r="W67" i="9" s="1"/>
  <c r="W70" i="9" a="1"/>
  <c r="W70" i="9" s="1"/>
  <c r="W74" i="9" a="1"/>
  <c r="W74" i="9" s="1"/>
  <c r="W77" i="9" a="1"/>
  <c r="W77" i="9" s="1"/>
  <c r="W81" i="9" a="1"/>
  <c r="W81" i="9" s="1"/>
  <c r="W88" i="9" a="1"/>
  <c r="W88" i="9" s="1"/>
  <c r="W92" i="9" a="1"/>
  <c r="W92" i="9" s="1"/>
  <c r="W95" i="9" a="1"/>
  <c r="W95" i="9" s="1"/>
  <c r="W99" i="9" a="1"/>
  <c r="W99" i="9" s="1"/>
  <c r="W102" i="9" a="1"/>
  <c r="W102" i="9" s="1"/>
  <c r="W106" i="9" a="1"/>
  <c r="W106" i="9" s="1"/>
  <c r="W109" i="9" a="1"/>
  <c r="W109" i="9" s="1"/>
  <c r="W113" i="9" a="1"/>
  <c r="W113" i="9" s="1"/>
  <c r="W120" i="9" a="1"/>
  <c r="W120" i="9" s="1"/>
  <c r="W124" i="9" a="1"/>
  <c r="W124" i="9" s="1"/>
  <c r="W127" i="9" a="1"/>
  <c r="W127" i="9" s="1"/>
  <c r="W131" i="9" a="1"/>
  <c r="W131" i="9" s="1"/>
  <c r="W134" i="9" a="1"/>
  <c r="W134" i="9" s="1"/>
  <c r="W138" i="9" a="1"/>
  <c r="W138" i="9" s="1"/>
  <c r="W141" i="9" a="1"/>
  <c r="W141" i="9" s="1"/>
  <c r="W145" i="9" a="1"/>
  <c r="W145" i="9" s="1"/>
  <c r="W152" i="9" a="1"/>
  <c r="W152" i="9" s="1"/>
  <c r="W156" i="9" a="1"/>
  <c r="W156" i="9" s="1"/>
  <c r="W159" i="9" a="1"/>
  <c r="W159" i="9" s="1"/>
  <c r="W163" i="9" a="1"/>
  <c r="W163" i="9" s="1"/>
  <c r="W166" i="9" a="1"/>
  <c r="W166" i="9" s="1"/>
  <c r="W170" i="9" a="1"/>
  <c r="W170" i="9" s="1"/>
  <c r="W173" i="9" a="1"/>
  <c r="W173" i="9" s="1"/>
  <c r="W177" i="9" a="1"/>
  <c r="W177" i="9" s="1"/>
  <c r="W184" i="9" a="1"/>
  <c r="W184" i="9" s="1"/>
  <c r="W188" i="9" a="1"/>
  <c r="W188" i="9" s="1"/>
  <c r="W191" i="9" a="1"/>
  <c r="W191" i="9" s="1"/>
  <c r="W195" i="9" a="1"/>
  <c r="W195" i="9" s="1"/>
  <c r="W198" i="9" a="1"/>
  <c r="W198" i="9" s="1"/>
  <c r="W202" i="9" a="1"/>
  <c r="W202" i="9" s="1"/>
  <c r="W205" i="9" a="1"/>
  <c r="W205" i="9" s="1"/>
  <c r="W209" i="9" a="1"/>
  <c r="W209" i="9" s="1"/>
  <c r="W216" i="9" a="1"/>
  <c r="W216" i="9" s="1"/>
  <c r="W220" i="9" a="1"/>
  <c r="W220" i="9" s="1"/>
  <c r="W224" i="9" a="1"/>
  <c r="W224" i="9" s="1"/>
  <c r="W228" i="9" a="1"/>
  <c r="W228" i="9" s="1"/>
  <c r="W232" i="9" a="1"/>
  <c r="W232" i="9" s="1"/>
  <c r="W236" i="9" a="1"/>
  <c r="W236" i="9" s="1"/>
  <c r="W240" i="9" a="1"/>
  <c r="W240" i="9" s="1"/>
  <c r="W244" i="9" a="1"/>
  <c r="W244" i="9" s="1"/>
  <c r="W248" i="9" a="1"/>
  <c r="W248" i="9" s="1"/>
  <c r="W252" i="9" a="1"/>
  <c r="W252" i="9" s="1"/>
  <c r="W256" i="9" a="1"/>
  <c r="W256" i="9" s="1"/>
  <c r="W260" i="9" a="1"/>
  <c r="W260" i="9" s="1"/>
  <c r="W264" i="9" a="1"/>
  <c r="W264" i="9" s="1"/>
  <c r="W268" i="9" a="1"/>
  <c r="W268" i="9" s="1"/>
  <c r="W272" i="9" a="1"/>
  <c r="W272" i="9" s="1"/>
  <c r="W276" i="9" a="1"/>
  <c r="W276" i="9" s="1"/>
  <c r="W280" i="9" a="1"/>
  <c r="W280" i="9" s="1"/>
  <c r="W284" i="9" a="1"/>
  <c r="W284" i="9" s="1"/>
  <c r="W288" i="9" a="1"/>
  <c r="W288" i="9" s="1"/>
  <c r="W292" i="9" a="1"/>
  <c r="W292" i="9" s="1"/>
  <c r="W296" i="9" a="1"/>
  <c r="W296" i="9" s="1"/>
  <c r="W300" i="9" a="1"/>
  <c r="W300" i="9" s="1"/>
  <c r="W304" i="9" a="1"/>
  <c r="W304" i="9" s="1"/>
  <c r="W308" i="9" a="1"/>
  <c r="W308" i="9" s="1"/>
  <c r="W312" i="9" a="1"/>
  <c r="W312" i="9" s="1"/>
  <c r="W316" i="9" a="1"/>
  <c r="W316" i="9" s="1"/>
  <c r="W320" i="9" a="1"/>
  <c r="W320" i="9" s="1"/>
  <c r="W324" i="9" a="1"/>
  <c r="W324" i="9" s="1"/>
  <c r="W328" i="9" a="1"/>
  <c r="W328" i="9" s="1"/>
  <c r="W332" i="9" a="1"/>
  <c r="W332" i="9" s="1"/>
  <c r="W37" i="9" a="1"/>
  <c r="W37" i="9" s="1"/>
  <c r="W42" i="9" a="1"/>
  <c r="W42" i="9" s="1"/>
  <c r="W47" i="9" a="1"/>
  <c r="W47" i="9" s="1"/>
  <c r="W46" i="9" a="1"/>
  <c r="W46" i="9" s="1"/>
  <c r="W50" i="9" a="1"/>
  <c r="W50" i="9" s="1"/>
  <c r="W53" i="9" a="1"/>
  <c r="W53" i="9" s="1"/>
  <c r="W57" i="9" a="1"/>
  <c r="W57" i="9" s="1"/>
  <c r="W64" i="9" a="1"/>
  <c r="W64" i="9" s="1"/>
  <c r="W68" i="9" a="1"/>
  <c r="W68" i="9" s="1"/>
  <c r="W71" i="9" a="1"/>
  <c r="W71" i="9" s="1"/>
  <c r="W75" i="9" a="1"/>
  <c r="W75" i="9" s="1"/>
  <c r="W78" i="9" a="1"/>
  <c r="W78" i="9" s="1"/>
  <c r="W82" i="9" a="1"/>
  <c r="W82" i="9" s="1"/>
  <c r="W85" i="9" a="1"/>
  <c r="W85" i="9" s="1"/>
  <c r="W89" i="9" a="1"/>
  <c r="W89" i="9" s="1"/>
  <c r="W96" i="9" a="1"/>
  <c r="W96" i="9" s="1"/>
  <c r="W100" i="9" a="1"/>
  <c r="W100" i="9" s="1"/>
  <c r="W103" i="9" a="1"/>
  <c r="W103" i="9" s="1"/>
  <c r="W107" i="9" a="1"/>
  <c r="W107" i="9" s="1"/>
  <c r="W110" i="9" a="1"/>
  <c r="W110" i="9" s="1"/>
  <c r="W114" i="9" a="1"/>
  <c r="W114" i="9" s="1"/>
  <c r="W117" i="9" a="1"/>
  <c r="W117" i="9" s="1"/>
  <c r="W121" i="9" a="1"/>
  <c r="W121" i="9" s="1"/>
  <c r="W128" i="9" a="1"/>
  <c r="W128" i="9" s="1"/>
  <c r="W132" i="9" a="1"/>
  <c r="W132" i="9" s="1"/>
  <c r="W135" i="9" a="1"/>
  <c r="W135" i="9" s="1"/>
  <c r="W139" i="9" a="1"/>
  <c r="W139" i="9" s="1"/>
  <c r="W142" i="9" a="1"/>
  <c r="W142" i="9" s="1"/>
  <c r="W146" i="9" a="1"/>
  <c r="W146" i="9" s="1"/>
  <c r="W149" i="9" a="1"/>
  <c r="W149" i="9" s="1"/>
  <c r="W153" i="9" a="1"/>
  <c r="W153" i="9" s="1"/>
  <c r="W160" i="9" a="1"/>
  <c r="W160" i="9" s="1"/>
  <c r="W164" i="9" a="1"/>
  <c r="W164" i="9" s="1"/>
  <c r="W167" i="9" a="1"/>
  <c r="W167" i="9" s="1"/>
  <c r="W171" i="9" a="1"/>
  <c r="W171" i="9" s="1"/>
  <c r="W174" i="9" a="1"/>
  <c r="W174" i="9" s="1"/>
  <c r="W178" i="9" a="1"/>
  <c r="W178" i="9" s="1"/>
  <c r="W181" i="9" a="1"/>
  <c r="W181" i="9" s="1"/>
  <c r="W185" i="9" a="1"/>
  <c r="W185" i="9" s="1"/>
  <c r="W192" i="9" a="1"/>
  <c r="W192" i="9" s="1"/>
  <c r="W196" i="9" a="1"/>
  <c r="W196" i="9" s="1"/>
  <c r="W199" i="9" a="1"/>
  <c r="W199" i="9" s="1"/>
  <c r="W203" i="9" a="1"/>
  <c r="W203" i="9" s="1"/>
  <c r="W206" i="9" a="1"/>
  <c r="W206" i="9" s="1"/>
  <c r="W210" i="9" a="1"/>
  <c r="W210" i="9" s="1"/>
  <c r="W213" i="9" a="1"/>
  <c r="W213" i="9" s="1"/>
  <c r="W217" i="9" a="1"/>
  <c r="W217" i="9" s="1"/>
  <c r="W221" i="9" a="1"/>
  <c r="W221" i="9" s="1"/>
  <c r="W225" i="9" a="1"/>
  <c r="W225" i="9" s="1"/>
  <c r="W229" i="9" a="1"/>
  <c r="W229" i="9" s="1"/>
  <c r="W233" i="9" a="1"/>
  <c r="W233" i="9" s="1"/>
  <c r="W237" i="9" a="1"/>
  <c r="W237" i="9" s="1"/>
  <c r="W241" i="9" a="1"/>
  <c r="W241" i="9" s="1"/>
  <c r="W245" i="9" a="1"/>
  <c r="W245" i="9" s="1"/>
  <c r="W249" i="9" a="1"/>
  <c r="W249" i="9" s="1"/>
  <c r="W253" i="9" a="1"/>
  <c r="W253" i="9" s="1"/>
  <c r="W257" i="9" a="1"/>
  <c r="W257" i="9" s="1"/>
  <c r="W261" i="9" a="1"/>
  <c r="W261" i="9" s="1"/>
  <c r="W265" i="9" a="1"/>
  <c r="W265" i="9" s="1"/>
  <c r="W269" i="9" a="1"/>
  <c r="W269" i="9" s="1"/>
  <c r="W273" i="9" a="1"/>
  <c r="W273" i="9" s="1"/>
  <c r="W277" i="9" a="1"/>
  <c r="W277" i="9" s="1"/>
  <c r="W281" i="9" a="1"/>
  <c r="W281" i="9" s="1"/>
  <c r="W285" i="9" a="1"/>
  <c r="W285" i="9" s="1"/>
  <c r="W289" i="9" a="1"/>
  <c r="W289" i="9" s="1"/>
  <c r="W293" i="9" a="1"/>
  <c r="W293" i="9" s="1"/>
  <c r="W297" i="9" a="1"/>
  <c r="W297" i="9" s="1"/>
  <c r="W301" i="9" a="1"/>
  <c r="W301" i="9" s="1"/>
  <c r="W305" i="9" a="1"/>
  <c r="W305" i="9" s="1"/>
  <c r="W309" i="9" a="1"/>
  <c r="W309" i="9" s="1"/>
  <c r="W313" i="9" a="1"/>
  <c r="W313" i="9" s="1"/>
  <c r="W317" i="9" a="1"/>
  <c r="W317" i="9" s="1"/>
  <c r="W321" i="9" a="1"/>
  <c r="W321" i="9" s="1"/>
  <c r="W325" i="9" a="1"/>
  <c r="W325" i="9" s="1"/>
  <c r="W329" i="9" a="1"/>
  <c r="W329" i="9" s="1"/>
  <c r="W35" i="9" a="1"/>
  <c r="W35" i="9" s="1"/>
  <c r="W40" i="9" a="1"/>
  <c r="W40" i="9" s="1"/>
  <c r="W43" i="9" a="1"/>
  <c r="W43" i="9" s="1"/>
  <c r="W61" i="9" a="1"/>
  <c r="W61" i="9" s="1"/>
  <c r="W76" i="9" a="1"/>
  <c r="W76" i="9" s="1"/>
  <c r="W90" i="9" a="1"/>
  <c r="W90" i="9" s="1"/>
  <c r="W104" i="9" a="1"/>
  <c r="W104" i="9" s="1"/>
  <c r="W118" i="9" a="1"/>
  <c r="W118" i="9" s="1"/>
  <c r="W147" i="9" a="1"/>
  <c r="W147" i="9" s="1"/>
  <c r="W161" i="9" a="1"/>
  <c r="W161" i="9" s="1"/>
  <c r="W175" i="9" a="1"/>
  <c r="W175" i="9" s="1"/>
  <c r="W189" i="9" a="1"/>
  <c r="W189" i="9" s="1"/>
  <c r="W204" i="9" a="1"/>
  <c r="W204" i="9" s="1"/>
  <c r="W218" i="9" a="1"/>
  <c r="W218" i="9" s="1"/>
  <c r="W234" i="9" a="1"/>
  <c r="W234" i="9" s="1"/>
  <c r="W250" i="9" a="1"/>
  <c r="W250" i="9" s="1"/>
  <c r="W266" i="9" a="1"/>
  <c r="W266" i="9" s="1"/>
  <c r="W282" i="9" a="1"/>
  <c r="W282" i="9" s="1"/>
  <c r="W298" i="9" a="1"/>
  <c r="W298" i="9" s="1"/>
  <c r="W314" i="9" a="1"/>
  <c r="W314" i="9" s="1"/>
  <c r="W330" i="9" a="1"/>
  <c r="W330" i="9" s="1"/>
  <c r="W51" i="9" a="1"/>
  <c r="W51" i="9" s="1"/>
  <c r="W65" i="9" a="1"/>
  <c r="W65" i="9" s="1"/>
  <c r="W79" i="9" a="1"/>
  <c r="W79" i="9" s="1"/>
  <c r="W93" i="9" a="1"/>
  <c r="W93" i="9" s="1"/>
  <c r="W108" i="9" a="1"/>
  <c r="W108" i="9" s="1"/>
  <c r="W122" i="9" a="1"/>
  <c r="W122" i="9" s="1"/>
  <c r="W136" i="9" a="1"/>
  <c r="W136" i="9" s="1"/>
  <c r="W150" i="9" a="1"/>
  <c r="W150" i="9" s="1"/>
  <c r="W179" i="9" a="1"/>
  <c r="W179" i="9" s="1"/>
  <c r="W193" i="9" a="1"/>
  <c r="W193" i="9" s="1"/>
  <c r="W207" i="9" a="1"/>
  <c r="W207" i="9" s="1"/>
  <c r="W222" i="9" a="1"/>
  <c r="W222" i="9" s="1"/>
  <c r="W238" i="9" a="1"/>
  <c r="W238" i="9" s="1"/>
  <c r="W254" i="9" a="1"/>
  <c r="W254" i="9" s="1"/>
  <c r="W270" i="9" a="1"/>
  <c r="W270" i="9" s="1"/>
  <c r="W286" i="9" a="1"/>
  <c r="W286" i="9" s="1"/>
  <c r="W302" i="9" a="1"/>
  <c r="W302" i="9" s="1"/>
  <c r="W318" i="9" a="1"/>
  <c r="W318" i="9" s="1"/>
  <c r="W38" i="9" a="1"/>
  <c r="W38" i="9" s="1"/>
  <c r="W54" i="9" a="1"/>
  <c r="W54" i="9" s="1"/>
  <c r="W83" i="9" a="1"/>
  <c r="W83" i="9" s="1"/>
  <c r="W97" i="9" a="1"/>
  <c r="W97" i="9" s="1"/>
  <c r="W111" i="9" a="1"/>
  <c r="W111" i="9" s="1"/>
  <c r="W125" i="9" a="1"/>
  <c r="W125" i="9" s="1"/>
  <c r="W140" i="9" a="1"/>
  <c r="W140" i="9" s="1"/>
  <c r="W154" i="9" a="1"/>
  <c r="W154" i="9" s="1"/>
  <c r="W168" i="9" a="1"/>
  <c r="W168" i="9" s="1"/>
  <c r="W182" i="9" a="1"/>
  <c r="W182" i="9" s="1"/>
  <c r="W211" i="9" a="1"/>
  <c r="W211" i="9" s="1"/>
  <c r="W226" i="9" a="1"/>
  <c r="W226" i="9" s="1"/>
  <c r="W242" i="9" a="1"/>
  <c r="W242" i="9" s="1"/>
  <c r="W258" i="9" a="1"/>
  <c r="W258" i="9" s="1"/>
  <c r="W274" i="9" a="1"/>
  <c r="W274" i="9" s="1"/>
  <c r="W290" i="9" a="1"/>
  <c r="W290" i="9" s="1"/>
  <c r="W306" i="9" a="1"/>
  <c r="W306" i="9" s="1"/>
  <c r="W322" i="9" a="1"/>
  <c r="W322" i="9" s="1"/>
  <c r="W41" i="9" a="1"/>
  <c r="W41" i="9" s="1"/>
  <c r="W58" i="9" a="1"/>
  <c r="W58" i="9" s="1"/>
  <c r="W72" i="9" a="1"/>
  <c r="W72" i="9" s="1"/>
  <c r="W86" i="9" a="1"/>
  <c r="W86" i="9" s="1"/>
  <c r="W115" i="9" a="1"/>
  <c r="W115" i="9" s="1"/>
  <c r="W129" i="9" a="1"/>
  <c r="W129" i="9" s="1"/>
  <c r="W143" i="9" a="1"/>
  <c r="W143" i="9" s="1"/>
  <c r="W157" i="9" a="1"/>
  <c r="W157" i="9" s="1"/>
  <c r="W172" i="9" a="1"/>
  <c r="W172" i="9" s="1"/>
  <c r="W186" i="9" a="1"/>
  <c r="W186" i="9" s="1"/>
  <c r="W200" i="9" a="1"/>
  <c r="W200" i="9" s="1"/>
  <c r="W214" i="9" a="1"/>
  <c r="W214" i="9" s="1"/>
  <c r="W230" i="9" a="1"/>
  <c r="W230" i="9" s="1"/>
  <c r="W246" i="9" a="1"/>
  <c r="W246" i="9" s="1"/>
  <c r="W262" i="9" a="1"/>
  <c r="W262" i="9" s="1"/>
  <c r="W278" i="9" a="1"/>
  <c r="W278" i="9" s="1"/>
  <c r="W294" i="9" a="1"/>
  <c r="W294" i="9" s="1"/>
  <c r="W310" i="9" a="1"/>
  <c r="W310" i="9" s="1"/>
  <c r="W326" i="9" a="1"/>
  <c r="W326" i="9" s="1"/>
  <c r="W44" i="9" a="1"/>
  <c r="W44" i="9" s="1"/>
  <c r="M75" i="9"/>
  <c r="M183" i="9"/>
  <c r="M311" i="9"/>
  <c r="M99" i="9"/>
  <c r="M215" i="9"/>
  <c r="M35" i="9"/>
  <c r="M119" i="9"/>
  <c r="M247" i="9"/>
  <c r="M39" i="9"/>
  <c r="M59" i="9"/>
  <c r="M83" i="9"/>
  <c r="M103" i="9"/>
  <c r="M123" i="9"/>
  <c r="M155" i="9"/>
  <c r="M187" i="9"/>
  <c r="M219" i="9"/>
  <c r="M251" i="9"/>
  <c r="M283" i="9"/>
  <c r="M315" i="9"/>
  <c r="C49" i="8"/>
  <c r="M326" i="9"/>
  <c r="M43" i="9"/>
  <c r="M67" i="9"/>
  <c r="M87" i="9"/>
  <c r="M107" i="9"/>
  <c r="M135" i="9"/>
  <c r="M167" i="9"/>
  <c r="M199" i="9"/>
  <c r="M231" i="9"/>
  <c r="M263" i="9"/>
  <c r="M295" i="9"/>
  <c r="M330" i="9"/>
  <c r="M51" i="9"/>
  <c r="M71" i="9"/>
  <c r="M91" i="9"/>
  <c r="M115" i="9"/>
  <c r="M139" i="9"/>
  <c r="M171" i="9"/>
  <c r="M203" i="9"/>
  <c r="M235" i="9"/>
  <c r="M267" i="9"/>
  <c r="M299" i="9"/>
  <c r="M321" i="9"/>
  <c r="M325" i="9"/>
  <c r="M329" i="9"/>
  <c r="M30" i="9"/>
  <c r="M34" i="9"/>
  <c r="M38" i="9"/>
  <c r="M42" i="9"/>
  <c r="M46" i="9"/>
  <c r="M50" i="9"/>
  <c r="M54" i="9"/>
  <c r="M58" i="9"/>
  <c r="M62" i="9"/>
  <c r="M66" i="9"/>
  <c r="M70" i="9"/>
  <c r="M74" i="9"/>
  <c r="M78" i="9"/>
  <c r="M82" i="9"/>
  <c r="M86" i="9"/>
  <c r="M90" i="9"/>
  <c r="M94" i="9"/>
  <c r="M98" i="9"/>
  <c r="M102" i="9"/>
  <c r="M106" i="9"/>
  <c r="M110" i="9"/>
  <c r="M114" i="9"/>
  <c r="M118" i="9"/>
  <c r="M122" i="9"/>
  <c r="M126" i="9"/>
  <c r="M130" i="9"/>
  <c r="M134" i="9"/>
  <c r="M138" i="9"/>
  <c r="M142" i="9"/>
  <c r="M146" i="9"/>
  <c r="M150" i="9"/>
  <c r="M154" i="9"/>
  <c r="M158" i="9"/>
  <c r="M162" i="9"/>
  <c r="M166" i="9"/>
  <c r="M170" i="9"/>
  <c r="M174" i="9"/>
  <c r="M178" i="9"/>
  <c r="M182" i="9"/>
  <c r="M186" i="9"/>
  <c r="M190" i="9"/>
  <c r="M194" i="9"/>
  <c r="M198" i="9"/>
  <c r="M202" i="9"/>
  <c r="M206" i="9"/>
  <c r="M210" i="9"/>
  <c r="M214" i="9"/>
  <c r="M218" i="9"/>
  <c r="M222" i="9"/>
  <c r="M226" i="9"/>
  <c r="M230" i="9"/>
  <c r="M234" i="9"/>
  <c r="M238" i="9"/>
  <c r="M242" i="9"/>
  <c r="M246" i="9"/>
  <c r="M250" i="9"/>
  <c r="M254" i="9"/>
  <c r="M258" i="9"/>
  <c r="M262" i="9"/>
  <c r="M266" i="9"/>
  <c r="M270" i="9"/>
  <c r="M274" i="9"/>
  <c r="M278" i="9"/>
  <c r="M282" i="9"/>
  <c r="M286" i="9"/>
  <c r="M290" i="9"/>
  <c r="M294" i="9"/>
  <c r="M298" i="9"/>
  <c r="M302" i="9"/>
  <c r="M306" i="9"/>
  <c r="M310" i="9"/>
  <c r="M314" i="9"/>
  <c r="M318" i="9"/>
  <c r="M32" i="9"/>
  <c r="M36" i="9"/>
  <c r="M40" i="9"/>
  <c r="M44" i="9"/>
  <c r="M48" i="9"/>
  <c r="M52" i="9"/>
  <c r="M56" i="9"/>
  <c r="M60" i="9"/>
  <c r="M64" i="9"/>
  <c r="M68" i="9"/>
  <c r="M72" i="9"/>
  <c r="M76" i="9"/>
  <c r="M80" i="9"/>
  <c r="M84" i="9"/>
  <c r="M88" i="9"/>
  <c r="M92" i="9"/>
  <c r="M96" i="9"/>
  <c r="M100" i="9"/>
  <c r="M104" i="9"/>
  <c r="M108" i="9"/>
  <c r="M112" i="9"/>
  <c r="M116" i="9"/>
  <c r="M120" i="9"/>
  <c r="M124" i="9"/>
  <c r="M128" i="9"/>
  <c r="M132" i="9"/>
  <c r="M136" i="9"/>
  <c r="M140" i="9"/>
  <c r="M144" i="9"/>
  <c r="M148" i="9"/>
  <c r="M152" i="9"/>
  <c r="M156" i="9"/>
  <c r="M160" i="9"/>
  <c r="M164" i="9"/>
  <c r="M168" i="9"/>
  <c r="M172" i="9"/>
  <c r="M176" i="9"/>
  <c r="M180" i="9"/>
  <c r="M184" i="9"/>
  <c r="M188" i="9"/>
  <c r="M192" i="9"/>
  <c r="M196" i="9"/>
  <c r="M200" i="9"/>
  <c r="M204" i="9"/>
  <c r="M208" i="9"/>
  <c r="M212" i="9"/>
  <c r="M216" i="9"/>
  <c r="M220" i="9"/>
  <c r="M224" i="9"/>
  <c r="M228" i="9"/>
  <c r="M232" i="9"/>
  <c r="M236" i="9"/>
  <c r="M240" i="9"/>
  <c r="M244" i="9"/>
  <c r="M248" i="9"/>
  <c r="M252" i="9"/>
  <c r="M256" i="9"/>
  <c r="M260" i="9"/>
  <c r="M264" i="9"/>
  <c r="M268" i="9"/>
  <c r="M272" i="9"/>
  <c r="M276" i="9"/>
  <c r="M280" i="9"/>
  <c r="M284" i="9"/>
  <c r="M288" i="9"/>
  <c r="M292" i="9"/>
  <c r="M296" i="9"/>
  <c r="M300" i="9"/>
  <c r="M304" i="9"/>
  <c r="M308" i="9"/>
  <c r="M312" i="9"/>
  <c r="M316" i="9"/>
  <c r="M29" i="9"/>
  <c r="M320" i="9"/>
  <c r="M324" i="9"/>
  <c r="M328" i="9"/>
  <c r="M332" i="9"/>
  <c r="M33" i="9"/>
  <c r="M37" i="9"/>
  <c r="M41" i="9"/>
  <c r="M45" i="9"/>
  <c r="M49" i="9"/>
  <c r="M53" i="9"/>
  <c r="M57" i="9"/>
  <c r="M61" i="9"/>
  <c r="M65" i="9"/>
  <c r="M69" i="9"/>
  <c r="M73" i="9"/>
  <c r="M77" i="9"/>
  <c r="M81" i="9"/>
  <c r="M85" i="9"/>
  <c r="M89" i="9"/>
  <c r="M93" i="9"/>
  <c r="M97" i="9"/>
  <c r="M101" i="9"/>
  <c r="M105" i="9"/>
  <c r="M109" i="9"/>
  <c r="M113" i="9"/>
  <c r="M117" i="9"/>
  <c r="M121" i="9"/>
  <c r="M125" i="9"/>
  <c r="M129" i="9"/>
  <c r="M133" i="9"/>
  <c r="M137" i="9"/>
  <c r="M141" i="9"/>
  <c r="M145" i="9"/>
  <c r="M149" i="9"/>
  <c r="M153" i="9"/>
  <c r="M157" i="9"/>
  <c r="M161" i="9"/>
  <c r="M165" i="9"/>
  <c r="M169" i="9"/>
  <c r="M173" i="9"/>
  <c r="M177" i="9"/>
  <c r="M181" i="9"/>
  <c r="M185" i="9"/>
  <c r="M189" i="9"/>
  <c r="M193" i="9"/>
  <c r="M197" i="9"/>
  <c r="M201" i="9"/>
  <c r="M205" i="9"/>
  <c r="M209" i="9"/>
  <c r="M213" i="9"/>
  <c r="M217" i="9"/>
  <c r="M221" i="9"/>
  <c r="M225" i="9"/>
  <c r="M229" i="9"/>
  <c r="M233" i="9"/>
  <c r="M237" i="9"/>
  <c r="M241" i="9"/>
  <c r="M245" i="9"/>
  <c r="M249" i="9"/>
  <c r="M253" i="9"/>
  <c r="M257" i="9"/>
  <c r="M261" i="9"/>
  <c r="M265" i="9"/>
  <c r="M269" i="9"/>
  <c r="M273" i="9"/>
  <c r="M277" i="9"/>
  <c r="M281" i="9"/>
  <c r="M285" i="9"/>
  <c r="M289" i="9"/>
  <c r="M293" i="9"/>
  <c r="M297" i="9"/>
  <c r="M301" i="9"/>
  <c r="M305" i="9"/>
  <c r="M309" i="9"/>
  <c r="M313" i="9"/>
  <c r="M317" i="9"/>
  <c r="M27" i="9"/>
  <c r="M31" i="9"/>
  <c r="M47" i="9"/>
  <c r="M63" i="9"/>
  <c r="M79" i="9"/>
  <c r="M95" i="9"/>
  <c r="M111" i="9"/>
  <c r="M127" i="9"/>
  <c r="M143" i="9"/>
  <c r="M159" i="9"/>
  <c r="M175" i="9"/>
  <c r="M191" i="9"/>
  <c r="M207" i="9"/>
  <c r="M223" i="9"/>
  <c r="M239" i="9"/>
  <c r="M255" i="9"/>
  <c r="M271" i="9"/>
  <c r="M287" i="9"/>
  <c r="M303" i="9"/>
  <c r="M319" i="9"/>
  <c r="M331" i="9"/>
  <c r="M131" i="9"/>
  <c r="M147" i="9"/>
  <c r="M163" i="9"/>
  <c r="M179" i="9"/>
  <c r="M195" i="9"/>
  <c r="M211" i="9"/>
  <c r="M227" i="9"/>
  <c r="M243" i="9"/>
  <c r="M259" i="9"/>
  <c r="M275" i="9"/>
  <c r="M291" i="9"/>
  <c r="M307" i="9"/>
  <c r="M323" i="9"/>
  <c r="M322" i="9"/>
  <c r="J23" i="8"/>
  <c r="H22" i="8"/>
  <c r="H23" i="8"/>
  <c r="I23" i="8"/>
  <c r="I22" i="8"/>
  <c r="J22" i="8"/>
  <c r="F28" i="8"/>
  <c r="F21" i="8"/>
  <c r="C32" i="8"/>
  <c r="F25" i="8" s="1"/>
  <c r="P733" i="7"/>
  <c r="P657" i="7"/>
  <c r="P371" i="7"/>
  <c r="P717" i="7"/>
  <c r="P628" i="7"/>
  <c r="P212" i="7"/>
  <c r="P700" i="7"/>
  <c r="P559" i="7"/>
  <c r="P42" i="7"/>
  <c r="P679" i="7"/>
  <c r="P473" i="7"/>
  <c r="P729" i="7"/>
  <c r="P713" i="7"/>
  <c r="P695" i="7"/>
  <c r="P673" i="7"/>
  <c r="P652" i="7"/>
  <c r="P617" i="7"/>
  <c r="P537" i="7"/>
  <c r="P452" i="7"/>
  <c r="P339" i="7"/>
  <c r="P170" i="7"/>
  <c r="P725" i="7"/>
  <c r="P709" i="7"/>
  <c r="P689" i="7"/>
  <c r="P668" i="7"/>
  <c r="P647" i="7"/>
  <c r="P601" i="7"/>
  <c r="P516" i="7"/>
  <c r="P431" i="7"/>
  <c r="P298" i="7"/>
  <c r="P127" i="7"/>
  <c r="P721" i="7"/>
  <c r="P705" i="7"/>
  <c r="P684" i="7"/>
  <c r="P663" i="7"/>
  <c r="P639" i="7"/>
  <c r="P580" i="7"/>
  <c r="P495" i="7"/>
  <c r="P403" i="7"/>
  <c r="P255" i="7"/>
  <c r="J3" i="7"/>
  <c r="T4" i="7"/>
  <c r="U4" i="7" s="1"/>
  <c r="R4" i="7"/>
  <c r="S4" i="7" s="1"/>
  <c r="P5" i="7"/>
  <c r="P9" i="7"/>
  <c r="P13" i="7"/>
  <c r="P17" i="7"/>
  <c r="P21" i="7"/>
  <c r="P25" i="7"/>
  <c r="P29" i="7"/>
  <c r="P33" i="7"/>
  <c r="P37" i="7"/>
  <c r="P41" i="7"/>
  <c r="P45" i="7"/>
  <c r="P49" i="7"/>
  <c r="P53" i="7"/>
  <c r="P57" i="7"/>
  <c r="P61" i="7"/>
  <c r="P65" i="7"/>
  <c r="P69" i="7"/>
  <c r="P73" i="7"/>
  <c r="P77" i="7"/>
  <c r="P81" i="7"/>
  <c r="P85" i="7"/>
  <c r="P89" i="7"/>
  <c r="P93" i="7"/>
  <c r="P97" i="7"/>
  <c r="P101" i="7"/>
  <c r="P105" i="7"/>
  <c r="P109" i="7"/>
  <c r="P113" i="7"/>
  <c r="P117" i="7"/>
  <c r="P121" i="7"/>
  <c r="P125" i="7"/>
  <c r="P129" i="7"/>
  <c r="P133" i="7"/>
  <c r="P137" i="7"/>
  <c r="P141" i="7"/>
  <c r="P145" i="7"/>
  <c r="P149" i="7"/>
  <c r="P153" i="7"/>
  <c r="P157" i="7"/>
  <c r="P161" i="7"/>
  <c r="P165" i="7"/>
  <c r="P169" i="7"/>
  <c r="P173" i="7"/>
  <c r="P177" i="7"/>
  <c r="P181" i="7"/>
  <c r="P185" i="7"/>
  <c r="P189" i="7"/>
  <c r="P193" i="7"/>
  <c r="P197" i="7"/>
  <c r="P201" i="7"/>
  <c r="P205" i="7"/>
  <c r="P209" i="7"/>
  <c r="P213" i="7"/>
  <c r="P217" i="7"/>
  <c r="P221" i="7"/>
  <c r="P225" i="7"/>
  <c r="P229" i="7"/>
  <c r="P233" i="7"/>
  <c r="P237" i="7"/>
  <c r="P241" i="7"/>
  <c r="P245" i="7"/>
  <c r="P249" i="7"/>
  <c r="P253" i="7"/>
  <c r="P257" i="7"/>
  <c r="P261" i="7"/>
  <c r="P265" i="7"/>
  <c r="P269" i="7"/>
  <c r="P273" i="7"/>
  <c r="P277" i="7"/>
  <c r="P281" i="7"/>
  <c r="P285" i="7"/>
  <c r="P289" i="7"/>
  <c r="P293" i="7"/>
  <c r="P297" i="7"/>
  <c r="P301" i="7"/>
  <c r="P305" i="7"/>
  <c r="P309" i="7"/>
  <c r="P313" i="7"/>
  <c r="P317" i="7"/>
  <c r="P321" i="7"/>
  <c r="P325" i="7"/>
  <c r="P329" i="7"/>
  <c r="P333" i="7"/>
  <c r="P8" i="7"/>
  <c r="P14" i="7"/>
  <c r="P19" i="7"/>
  <c r="P24" i="7"/>
  <c r="P30" i="7"/>
  <c r="P35" i="7"/>
  <c r="P40" i="7"/>
  <c r="P46" i="7"/>
  <c r="P51" i="7"/>
  <c r="P56" i="7"/>
  <c r="P62" i="7"/>
  <c r="P67" i="7"/>
  <c r="P72" i="7"/>
  <c r="P78" i="7"/>
  <c r="P83" i="7"/>
  <c r="P88" i="7"/>
  <c r="P94" i="7"/>
  <c r="P99" i="7"/>
  <c r="P104" i="7"/>
  <c r="P110" i="7"/>
  <c r="P115" i="7"/>
  <c r="P120" i="7"/>
  <c r="P126" i="7"/>
  <c r="P131" i="7"/>
  <c r="P136" i="7"/>
  <c r="P142" i="7"/>
  <c r="P147" i="7"/>
  <c r="P152" i="7"/>
  <c r="P158" i="7"/>
  <c r="P163" i="7"/>
  <c r="P168" i="7"/>
  <c r="P174" i="7"/>
  <c r="P179" i="7"/>
  <c r="P184" i="7"/>
  <c r="P190" i="7"/>
  <c r="P195" i="7"/>
  <c r="P200" i="7"/>
  <c r="P206" i="7"/>
  <c r="P211" i="7"/>
  <c r="P216" i="7"/>
  <c r="P222" i="7"/>
  <c r="P227" i="7"/>
  <c r="P232" i="7"/>
  <c r="P238" i="7"/>
  <c r="P243" i="7"/>
  <c r="P248" i="7"/>
  <c r="P254" i="7"/>
  <c r="P259" i="7"/>
  <c r="P264" i="7"/>
  <c r="P270" i="7"/>
  <c r="P275" i="7"/>
  <c r="P280" i="7"/>
  <c r="P286" i="7"/>
  <c r="P291" i="7"/>
  <c r="P296" i="7"/>
  <c r="P302" i="7"/>
  <c r="P307" i="7"/>
  <c r="P312" i="7"/>
  <c r="P318" i="7"/>
  <c r="P323" i="7"/>
  <c r="P328" i="7"/>
  <c r="P334" i="7"/>
  <c r="P338" i="7"/>
  <c r="P342" i="7"/>
  <c r="P346" i="7"/>
  <c r="P350" i="7"/>
  <c r="P354" i="7"/>
  <c r="P358" i="7"/>
  <c r="P362" i="7"/>
  <c r="P366" i="7"/>
  <c r="P370" i="7"/>
  <c r="P374" i="7"/>
  <c r="P378" i="7"/>
  <c r="P382" i="7"/>
  <c r="P386" i="7"/>
  <c r="P390" i="7"/>
  <c r="P394" i="7"/>
  <c r="P398" i="7"/>
  <c r="P402" i="7"/>
  <c r="P406" i="7"/>
  <c r="P410" i="7"/>
  <c r="P414" i="7"/>
  <c r="P418" i="7"/>
  <c r="P422" i="7"/>
  <c r="P426" i="7"/>
  <c r="P430" i="7"/>
  <c r="P434" i="7"/>
  <c r="P438" i="7"/>
  <c r="P442" i="7"/>
  <c r="P446" i="7"/>
  <c r="P450" i="7"/>
  <c r="P454" i="7"/>
  <c r="P458" i="7"/>
  <c r="P462" i="7"/>
  <c r="P466" i="7"/>
  <c r="P470" i="7"/>
  <c r="P474" i="7"/>
  <c r="P478" i="7"/>
  <c r="P482" i="7"/>
  <c r="P486" i="7"/>
  <c r="P490" i="7"/>
  <c r="P494" i="7"/>
  <c r="P498" i="7"/>
  <c r="P502" i="7"/>
  <c r="P506" i="7"/>
  <c r="P510" i="7"/>
  <c r="P514" i="7"/>
  <c r="P518" i="7"/>
  <c r="P522" i="7"/>
  <c r="P526" i="7"/>
  <c r="P530" i="7"/>
  <c r="P534" i="7"/>
  <c r="P538" i="7"/>
  <c r="P542" i="7"/>
  <c r="P546" i="7"/>
  <c r="P550" i="7"/>
  <c r="P554" i="7"/>
  <c r="P558" i="7"/>
  <c r="P562" i="7"/>
  <c r="P566" i="7"/>
  <c r="P570" i="7"/>
  <c r="P574" i="7"/>
  <c r="P578" i="7"/>
  <c r="P582" i="7"/>
  <c r="P586" i="7"/>
  <c r="P590" i="7"/>
  <c r="P594" i="7"/>
  <c r="P598" i="7"/>
  <c r="P602" i="7"/>
  <c r="P606" i="7"/>
  <c r="P610" i="7"/>
  <c r="P614" i="7"/>
  <c r="P618" i="7"/>
  <c r="P622" i="7"/>
  <c r="P626" i="7"/>
  <c r="P630" i="7"/>
  <c r="P634" i="7"/>
  <c r="P638" i="7"/>
  <c r="P6" i="7"/>
  <c r="P11" i="7"/>
  <c r="P16" i="7"/>
  <c r="P22" i="7"/>
  <c r="P27" i="7"/>
  <c r="P32" i="7"/>
  <c r="P38" i="7"/>
  <c r="P43" i="7"/>
  <c r="P48" i="7"/>
  <c r="P54" i="7"/>
  <c r="P59" i="7"/>
  <c r="P64" i="7"/>
  <c r="P70" i="7"/>
  <c r="P75" i="7"/>
  <c r="P80" i="7"/>
  <c r="P86" i="7"/>
  <c r="P91" i="7"/>
  <c r="P96" i="7"/>
  <c r="P102" i="7"/>
  <c r="P107" i="7"/>
  <c r="P112" i="7"/>
  <c r="P118" i="7"/>
  <c r="P123" i="7"/>
  <c r="P128" i="7"/>
  <c r="P134" i="7"/>
  <c r="P139" i="7"/>
  <c r="P144" i="7"/>
  <c r="P150" i="7"/>
  <c r="P155" i="7"/>
  <c r="P160" i="7"/>
  <c r="P166" i="7"/>
  <c r="P171" i="7"/>
  <c r="P176" i="7"/>
  <c r="P182" i="7"/>
  <c r="P187" i="7"/>
  <c r="P192" i="7"/>
  <c r="P198" i="7"/>
  <c r="P203" i="7"/>
  <c r="P208" i="7"/>
  <c r="P214" i="7"/>
  <c r="P219" i="7"/>
  <c r="P224" i="7"/>
  <c r="P230" i="7"/>
  <c r="P235" i="7"/>
  <c r="P240" i="7"/>
  <c r="P246" i="7"/>
  <c r="P251" i="7"/>
  <c r="P256" i="7"/>
  <c r="P262" i="7"/>
  <c r="P267" i="7"/>
  <c r="P272" i="7"/>
  <c r="P278" i="7"/>
  <c r="P283" i="7"/>
  <c r="P288" i="7"/>
  <c r="P294" i="7"/>
  <c r="P299" i="7"/>
  <c r="P304" i="7"/>
  <c r="P310" i="7"/>
  <c r="P315" i="7"/>
  <c r="P320" i="7"/>
  <c r="P326" i="7"/>
  <c r="P331" i="7"/>
  <c r="P336" i="7"/>
  <c r="P340" i="7"/>
  <c r="P344" i="7"/>
  <c r="P348" i="7"/>
  <c r="P352" i="7"/>
  <c r="P356" i="7"/>
  <c r="P360" i="7"/>
  <c r="P364" i="7"/>
  <c r="P368" i="7"/>
  <c r="P372" i="7"/>
  <c r="P376" i="7"/>
  <c r="P380" i="7"/>
  <c r="P384" i="7"/>
  <c r="P388" i="7"/>
  <c r="P392" i="7"/>
  <c r="P396" i="7"/>
  <c r="P400" i="7"/>
  <c r="P404" i="7"/>
  <c r="P408" i="7"/>
  <c r="P412" i="7"/>
  <c r="P416" i="7"/>
  <c r="P420" i="7"/>
  <c r="P12" i="7"/>
  <c r="P23" i="7"/>
  <c r="P34" i="7"/>
  <c r="P44" i="7"/>
  <c r="P55" i="7"/>
  <c r="P66" i="7"/>
  <c r="P76" i="7"/>
  <c r="P87" i="7"/>
  <c r="P98" i="7"/>
  <c r="P108" i="7"/>
  <c r="P119" i="7"/>
  <c r="P130" i="7"/>
  <c r="P140" i="7"/>
  <c r="P151" i="7"/>
  <c r="P162" i="7"/>
  <c r="P172" i="7"/>
  <c r="P183" i="7"/>
  <c r="P194" i="7"/>
  <c r="P204" i="7"/>
  <c r="P215" i="7"/>
  <c r="P226" i="7"/>
  <c r="P236" i="7"/>
  <c r="P247" i="7"/>
  <c r="P258" i="7"/>
  <c r="P268" i="7"/>
  <c r="P279" i="7"/>
  <c r="P290" i="7"/>
  <c r="P300" i="7"/>
  <c r="P311" i="7"/>
  <c r="P322" i="7"/>
  <c r="P332" i="7"/>
  <c r="P341" i="7"/>
  <c r="P349" i="7"/>
  <c r="P357" i="7"/>
  <c r="P365" i="7"/>
  <c r="P373" i="7"/>
  <c r="P381" i="7"/>
  <c r="P389" i="7"/>
  <c r="P397" i="7"/>
  <c r="P405" i="7"/>
  <c r="P413" i="7"/>
  <c r="P421" i="7"/>
  <c r="P427" i="7"/>
  <c r="P432" i="7"/>
  <c r="P437" i="7"/>
  <c r="P443" i="7"/>
  <c r="P448" i="7"/>
  <c r="P453" i="7"/>
  <c r="P459" i="7"/>
  <c r="P464" i="7"/>
  <c r="P469" i="7"/>
  <c r="P475" i="7"/>
  <c r="P480" i="7"/>
  <c r="P485" i="7"/>
  <c r="P491" i="7"/>
  <c r="P496" i="7"/>
  <c r="P501" i="7"/>
  <c r="P507" i="7"/>
  <c r="P512" i="7"/>
  <c r="P517" i="7"/>
  <c r="P523" i="7"/>
  <c r="P528" i="7"/>
  <c r="P533" i="7"/>
  <c r="P539" i="7"/>
  <c r="P544" i="7"/>
  <c r="P549" i="7"/>
  <c r="P555" i="7"/>
  <c r="P560" i="7"/>
  <c r="P565" i="7"/>
  <c r="P571" i="7"/>
  <c r="P576" i="7"/>
  <c r="P581" i="7"/>
  <c r="P587" i="7"/>
  <c r="P592" i="7"/>
  <c r="P597" i="7"/>
  <c r="P603" i="7"/>
  <c r="P608" i="7"/>
  <c r="P4" i="7"/>
  <c r="P15" i="7"/>
  <c r="P26" i="7"/>
  <c r="P36" i="7"/>
  <c r="P47" i="7"/>
  <c r="P58" i="7"/>
  <c r="P68" i="7"/>
  <c r="P79" i="7"/>
  <c r="P90" i="7"/>
  <c r="P100" i="7"/>
  <c r="P111" i="7"/>
  <c r="P122" i="7"/>
  <c r="P132" i="7"/>
  <c r="P143" i="7"/>
  <c r="P154" i="7"/>
  <c r="P164" i="7"/>
  <c r="P175" i="7"/>
  <c r="P186" i="7"/>
  <c r="P196" i="7"/>
  <c r="P207" i="7"/>
  <c r="P218" i="7"/>
  <c r="P228" i="7"/>
  <c r="P239" i="7"/>
  <c r="P250" i="7"/>
  <c r="P260" i="7"/>
  <c r="P271" i="7"/>
  <c r="P282" i="7"/>
  <c r="P292" i="7"/>
  <c r="P303" i="7"/>
  <c r="P314" i="7"/>
  <c r="P324" i="7"/>
  <c r="P335" i="7"/>
  <c r="P343" i="7"/>
  <c r="P351" i="7"/>
  <c r="P359" i="7"/>
  <c r="P367" i="7"/>
  <c r="P375" i="7"/>
  <c r="P383" i="7"/>
  <c r="P391" i="7"/>
  <c r="P399" i="7"/>
  <c r="P407" i="7"/>
  <c r="P415" i="7"/>
  <c r="P423" i="7"/>
  <c r="P428" i="7"/>
  <c r="P433" i="7"/>
  <c r="P439" i="7"/>
  <c r="P444" i="7"/>
  <c r="P449" i="7"/>
  <c r="P455" i="7"/>
  <c r="P460" i="7"/>
  <c r="P465" i="7"/>
  <c r="P471" i="7"/>
  <c r="P476" i="7"/>
  <c r="P481" i="7"/>
  <c r="P487" i="7"/>
  <c r="P492" i="7"/>
  <c r="P497" i="7"/>
  <c r="P503" i="7"/>
  <c r="P508" i="7"/>
  <c r="P513" i="7"/>
  <c r="P519" i="7"/>
  <c r="P524" i="7"/>
  <c r="P529" i="7"/>
  <c r="P535" i="7"/>
  <c r="P540" i="7"/>
  <c r="P545" i="7"/>
  <c r="P551" i="7"/>
  <c r="P556" i="7"/>
  <c r="P561" i="7"/>
  <c r="P567" i="7"/>
  <c r="P572" i="7"/>
  <c r="P577" i="7"/>
  <c r="P583" i="7"/>
  <c r="P588" i="7"/>
  <c r="P593" i="7"/>
  <c r="P599" i="7"/>
  <c r="P604" i="7"/>
  <c r="P609" i="7"/>
  <c r="P615" i="7"/>
  <c r="P620" i="7"/>
  <c r="P625" i="7"/>
  <c r="P631" i="7"/>
  <c r="P636" i="7"/>
  <c r="P641" i="7"/>
  <c r="P645" i="7"/>
  <c r="P7" i="7"/>
  <c r="P18" i="7"/>
  <c r="P28" i="7"/>
  <c r="P39" i="7"/>
  <c r="P50" i="7"/>
  <c r="P60" i="7"/>
  <c r="P71" i="7"/>
  <c r="P82" i="7"/>
  <c r="P92" i="7"/>
  <c r="P103" i="7"/>
  <c r="P114" i="7"/>
  <c r="P124" i="7"/>
  <c r="P135" i="7"/>
  <c r="P146" i="7"/>
  <c r="P156" i="7"/>
  <c r="P167" i="7"/>
  <c r="P178" i="7"/>
  <c r="P188" i="7"/>
  <c r="P199" i="7"/>
  <c r="P210" i="7"/>
  <c r="P220" i="7"/>
  <c r="P231" i="7"/>
  <c r="P242" i="7"/>
  <c r="P252" i="7"/>
  <c r="P263" i="7"/>
  <c r="P274" i="7"/>
  <c r="P284" i="7"/>
  <c r="P295" i="7"/>
  <c r="P306" i="7"/>
  <c r="P316" i="7"/>
  <c r="P327" i="7"/>
  <c r="P337" i="7"/>
  <c r="P345" i="7"/>
  <c r="P353" i="7"/>
  <c r="P361" i="7"/>
  <c r="P369" i="7"/>
  <c r="P377" i="7"/>
  <c r="P385" i="7"/>
  <c r="P393" i="7"/>
  <c r="P401" i="7"/>
  <c r="P409" i="7"/>
  <c r="P417" i="7"/>
  <c r="P424" i="7"/>
  <c r="P429" i="7"/>
  <c r="P435" i="7"/>
  <c r="P440" i="7"/>
  <c r="P445" i="7"/>
  <c r="P451" i="7"/>
  <c r="P456" i="7"/>
  <c r="P461" i="7"/>
  <c r="P467" i="7"/>
  <c r="P472" i="7"/>
  <c r="P477" i="7"/>
  <c r="P483" i="7"/>
  <c r="P488" i="7"/>
  <c r="P493" i="7"/>
  <c r="P499" i="7"/>
  <c r="P504" i="7"/>
  <c r="P509" i="7"/>
  <c r="P515" i="7"/>
  <c r="P520" i="7"/>
  <c r="P525" i="7"/>
  <c r="P531" i="7"/>
  <c r="P536" i="7"/>
  <c r="P541" i="7"/>
  <c r="P547" i="7"/>
  <c r="P552" i="7"/>
  <c r="P557" i="7"/>
  <c r="P563" i="7"/>
  <c r="P568" i="7"/>
  <c r="P573" i="7"/>
  <c r="P579" i="7"/>
  <c r="P584" i="7"/>
  <c r="P589" i="7"/>
  <c r="P595" i="7"/>
  <c r="P600" i="7"/>
  <c r="P605" i="7"/>
  <c r="P611" i="7"/>
  <c r="P616" i="7"/>
  <c r="P621" i="7"/>
  <c r="P627" i="7"/>
  <c r="P632" i="7"/>
  <c r="P637" i="7"/>
  <c r="P642" i="7"/>
  <c r="P646" i="7"/>
  <c r="P650" i="7"/>
  <c r="P654" i="7"/>
  <c r="P658" i="7"/>
  <c r="P662" i="7"/>
  <c r="P666" i="7"/>
  <c r="P670" i="7"/>
  <c r="P674" i="7"/>
  <c r="P678" i="7"/>
  <c r="P682" i="7"/>
  <c r="P686" i="7"/>
  <c r="P690" i="7"/>
  <c r="P694" i="7"/>
  <c r="P698" i="7"/>
  <c r="P702" i="7"/>
  <c r="P732" i="7"/>
  <c r="P728" i="7"/>
  <c r="P724" i="7"/>
  <c r="P720" i="7"/>
  <c r="P716" i="7"/>
  <c r="P712" i="7"/>
  <c r="P708" i="7"/>
  <c r="P704" i="7"/>
  <c r="P699" i="7"/>
  <c r="P693" i="7"/>
  <c r="P688" i="7"/>
  <c r="P683" i="7"/>
  <c r="P677" i="7"/>
  <c r="P672" i="7"/>
  <c r="P667" i="7"/>
  <c r="P661" i="7"/>
  <c r="P656" i="7"/>
  <c r="P651" i="7"/>
  <c r="P644" i="7"/>
  <c r="P635" i="7"/>
  <c r="P624" i="7"/>
  <c r="P613" i="7"/>
  <c r="P596" i="7"/>
  <c r="P575" i="7"/>
  <c r="P553" i="7"/>
  <c r="P532" i="7"/>
  <c r="P511" i="7"/>
  <c r="P489" i="7"/>
  <c r="P468" i="7"/>
  <c r="P447" i="7"/>
  <c r="P425" i="7"/>
  <c r="P395" i="7"/>
  <c r="P363" i="7"/>
  <c r="P330" i="7"/>
  <c r="P287" i="7"/>
  <c r="P244" i="7"/>
  <c r="P202" i="7"/>
  <c r="P159" i="7"/>
  <c r="P116" i="7"/>
  <c r="P74" i="7"/>
  <c r="P31" i="7"/>
  <c r="P3" i="7"/>
  <c r="P731" i="7"/>
  <c r="P727" i="7"/>
  <c r="P723" i="7"/>
  <c r="P719" i="7"/>
  <c r="P715" i="7"/>
  <c r="P711" i="7"/>
  <c r="P707" i="7"/>
  <c r="P703" i="7"/>
  <c r="P697" i="7"/>
  <c r="P692" i="7"/>
  <c r="P687" i="7"/>
  <c r="P681" i="7"/>
  <c r="P676" i="7"/>
  <c r="P671" i="7"/>
  <c r="P665" i="7"/>
  <c r="P660" i="7"/>
  <c r="P655" i="7"/>
  <c r="P649" i="7"/>
  <c r="P643" i="7"/>
  <c r="P633" i="7"/>
  <c r="P623" i="7"/>
  <c r="P612" i="7"/>
  <c r="P591" i="7"/>
  <c r="P569" i="7"/>
  <c r="P548" i="7"/>
  <c r="P527" i="7"/>
  <c r="P505" i="7"/>
  <c r="P484" i="7"/>
  <c r="P463" i="7"/>
  <c r="P441" i="7"/>
  <c r="P419" i="7"/>
  <c r="P387" i="7"/>
  <c r="P355" i="7"/>
  <c r="P319" i="7"/>
  <c r="P276" i="7"/>
  <c r="P234" i="7"/>
  <c r="P191" i="7"/>
  <c r="P148" i="7"/>
  <c r="P106" i="7"/>
  <c r="P63" i="7"/>
  <c r="P20" i="7"/>
  <c r="P734" i="7"/>
  <c r="P730" i="7"/>
  <c r="P726" i="7"/>
  <c r="P722" i="7"/>
  <c r="P718" i="7"/>
  <c r="P714" i="7"/>
  <c r="P710" i="7"/>
  <c r="P706" i="7"/>
  <c r="P701" i="7"/>
  <c r="P696" i="7"/>
  <c r="P691" i="7"/>
  <c r="P685" i="7"/>
  <c r="P680" i="7"/>
  <c r="P675" i="7"/>
  <c r="P669" i="7"/>
  <c r="P664" i="7"/>
  <c r="P659" i="7"/>
  <c r="P653" i="7"/>
  <c r="P648" i="7"/>
  <c r="P640" i="7"/>
  <c r="P629" i="7"/>
  <c r="P619" i="7"/>
  <c r="P607" i="7"/>
  <c r="P585" i="7"/>
  <c r="P564" i="7"/>
  <c r="P543" i="7"/>
  <c r="P521" i="7"/>
  <c r="P500" i="7"/>
  <c r="P479" i="7"/>
  <c r="P457" i="7"/>
  <c r="P436" i="7"/>
  <c r="P411" i="7"/>
  <c r="P379" i="7"/>
  <c r="P347" i="7"/>
  <c r="P308" i="7"/>
  <c r="P266" i="7"/>
  <c r="P223" i="7"/>
  <c r="P180" i="7"/>
  <c r="P138" i="7"/>
  <c r="P95" i="7"/>
  <c r="P52" i="7"/>
  <c r="P10" i="7"/>
  <c r="B51" i="5"/>
  <c r="B39" i="5"/>
  <c r="B49" i="5"/>
  <c r="B45" i="5"/>
  <c r="B37" i="5"/>
  <c r="B38" i="5"/>
  <c r="B36" i="5"/>
  <c r="B28" i="5" a="1"/>
  <c r="B28" i="5" s="1"/>
  <c r="B24" i="5"/>
  <c r="B27" i="5"/>
  <c r="B25" i="5" a="1"/>
  <c r="B25" i="5" s="1"/>
  <c r="B20" i="5"/>
  <c r="B18" i="5"/>
  <c r="B14" i="5"/>
  <c r="H29" i="5" s="1"/>
  <c r="H30" i="5" s="1"/>
  <c r="H36" i="5" s="1"/>
  <c r="B34" i="5"/>
  <c r="B32" i="5"/>
  <c r="B22" i="5"/>
  <c r="B16" i="5"/>
  <c r="B47" i="5"/>
  <c r="B51" i="2"/>
  <c r="B45" i="2"/>
  <c r="B38" i="2"/>
  <c r="B49" i="2"/>
  <c r="B39" i="2"/>
  <c r="B34" i="2"/>
  <c r="B32" i="2"/>
  <c r="B27" i="2"/>
  <c r="B28" i="2" a="1"/>
  <c r="B28" i="2" s="1"/>
  <c r="B22" i="2"/>
  <c r="B16" i="2"/>
  <c r="B14" i="2"/>
  <c r="H29" i="2" s="1"/>
  <c r="H30" i="2" s="1"/>
  <c r="H36" i="2" s="1"/>
  <c r="B24" i="2"/>
  <c r="B36" i="2"/>
  <c r="B25" i="2" a="1"/>
  <c r="B25" i="2" s="1"/>
  <c r="B20" i="2"/>
  <c r="B18" i="2"/>
  <c r="B47" i="2"/>
  <c r="B37" i="2"/>
  <c r="J341" i="2" a="1"/>
  <c r="J341" i="2" s="1"/>
  <c r="J272" i="2" a="1"/>
  <c r="J272" i="2" s="1"/>
  <c r="J275" i="2" a="1"/>
  <c r="J275" i="2" s="1"/>
  <c r="J278" i="2" a="1"/>
  <c r="J278" i="2" s="1"/>
  <c r="J285" i="2" a="1"/>
  <c r="J285" i="2" s="1"/>
  <c r="J288" i="2" a="1"/>
  <c r="J288" i="2" s="1"/>
  <c r="J291" i="2" a="1"/>
  <c r="J291" i="2" s="1"/>
  <c r="J294" i="2" a="1"/>
  <c r="J294" i="2" s="1"/>
  <c r="J301" i="2" a="1"/>
  <c r="J301" i="2" s="1"/>
  <c r="J304" i="2" a="1"/>
  <c r="J304" i="2" s="1"/>
  <c r="J307" i="2" a="1"/>
  <c r="J307" i="2" s="1"/>
  <c r="J310" i="2" a="1"/>
  <c r="J310" i="2" s="1"/>
  <c r="J320" i="2" a="1"/>
  <c r="J320" i="2" s="1"/>
  <c r="J328" i="2" a="1"/>
  <c r="J328" i="2" s="1"/>
  <c r="J336" i="2" a="1"/>
  <c r="J336" i="2" s="1"/>
  <c r="J318" i="2" a="1"/>
  <c r="J318" i="2" s="1"/>
  <c r="J321" i="2" a="1"/>
  <c r="J321" i="2" s="1"/>
  <c r="J326" i="2" a="1"/>
  <c r="J326" i="2" s="1"/>
  <c r="J329" i="2" a="1"/>
  <c r="J329" i="2" s="1"/>
  <c r="J334" i="2" a="1"/>
  <c r="J334" i="2" s="1"/>
  <c r="J337" i="2" a="1"/>
  <c r="J337" i="2" s="1"/>
  <c r="J342" i="2" a="1"/>
  <c r="J342" i="2" s="1"/>
  <c r="J314" i="2" a="1"/>
  <c r="J314" i="2" s="1"/>
  <c r="J317" i="2" a="1"/>
  <c r="J317" i="2" s="1"/>
  <c r="J322" i="2" a="1"/>
  <c r="J322" i="2" s="1"/>
  <c r="J325" i="2" a="1"/>
  <c r="J325" i="2" s="1"/>
  <c r="J330" i="2" a="1"/>
  <c r="J330" i="2" s="1"/>
  <c r="J333" i="2" a="1"/>
  <c r="J333" i="2" s="1"/>
  <c r="J338" i="2" a="1"/>
  <c r="J338" i="2" s="1"/>
  <c r="G12" i="3"/>
  <c r="F2" i="3"/>
  <c r="J4" i="3"/>
  <c r="J6" i="3"/>
  <c r="J8" i="3"/>
  <c r="J10" i="3"/>
  <c r="J12" i="3"/>
  <c r="I2" i="3"/>
  <c r="J2" i="3" s="1"/>
  <c r="G4" i="3"/>
  <c r="G6" i="3"/>
  <c r="G8" i="3"/>
  <c r="G10" i="3"/>
  <c r="G3" i="3"/>
  <c r="G5" i="3"/>
  <c r="G7" i="3"/>
  <c r="G9" i="3"/>
  <c r="G11" i="3"/>
  <c r="J3" i="3"/>
  <c r="J5" i="3"/>
  <c r="J7" i="3"/>
  <c r="J9" i="3"/>
  <c r="J11" i="3"/>
  <c r="I25" i="8" l="1" a="1"/>
  <c r="I25" i="8" s="1"/>
  <c r="J25" i="8" a="1"/>
  <c r="J25" i="8" s="1"/>
  <c r="N327" i="9"/>
  <c r="O327" i="9" s="1"/>
  <c r="P327" i="9" s="1"/>
  <c r="N326" i="9"/>
  <c r="O326" i="9" s="1"/>
  <c r="P326" i="9" s="1"/>
  <c r="N322" i="9"/>
  <c r="O322" i="9" s="1"/>
  <c r="P322" i="9" s="1"/>
  <c r="N323" i="9"/>
  <c r="O323" i="9" s="1"/>
  <c r="P323" i="9" s="1"/>
  <c r="N331" i="9"/>
  <c r="O331" i="9" s="1"/>
  <c r="P331" i="9" s="1"/>
  <c r="N320" i="9"/>
  <c r="O320" i="9" s="1"/>
  <c r="P320" i="9" s="1"/>
  <c r="N325" i="9"/>
  <c r="O325" i="9" s="1"/>
  <c r="P325" i="9" s="1"/>
  <c r="N332" i="9"/>
  <c r="O332" i="9" s="1"/>
  <c r="P332" i="9" s="1"/>
  <c r="N321" i="9"/>
  <c r="O321" i="9" s="1"/>
  <c r="P321" i="9" s="1"/>
  <c r="N328" i="9"/>
  <c r="O328" i="9" s="1"/>
  <c r="P328" i="9" s="1"/>
  <c r="N330" i="9"/>
  <c r="O330" i="9" s="1"/>
  <c r="P330" i="9" s="1"/>
  <c r="N324" i="9"/>
  <c r="O324" i="9" s="1"/>
  <c r="P324" i="9" s="1"/>
  <c r="N329" i="9"/>
  <c r="O329" i="9" s="1"/>
  <c r="P329" i="9" s="1"/>
  <c r="N223" i="9"/>
  <c r="O223" i="9" s="1"/>
  <c r="P223" i="9" s="1"/>
  <c r="H25" i="8" a="1"/>
  <c r="H25" i="8" s="1"/>
  <c r="F26" i="8"/>
  <c r="L4" i="9" s="1"/>
  <c r="O4" i="9" s="1"/>
  <c r="N195" i="9"/>
  <c r="O195" i="9" s="1"/>
  <c r="P195" i="9" s="1"/>
  <c r="N131" i="9"/>
  <c r="O131" i="9" s="1"/>
  <c r="P131" i="9" s="1"/>
  <c r="N67" i="9"/>
  <c r="O67" i="9" s="1"/>
  <c r="P67" i="9" s="1"/>
  <c r="N294" i="9"/>
  <c r="O294" i="9" s="1"/>
  <c r="P294" i="9" s="1"/>
  <c r="N238" i="9"/>
  <c r="O238" i="9" s="1"/>
  <c r="P238" i="9" s="1"/>
  <c r="N174" i="9"/>
  <c r="O174" i="9" s="1"/>
  <c r="P174" i="9" s="1"/>
  <c r="N110" i="9"/>
  <c r="O110" i="9" s="1"/>
  <c r="P110" i="9" s="1"/>
  <c r="N46" i="9"/>
  <c r="O46" i="9" s="1"/>
  <c r="P46" i="9" s="1"/>
  <c r="N273" i="9"/>
  <c r="O273" i="9" s="1"/>
  <c r="P273" i="9" s="1"/>
  <c r="N201" i="9"/>
  <c r="O201" i="9" s="1"/>
  <c r="P201" i="9" s="1"/>
  <c r="N137" i="9"/>
  <c r="O137" i="9" s="1"/>
  <c r="P137" i="9" s="1"/>
  <c r="N73" i="9"/>
  <c r="O73" i="9" s="1"/>
  <c r="P73" i="9" s="1"/>
  <c r="N300" i="9"/>
  <c r="O300" i="9" s="1"/>
  <c r="P300" i="9" s="1"/>
  <c r="N244" i="9"/>
  <c r="O244" i="9" s="1"/>
  <c r="P244" i="9" s="1"/>
  <c r="N180" i="9"/>
  <c r="O180" i="9" s="1"/>
  <c r="P180" i="9" s="1"/>
  <c r="N116" i="9"/>
  <c r="O116" i="9" s="1"/>
  <c r="P116" i="9" s="1"/>
  <c r="N52" i="9"/>
  <c r="O52" i="9" s="1"/>
  <c r="P52" i="9" s="1"/>
  <c r="N279" i="9"/>
  <c r="O279" i="9" s="1"/>
  <c r="P279" i="9" s="1"/>
  <c r="N179" i="9"/>
  <c r="O179" i="9" s="1"/>
  <c r="P179" i="9" s="1"/>
  <c r="N115" i="9"/>
  <c r="O115" i="9" s="1"/>
  <c r="P115" i="9" s="1"/>
  <c r="N51" i="9"/>
  <c r="O51" i="9" s="1"/>
  <c r="P51" i="9" s="1"/>
  <c r="N278" i="9"/>
  <c r="O278" i="9" s="1"/>
  <c r="P278" i="9" s="1"/>
  <c r="N222" i="9"/>
  <c r="O222" i="9" s="1"/>
  <c r="P222" i="9" s="1"/>
  <c r="N158" i="9"/>
  <c r="O158" i="9" s="1"/>
  <c r="P158" i="9" s="1"/>
  <c r="N94" i="9"/>
  <c r="O94" i="9" s="1"/>
  <c r="P94" i="9" s="1"/>
  <c r="N30" i="9"/>
  <c r="O30" i="9" s="1"/>
  <c r="P30" i="9" s="1"/>
  <c r="N257" i="9"/>
  <c r="O257" i="9" s="1"/>
  <c r="P257" i="9" s="1"/>
  <c r="N185" i="9"/>
  <c r="O185" i="9" s="1"/>
  <c r="P185" i="9" s="1"/>
  <c r="N121" i="9"/>
  <c r="O121" i="9" s="1"/>
  <c r="P121" i="9" s="1"/>
  <c r="N57" i="9"/>
  <c r="O57" i="9" s="1"/>
  <c r="P57" i="9" s="1"/>
  <c r="N284" i="9"/>
  <c r="O284" i="9" s="1"/>
  <c r="P284" i="9" s="1"/>
  <c r="N228" i="9"/>
  <c r="O228" i="9" s="1"/>
  <c r="P228" i="9" s="1"/>
  <c r="N164" i="9"/>
  <c r="O164" i="9" s="1"/>
  <c r="P164" i="9" s="1"/>
  <c r="N100" i="9"/>
  <c r="O100" i="9" s="1"/>
  <c r="P100" i="9" s="1"/>
  <c r="N36" i="9"/>
  <c r="O36" i="9" s="1"/>
  <c r="P36" i="9" s="1"/>
  <c r="N263" i="9"/>
  <c r="O263" i="9" s="1"/>
  <c r="P263" i="9" s="1"/>
  <c r="N207" i="9"/>
  <c r="O207" i="9" s="1"/>
  <c r="P207" i="9" s="1"/>
  <c r="N306" i="9"/>
  <c r="O306" i="9" s="1"/>
  <c r="P306" i="9" s="1"/>
  <c r="N170" i="9"/>
  <c r="O170" i="9" s="1"/>
  <c r="P170" i="9" s="1"/>
  <c r="N42" i="9"/>
  <c r="O42" i="9" s="1"/>
  <c r="P42" i="9" s="1"/>
  <c r="N197" i="9"/>
  <c r="O197" i="9" s="1"/>
  <c r="P197" i="9" s="1"/>
  <c r="N133" i="9"/>
  <c r="O133" i="9" s="1"/>
  <c r="P133" i="9" s="1"/>
  <c r="N296" i="9"/>
  <c r="O296" i="9" s="1"/>
  <c r="P296" i="9" s="1"/>
  <c r="N176" i="9"/>
  <c r="O176" i="9" s="1"/>
  <c r="P176" i="9" s="1"/>
  <c r="N275" i="9"/>
  <c r="O275" i="9" s="1"/>
  <c r="P275" i="9" s="1"/>
  <c r="N139" i="9"/>
  <c r="O139" i="9" s="1"/>
  <c r="P139" i="9" s="1"/>
  <c r="N302" i="9"/>
  <c r="O302" i="9" s="1"/>
  <c r="P302" i="9" s="1"/>
  <c r="N166" i="9"/>
  <c r="O166" i="9" s="1"/>
  <c r="P166" i="9" s="1"/>
  <c r="N38" i="9"/>
  <c r="O38" i="9" s="1"/>
  <c r="P38" i="9" s="1"/>
  <c r="N193" i="9"/>
  <c r="O193" i="9" s="1"/>
  <c r="P193" i="9" s="1"/>
  <c r="N65" i="9"/>
  <c r="O65" i="9" s="1"/>
  <c r="P65" i="9" s="1"/>
  <c r="N236" i="9"/>
  <c r="O236" i="9" s="1"/>
  <c r="P236" i="9" s="1"/>
  <c r="N108" i="9"/>
  <c r="O108" i="9" s="1"/>
  <c r="P108" i="9" s="1"/>
  <c r="N44" i="9"/>
  <c r="O44" i="9" s="1"/>
  <c r="P44" i="9" s="1"/>
  <c r="N135" i="9"/>
  <c r="O135" i="9" s="1"/>
  <c r="P135" i="9" s="1"/>
  <c r="N298" i="9"/>
  <c r="O298" i="9" s="1"/>
  <c r="P298" i="9" s="1"/>
  <c r="N162" i="9"/>
  <c r="O162" i="9" s="1"/>
  <c r="P162" i="9" s="1"/>
  <c r="N34" i="9"/>
  <c r="O34" i="9" s="1"/>
  <c r="P34" i="9" s="1"/>
  <c r="N205" i="9"/>
  <c r="O205" i="9" s="1"/>
  <c r="P205" i="9" s="1"/>
  <c r="N77" i="9"/>
  <c r="O77" i="9" s="1"/>
  <c r="P77" i="9" s="1"/>
  <c r="N240" i="9"/>
  <c r="O240" i="9" s="1"/>
  <c r="P240" i="9" s="1"/>
  <c r="N120" i="9"/>
  <c r="O120" i="9" s="1"/>
  <c r="P120" i="9" s="1"/>
  <c r="N56" i="9"/>
  <c r="O56" i="9" s="1"/>
  <c r="P56" i="9" s="1"/>
  <c r="N191" i="9"/>
  <c r="O191" i="9" s="1"/>
  <c r="P191" i="9" s="1"/>
  <c r="N127" i="9"/>
  <c r="O127" i="9" s="1"/>
  <c r="P127" i="9" s="1"/>
  <c r="N63" i="9"/>
  <c r="O63" i="9" s="1"/>
  <c r="P63" i="9" s="1"/>
  <c r="N290" i="9"/>
  <c r="O290" i="9" s="1"/>
  <c r="P290" i="9" s="1"/>
  <c r="N218" i="9"/>
  <c r="O218" i="9" s="1"/>
  <c r="P218" i="9" s="1"/>
  <c r="N154" i="9"/>
  <c r="O154" i="9" s="1"/>
  <c r="P154" i="9" s="1"/>
  <c r="N90" i="9"/>
  <c r="O90" i="9" s="1"/>
  <c r="P90" i="9" s="1"/>
  <c r="N317" i="9"/>
  <c r="O317" i="9" s="1"/>
  <c r="P317" i="9" s="1"/>
  <c r="N253" i="9"/>
  <c r="O253" i="9" s="1"/>
  <c r="P253" i="9" s="1"/>
  <c r="N181" i="9"/>
  <c r="O181" i="9" s="1"/>
  <c r="P181" i="9" s="1"/>
  <c r="N117" i="9"/>
  <c r="O117" i="9" s="1"/>
  <c r="P117" i="9" s="1"/>
  <c r="N53" i="9"/>
  <c r="O53" i="9" s="1"/>
  <c r="P53" i="9" s="1"/>
  <c r="N280" i="9"/>
  <c r="O280" i="9" s="1"/>
  <c r="P280" i="9" s="1"/>
  <c r="N224" i="9"/>
  <c r="O224" i="9" s="1"/>
  <c r="P224" i="9" s="1"/>
  <c r="N160" i="9"/>
  <c r="O160" i="9" s="1"/>
  <c r="P160" i="9" s="1"/>
  <c r="N96" i="9"/>
  <c r="O96" i="9" s="1"/>
  <c r="P96" i="9" s="1"/>
  <c r="N32" i="9"/>
  <c r="O32" i="9" s="1"/>
  <c r="P32" i="9" s="1"/>
  <c r="N259" i="9"/>
  <c r="O259" i="9" s="1"/>
  <c r="P259" i="9" s="1"/>
  <c r="N187" i="9"/>
  <c r="O187" i="9" s="1"/>
  <c r="P187" i="9" s="1"/>
  <c r="N123" i="9"/>
  <c r="O123" i="9" s="1"/>
  <c r="P123" i="9" s="1"/>
  <c r="N59" i="9"/>
  <c r="O59" i="9" s="1"/>
  <c r="P59" i="9" s="1"/>
  <c r="N286" i="9"/>
  <c r="O286" i="9" s="1"/>
  <c r="P286" i="9" s="1"/>
  <c r="N214" i="9"/>
  <c r="O214" i="9" s="1"/>
  <c r="P214" i="9" s="1"/>
  <c r="N150" i="9"/>
  <c r="O150" i="9" s="1"/>
  <c r="P150" i="9" s="1"/>
  <c r="N86" i="9"/>
  <c r="O86" i="9" s="1"/>
  <c r="P86" i="9" s="1"/>
  <c r="N313" i="9"/>
  <c r="O313" i="9" s="1"/>
  <c r="P313" i="9" s="1"/>
  <c r="N249" i="9"/>
  <c r="O249" i="9" s="1"/>
  <c r="P249" i="9" s="1"/>
  <c r="N177" i="9"/>
  <c r="O177" i="9" s="1"/>
  <c r="P177" i="9" s="1"/>
  <c r="N113" i="9"/>
  <c r="O113" i="9" s="1"/>
  <c r="P113" i="9" s="1"/>
  <c r="N49" i="9"/>
  <c r="O49" i="9" s="1"/>
  <c r="P49" i="9" s="1"/>
  <c r="N276" i="9"/>
  <c r="O276" i="9" s="1"/>
  <c r="P276" i="9" s="1"/>
  <c r="N220" i="9"/>
  <c r="O220" i="9" s="1"/>
  <c r="P220" i="9" s="1"/>
  <c r="N156" i="9"/>
  <c r="O156" i="9" s="1"/>
  <c r="P156" i="9" s="1"/>
  <c r="N92" i="9"/>
  <c r="O92" i="9" s="1"/>
  <c r="P92" i="9" s="1"/>
  <c r="N319" i="9"/>
  <c r="O319" i="9" s="1"/>
  <c r="P319" i="9" s="1"/>
  <c r="N255" i="9"/>
  <c r="O255" i="9" s="1"/>
  <c r="P255" i="9" s="1"/>
  <c r="N183" i="9"/>
  <c r="O183" i="9" s="1"/>
  <c r="P183" i="9" s="1"/>
  <c r="N119" i="9"/>
  <c r="O119" i="9" s="1"/>
  <c r="P119" i="9" s="1"/>
  <c r="N55" i="9"/>
  <c r="O55" i="9" s="1"/>
  <c r="P55" i="9" s="1"/>
  <c r="N282" i="9"/>
  <c r="O282" i="9" s="1"/>
  <c r="P282" i="9" s="1"/>
  <c r="N210" i="9"/>
  <c r="O210" i="9" s="1"/>
  <c r="P210" i="9" s="1"/>
  <c r="N146" i="9"/>
  <c r="O146" i="9" s="1"/>
  <c r="P146" i="9" s="1"/>
  <c r="N82" i="9"/>
  <c r="O82" i="9" s="1"/>
  <c r="P82" i="9" s="1"/>
  <c r="N309" i="9"/>
  <c r="O309" i="9" s="1"/>
  <c r="P309" i="9" s="1"/>
  <c r="N241" i="9"/>
  <c r="O241" i="9" s="1"/>
  <c r="P241" i="9" s="1"/>
  <c r="N189" i="9"/>
  <c r="O189" i="9" s="1"/>
  <c r="P189" i="9" s="1"/>
  <c r="N125" i="9"/>
  <c r="O125" i="9" s="1"/>
  <c r="P125" i="9" s="1"/>
  <c r="N61" i="9"/>
  <c r="O61" i="9" s="1"/>
  <c r="P61" i="9" s="1"/>
  <c r="N288" i="9"/>
  <c r="O288" i="9" s="1"/>
  <c r="P288" i="9" s="1"/>
  <c r="N232" i="9"/>
  <c r="O232" i="9" s="1"/>
  <c r="P232" i="9" s="1"/>
  <c r="N168" i="9"/>
  <c r="O168" i="9" s="1"/>
  <c r="P168" i="9" s="1"/>
  <c r="N104" i="9"/>
  <c r="O104" i="9" s="1"/>
  <c r="P104" i="9" s="1"/>
  <c r="N40" i="9"/>
  <c r="O40" i="9" s="1"/>
  <c r="P40" i="9" s="1"/>
  <c r="N267" i="9"/>
  <c r="O267" i="9" s="1"/>
  <c r="P267" i="9" s="1"/>
  <c r="N227" i="9"/>
  <c r="O227" i="9" s="1"/>
  <c r="P227" i="9" s="1"/>
  <c r="N163" i="9"/>
  <c r="O163" i="9" s="1"/>
  <c r="P163" i="9" s="1"/>
  <c r="N99" i="9"/>
  <c r="O99" i="9" s="1"/>
  <c r="P99" i="9" s="1"/>
  <c r="N35" i="9"/>
  <c r="O35" i="9" s="1"/>
  <c r="P35" i="9" s="1"/>
  <c r="N262" i="9"/>
  <c r="O262" i="9" s="1"/>
  <c r="P262" i="9" s="1"/>
  <c r="N206" i="9"/>
  <c r="O206" i="9" s="1"/>
  <c r="P206" i="9" s="1"/>
  <c r="N142" i="9"/>
  <c r="O142" i="9" s="1"/>
  <c r="P142" i="9" s="1"/>
  <c r="N78" i="9"/>
  <c r="O78" i="9" s="1"/>
  <c r="P78" i="9" s="1"/>
  <c r="N305" i="9"/>
  <c r="O305" i="9" s="1"/>
  <c r="P305" i="9" s="1"/>
  <c r="N233" i="9"/>
  <c r="O233" i="9" s="1"/>
  <c r="P233" i="9" s="1"/>
  <c r="N169" i="9"/>
  <c r="O169" i="9" s="1"/>
  <c r="P169" i="9" s="1"/>
  <c r="N105" i="9"/>
  <c r="O105" i="9" s="1"/>
  <c r="P105" i="9" s="1"/>
  <c r="N41" i="9"/>
  <c r="O41" i="9" s="1"/>
  <c r="P41" i="9" s="1"/>
  <c r="N268" i="9"/>
  <c r="O268" i="9" s="1"/>
  <c r="P268" i="9" s="1"/>
  <c r="N212" i="9"/>
  <c r="O212" i="9" s="1"/>
  <c r="P212" i="9" s="1"/>
  <c r="N148" i="9"/>
  <c r="O148" i="9" s="1"/>
  <c r="P148" i="9" s="1"/>
  <c r="N84" i="9"/>
  <c r="O84" i="9" s="1"/>
  <c r="P84" i="9" s="1"/>
  <c r="N311" i="9"/>
  <c r="O311" i="9" s="1"/>
  <c r="P311" i="9" s="1"/>
  <c r="N245" i="9"/>
  <c r="O245" i="9" s="1"/>
  <c r="P245" i="9" s="1"/>
  <c r="N159" i="9"/>
  <c r="O159" i="9" s="1"/>
  <c r="P159" i="9" s="1"/>
  <c r="N95" i="9"/>
  <c r="O95" i="9" s="1"/>
  <c r="P95" i="9" s="1"/>
  <c r="N31" i="9"/>
  <c r="O31" i="9" s="1"/>
  <c r="P31" i="9" s="1"/>
  <c r="N258" i="9"/>
  <c r="O258" i="9" s="1"/>
  <c r="P258" i="9" s="1"/>
  <c r="N186" i="9"/>
  <c r="O186" i="9" s="1"/>
  <c r="P186" i="9" s="1"/>
  <c r="N122" i="9"/>
  <c r="O122" i="9" s="1"/>
  <c r="P122" i="9" s="1"/>
  <c r="N58" i="9"/>
  <c r="O58" i="9" s="1"/>
  <c r="P58" i="9" s="1"/>
  <c r="N285" i="9"/>
  <c r="O285" i="9" s="1"/>
  <c r="P285" i="9" s="1"/>
  <c r="N213" i="9"/>
  <c r="O213" i="9" s="1"/>
  <c r="P213" i="9" s="1"/>
  <c r="N149" i="9"/>
  <c r="O149" i="9" s="1"/>
  <c r="P149" i="9" s="1"/>
  <c r="N85" i="9"/>
  <c r="O85" i="9" s="1"/>
  <c r="P85" i="9" s="1"/>
  <c r="N312" i="9"/>
  <c r="O312" i="9" s="1"/>
  <c r="P312" i="9" s="1"/>
  <c r="N243" i="9"/>
  <c r="O243" i="9" s="1"/>
  <c r="P243" i="9" s="1"/>
  <c r="N192" i="9"/>
  <c r="O192" i="9" s="1"/>
  <c r="P192" i="9" s="1"/>
  <c r="N128" i="9"/>
  <c r="O128" i="9" s="1"/>
  <c r="P128" i="9" s="1"/>
  <c r="N64" i="9"/>
  <c r="O64" i="9" s="1"/>
  <c r="P64" i="9" s="1"/>
  <c r="N291" i="9"/>
  <c r="O291" i="9" s="1"/>
  <c r="P291" i="9" s="1"/>
  <c r="N219" i="9"/>
  <c r="O219" i="9" s="1"/>
  <c r="P219" i="9" s="1"/>
  <c r="N155" i="9"/>
  <c r="O155" i="9" s="1"/>
  <c r="P155" i="9" s="1"/>
  <c r="N91" i="9"/>
  <c r="O91" i="9" s="1"/>
  <c r="P91" i="9" s="1"/>
  <c r="N318" i="9"/>
  <c r="O318" i="9" s="1"/>
  <c r="P318" i="9" s="1"/>
  <c r="N254" i="9"/>
  <c r="O254" i="9" s="1"/>
  <c r="P254" i="9" s="1"/>
  <c r="N182" i="9"/>
  <c r="O182" i="9" s="1"/>
  <c r="P182" i="9" s="1"/>
  <c r="N118" i="9"/>
  <c r="O118" i="9" s="1"/>
  <c r="P118" i="9" s="1"/>
  <c r="N54" i="9"/>
  <c r="O54" i="9" s="1"/>
  <c r="P54" i="9" s="1"/>
  <c r="N281" i="9"/>
  <c r="O281" i="9" s="1"/>
  <c r="P281" i="9" s="1"/>
  <c r="N209" i="9"/>
  <c r="O209" i="9" s="1"/>
  <c r="P209" i="9" s="1"/>
  <c r="N145" i="9"/>
  <c r="O145" i="9" s="1"/>
  <c r="P145" i="9" s="1"/>
  <c r="N81" i="9"/>
  <c r="O81" i="9" s="1"/>
  <c r="P81" i="9" s="1"/>
  <c r="N308" i="9"/>
  <c r="O308" i="9" s="1"/>
  <c r="P308" i="9" s="1"/>
  <c r="N247" i="9"/>
  <c r="O247" i="9" s="1"/>
  <c r="P247" i="9" s="1"/>
  <c r="N188" i="9"/>
  <c r="O188" i="9" s="1"/>
  <c r="P188" i="9" s="1"/>
  <c r="N124" i="9"/>
  <c r="O124" i="9" s="1"/>
  <c r="P124" i="9" s="1"/>
  <c r="N60" i="9"/>
  <c r="O60" i="9" s="1"/>
  <c r="P60" i="9" s="1"/>
  <c r="N287" i="9"/>
  <c r="O287" i="9" s="1"/>
  <c r="P287" i="9" s="1"/>
  <c r="N215" i="9"/>
  <c r="O215" i="9" s="1"/>
  <c r="P215" i="9" s="1"/>
  <c r="N151" i="9"/>
  <c r="O151" i="9" s="1"/>
  <c r="P151" i="9" s="1"/>
  <c r="N87" i="9"/>
  <c r="O87" i="9" s="1"/>
  <c r="P87" i="9" s="1"/>
  <c r="N314" i="9"/>
  <c r="O314" i="9" s="1"/>
  <c r="P314" i="9" s="1"/>
  <c r="N250" i="9"/>
  <c r="O250" i="9" s="1"/>
  <c r="P250" i="9" s="1"/>
  <c r="N178" i="9"/>
  <c r="O178" i="9" s="1"/>
  <c r="P178" i="9" s="1"/>
  <c r="N114" i="9"/>
  <c r="O114" i="9" s="1"/>
  <c r="P114" i="9" s="1"/>
  <c r="N50" i="9"/>
  <c r="O50" i="9" s="1"/>
  <c r="P50" i="9" s="1"/>
  <c r="N277" i="9"/>
  <c r="O277" i="9" s="1"/>
  <c r="P277" i="9" s="1"/>
  <c r="N221" i="9"/>
  <c r="O221" i="9" s="1"/>
  <c r="P221" i="9" s="1"/>
  <c r="N157" i="9"/>
  <c r="O157" i="9" s="1"/>
  <c r="P157" i="9" s="1"/>
  <c r="N93" i="9"/>
  <c r="O93" i="9" s="1"/>
  <c r="P93" i="9" s="1"/>
  <c r="N239" i="9"/>
  <c r="O239" i="9" s="1"/>
  <c r="P239" i="9" s="1"/>
  <c r="N256" i="9"/>
  <c r="O256" i="9" s="1"/>
  <c r="P256" i="9" s="1"/>
  <c r="N200" i="9"/>
  <c r="O200" i="9" s="1"/>
  <c r="P200" i="9" s="1"/>
  <c r="N136" i="9"/>
  <c r="O136" i="9" s="1"/>
  <c r="P136" i="9" s="1"/>
  <c r="N72" i="9"/>
  <c r="O72" i="9" s="1"/>
  <c r="P72" i="9" s="1"/>
  <c r="N299" i="9"/>
  <c r="O299" i="9" s="1"/>
  <c r="P299" i="9" s="1"/>
  <c r="N29" i="9"/>
  <c r="O29" i="9" s="1"/>
  <c r="P29" i="9" s="1"/>
  <c r="N143" i="9"/>
  <c r="O143" i="9" s="1"/>
  <c r="P143" i="9" s="1"/>
  <c r="N79" i="9"/>
  <c r="O79" i="9" s="1"/>
  <c r="P79" i="9" s="1"/>
  <c r="N234" i="9"/>
  <c r="O234" i="9" s="1"/>
  <c r="P234" i="9" s="1"/>
  <c r="N106" i="9"/>
  <c r="O106" i="9" s="1"/>
  <c r="P106" i="9" s="1"/>
  <c r="N269" i="9"/>
  <c r="O269" i="9" s="1"/>
  <c r="P269" i="9" s="1"/>
  <c r="N69" i="9"/>
  <c r="O69" i="9" s="1"/>
  <c r="P69" i="9" s="1"/>
  <c r="N248" i="9"/>
  <c r="O248" i="9" s="1"/>
  <c r="P248" i="9" s="1"/>
  <c r="N112" i="9"/>
  <c r="O112" i="9" s="1"/>
  <c r="P112" i="9" s="1"/>
  <c r="N48" i="9"/>
  <c r="O48" i="9" s="1"/>
  <c r="P48" i="9" s="1"/>
  <c r="N203" i="9"/>
  <c r="O203" i="9" s="1"/>
  <c r="P203" i="9" s="1"/>
  <c r="N75" i="9"/>
  <c r="O75" i="9" s="1"/>
  <c r="P75" i="9" s="1"/>
  <c r="N230" i="9"/>
  <c r="O230" i="9" s="1"/>
  <c r="P230" i="9" s="1"/>
  <c r="N102" i="9"/>
  <c r="O102" i="9" s="1"/>
  <c r="P102" i="9" s="1"/>
  <c r="N265" i="9"/>
  <c r="O265" i="9" s="1"/>
  <c r="P265" i="9" s="1"/>
  <c r="N129" i="9"/>
  <c r="O129" i="9" s="1"/>
  <c r="P129" i="9" s="1"/>
  <c r="N292" i="9"/>
  <c r="O292" i="9" s="1"/>
  <c r="P292" i="9" s="1"/>
  <c r="N172" i="9"/>
  <c r="O172" i="9" s="1"/>
  <c r="P172" i="9" s="1"/>
  <c r="N271" i="9"/>
  <c r="O271" i="9" s="1"/>
  <c r="P271" i="9" s="1"/>
  <c r="N199" i="9"/>
  <c r="O199" i="9" s="1"/>
  <c r="P199" i="9" s="1"/>
  <c r="N71" i="9"/>
  <c r="O71" i="9" s="1"/>
  <c r="P71" i="9" s="1"/>
  <c r="N226" i="9"/>
  <c r="O226" i="9" s="1"/>
  <c r="P226" i="9" s="1"/>
  <c r="N98" i="9"/>
  <c r="O98" i="9" s="1"/>
  <c r="P98" i="9" s="1"/>
  <c r="N261" i="9"/>
  <c r="O261" i="9" s="1"/>
  <c r="P261" i="9" s="1"/>
  <c r="N141" i="9"/>
  <c r="O141" i="9" s="1"/>
  <c r="P141" i="9" s="1"/>
  <c r="N304" i="9"/>
  <c r="O304" i="9" s="1"/>
  <c r="P304" i="9" s="1"/>
  <c r="N184" i="9"/>
  <c r="O184" i="9" s="1"/>
  <c r="P184" i="9" s="1"/>
  <c r="N283" i="9"/>
  <c r="O283" i="9" s="1"/>
  <c r="P283" i="9" s="1"/>
  <c r="N175" i="9"/>
  <c r="O175" i="9" s="1"/>
  <c r="P175" i="9" s="1"/>
  <c r="N111" i="9"/>
  <c r="O111" i="9" s="1"/>
  <c r="P111" i="9" s="1"/>
  <c r="N47" i="9"/>
  <c r="O47" i="9" s="1"/>
  <c r="P47" i="9" s="1"/>
  <c r="N274" i="9"/>
  <c r="O274" i="9" s="1"/>
  <c r="P274" i="9" s="1"/>
  <c r="N202" i="9"/>
  <c r="O202" i="9" s="1"/>
  <c r="P202" i="9" s="1"/>
  <c r="N138" i="9"/>
  <c r="O138" i="9" s="1"/>
  <c r="P138" i="9" s="1"/>
  <c r="N74" i="9"/>
  <c r="O74" i="9" s="1"/>
  <c r="P74" i="9" s="1"/>
  <c r="N301" i="9"/>
  <c r="O301" i="9" s="1"/>
  <c r="P301" i="9" s="1"/>
  <c r="N229" i="9"/>
  <c r="O229" i="9" s="1"/>
  <c r="P229" i="9" s="1"/>
  <c r="N165" i="9"/>
  <c r="O165" i="9" s="1"/>
  <c r="P165" i="9" s="1"/>
  <c r="N101" i="9"/>
  <c r="O101" i="9" s="1"/>
  <c r="P101" i="9" s="1"/>
  <c r="N37" i="9"/>
  <c r="O37" i="9" s="1"/>
  <c r="P37" i="9" s="1"/>
  <c r="N264" i="9"/>
  <c r="O264" i="9" s="1"/>
  <c r="P264" i="9" s="1"/>
  <c r="N208" i="9"/>
  <c r="O208" i="9" s="1"/>
  <c r="P208" i="9" s="1"/>
  <c r="N144" i="9"/>
  <c r="O144" i="9" s="1"/>
  <c r="P144" i="9" s="1"/>
  <c r="N80" i="9"/>
  <c r="O80" i="9" s="1"/>
  <c r="P80" i="9" s="1"/>
  <c r="N307" i="9"/>
  <c r="O307" i="9" s="1"/>
  <c r="P307" i="9" s="1"/>
  <c r="N235" i="9"/>
  <c r="O235" i="9" s="1"/>
  <c r="P235" i="9" s="1"/>
  <c r="N171" i="9"/>
  <c r="O171" i="9" s="1"/>
  <c r="P171" i="9" s="1"/>
  <c r="N107" i="9"/>
  <c r="O107" i="9" s="1"/>
  <c r="P107" i="9" s="1"/>
  <c r="N43" i="9"/>
  <c r="O43" i="9" s="1"/>
  <c r="P43" i="9" s="1"/>
  <c r="N270" i="9"/>
  <c r="O270" i="9" s="1"/>
  <c r="P270" i="9" s="1"/>
  <c r="N198" i="9"/>
  <c r="O198" i="9" s="1"/>
  <c r="P198" i="9" s="1"/>
  <c r="N134" i="9"/>
  <c r="O134" i="9" s="1"/>
  <c r="P134" i="9" s="1"/>
  <c r="N70" i="9"/>
  <c r="O70" i="9" s="1"/>
  <c r="P70" i="9" s="1"/>
  <c r="N297" i="9"/>
  <c r="O297" i="9" s="1"/>
  <c r="P297" i="9" s="1"/>
  <c r="N225" i="9"/>
  <c r="O225" i="9" s="1"/>
  <c r="P225" i="9" s="1"/>
  <c r="N161" i="9"/>
  <c r="O161" i="9" s="1"/>
  <c r="P161" i="9" s="1"/>
  <c r="N97" i="9"/>
  <c r="O97" i="9" s="1"/>
  <c r="P97" i="9" s="1"/>
  <c r="N33" i="9"/>
  <c r="O33" i="9" s="1"/>
  <c r="P33" i="9" s="1"/>
  <c r="N260" i="9"/>
  <c r="O260" i="9" s="1"/>
  <c r="P260" i="9" s="1"/>
  <c r="N204" i="9"/>
  <c r="O204" i="9" s="1"/>
  <c r="P204" i="9" s="1"/>
  <c r="N140" i="9"/>
  <c r="O140" i="9" s="1"/>
  <c r="P140" i="9" s="1"/>
  <c r="N76" i="9"/>
  <c r="O76" i="9" s="1"/>
  <c r="P76" i="9" s="1"/>
  <c r="N303" i="9"/>
  <c r="O303" i="9" s="1"/>
  <c r="P303" i="9" s="1"/>
  <c r="N231" i="9"/>
  <c r="O231" i="9" s="1"/>
  <c r="P231" i="9" s="1"/>
  <c r="N167" i="9"/>
  <c r="O167" i="9" s="1"/>
  <c r="P167" i="9" s="1"/>
  <c r="N103" i="9"/>
  <c r="O103" i="9" s="1"/>
  <c r="P103" i="9" s="1"/>
  <c r="N39" i="9"/>
  <c r="O39" i="9" s="1"/>
  <c r="P39" i="9" s="1"/>
  <c r="N266" i="9"/>
  <c r="O266" i="9" s="1"/>
  <c r="P266" i="9" s="1"/>
  <c r="N194" i="9"/>
  <c r="O194" i="9" s="1"/>
  <c r="P194" i="9" s="1"/>
  <c r="N130" i="9"/>
  <c r="O130" i="9" s="1"/>
  <c r="P130" i="9" s="1"/>
  <c r="N66" i="9"/>
  <c r="O66" i="9" s="1"/>
  <c r="P66" i="9" s="1"/>
  <c r="N293" i="9"/>
  <c r="O293" i="9" s="1"/>
  <c r="P293" i="9" s="1"/>
  <c r="N237" i="9"/>
  <c r="O237" i="9" s="1"/>
  <c r="P237" i="9" s="1"/>
  <c r="N173" i="9"/>
  <c r="O173" i="9" s="1"/>
  <c r="P173" i="9" s="1"/>
  <c r="N109" i="9"/>
  <c r="O109" i="9" s="1"/>
  <c r="P109" i="9" s="1"/>
  <c r="N45" i="9"/>
  <c r="O45" i="9" s="1"/>
  <c r="P45" i="9" s="1"/>
  <c r="N272" i="9"/>
  <c r="O272" i="9" s="1"/>
  <c r="P272" i="9" s="1"/>
  <c r="N216" i="9"/>
  <c r="O216" i="9" s="1"/>
  <c r="P216" i="9" s="1"/>
  <c r="N152" i="9"/>
  <c r="O152" i="9" s="1"/>
  <c r="P152" i="9" s="1"/>
  <c r="N88" i="9"/>
  <c r="O88" i="9" s="1"/>
  <c r="P88" i="9" s="1"/>
  <c r="N315" i="9"/>
  <c r="O315" i="9" s="1"/>
  <c r="P315" i="9" s="1"/>
  <c r="N251" i="9"/>
  <c r="O251" i="9" s="1"/>
  <c r="P251" i="9" s="1"/>
  <c r="N211" i="9"/>
  <c r="O211" i="9" s="1"/>
  <c r="P211" i="9" s="1"/>
  <c r="N147" i="9"/>
  <c r="O147" i="9" s="1"/>
  <c r="P147" i="9" s="1"/>
  <c r="N83" i="9"/>
  <c r="O83" i="9" s="1"/>
  <c r="P83" i="9" s="1"/>
  <c r="N310" i="9"/>
  <c r="O310" i="9" s="1"/>
  <c r="P310" i="9" s="1"/>
  <c r="N242" i="9"/>
  <c r="O242" i="9" s="1"/>
  <c r="P242" i="9" s="1"/>
  <c r="N190" i="9"/>
  <c r="O190" i="9" s="1"/>
  <c r="P190" i="9" s="1"/>
  <c r="N126" i="9"/>
  <c r="O126" i="9" s="1"/>
  <c r="P126" i="9" s="1"/>
  <c r="N62" i="9"/>
  <c r="O62" i="9" s="1"/>
  <c r="P62" i="9" s="1"/>
  <c r="N289" i="9"/>
  <c r="O289" i="9" s="1"/>
  <c r="P289" i="9" s="1"/>
  <c r="N217" i="9"/>
  <c r="O217" i="9" s="1"/>
  <c r="P217" i="9" s="1"/>
  <c r="N153" i="9"/>
  <c r="O153" i="9" s="1"/>
  <c r="P153" i="9" s="1"/>
  <c r="N89" i="9"/>
  <c r="O89" i="9" s="1"/>
  <c r="P89" i="9" s="1"/>
  <c r="N316" i="9"/>
  <c r="O316" i="9" s="1"/>
  <c r="P316" i="9" s="1"/>
  <c r="N252" i="9"/>
  <c r="O252" i="9" s="1"/>
  <c r="P252" i="9" s="1"/>
  <c r="N196" i="9"/>
  <c r="O196" i="9" s="1"/>
  <c r="P196" i="9" s="1"/>
  <c r="N132" i="9"/>
  <c r="O132" i="9" s="1"/>
  <c r="P132" i="9" s="1"/>
  <c r="N68" i="9"/>
  <c r="O68" i="9" s="1"/>
  <c r="P68" i="9" s="1"/>
  <c r="N295" i="9"/>
  <c r="O295" i="9" s="1"/>
  <c r="P295" i="9" s="1"/>
  <c r="N246" i="9"/>
  <c r="O246" i="9" s="1"/>
  <c r="P246" i="9" s="1"/>
  <c r="T3" i="7"/>
  <c r="U3" i="7" s="1"/>
  <c r="R88" i="5"/>
  <c r="R89" i="5"/>
  <c r="R3" i="7"/>
  <c r="S3" i="7" s="1"/>
  <c r="B43" i="5"/>
  <c r="N52" i="5"/>
  <c r="P52" i="5"/>
  <c r="B30" i="5"/>
  <c r="H33" i="5" s="1"/>
  <c r="H34" i="5" s="1"/>
  <c r="H32" i="5"/>
  <c r="B41" i="5"/>
  <c r="N51" i="5"/>
  <c r="F34" i="5"/>
  <c r="F33" i="5"/>
  <c r="D34" i="5"/>
  <c r="D33" i="5"/>
  <c r="D36" i="5" s="1" a="1"/>
  <c r="D36" i="5" s="1"/>
  <c r="R13" i="5"/>
  <c r="E34" i="5"/>
  <c r="E33" i="5"/>
  <c r="E36" i="5" s="1" a="1"/>
  <c r="E36" i="5" s="1"/>
  <c r="R14" i="5"/>
  <c r="H31" i="5"/>
  <c r="J30" i="5" s="1"/>
  <c r="P51" i="5"/>
  <c r="B41" i="2"/>
  <c r="B43" i="2"/>
  <c r="N52" i="2"/>
  <c r="R13" i="2"/>
  <c r="B30" i="2"/>
  <c r="H33" i="2" s="1"/>
  <c r="H34" i="2" s="1"/>
  <c r="H32" i="2"/>
  <c r="P52" i="2"/>
  <c r="R14" i="2"/>
  <c r="E33" i="2"/>
  <c r="R12" i="2"/>
  <c r="E34" i="2"/>
  <c r="D34" i="2"/>
  <c r="F33" i="2"/>
  <c r="F36" i="2" s="1" a="1"/>
  <c r="F36" i="2" s="1"/>
  <c r="F37" i="2" s="1"/>
  <c r="R11" i="2"/>
  <c r="F34" i="2"/>
  <c r="D33" i="2"/>
  <c r="D36" i="2" s="1" a="1"/>
  <c r="D36" i="2" s="1"/>
  <c r="D37" i="2" s="1"/>
  <c r="N51" i="2"/>
  <c r="R10" i="2"/>
  <c r="H31" i="2"/>
  <c r="J30" i="2" s="1"/>
  <c r="R9" i="2"/>
  <c r="P51" i="2"/>
  <c r="G2" i="3"/>
  <c r="Y4" i="2" a="1"/>
  <c r="Y4" i="2" s="1"/>
  <c r="M4" i="9" l="1"/>
  <c r="L5" i="9"/>
  <c r="O5" i="9" s="1"/>
  <c r="E36" i="2" a="1"/>
  <c r="E36" i="2" s="1"/>
  <c r="E37" i="2" s="1"/>
  <c r="C38" i="2" s="1"/>
  <c r="F36" i="5" a="1"/>
  <c r="F36" i="5" s="1"/>
  <c r="F37" i="5" s="1"/>
  <c r="L52" i="5"/>
  <c r="J52" i="5"/>
  <c r="K54" i="5" s="1" a="1"/>
  <c r="J31" i="5"/>
  <c r="K30" i="5"/>
  <c r="O30" i="5" s="1"/>
  <c r="E37" i="5"/>
  <c r="D37" i="5"/>
  <c r="L52" i="2"/>
  <c r="J52" i="2"/>
  <c r="K54" i="2" s="1" a="1"/>
  <c r="K30" i="2"/>
  <c r="L30" i="2" s="1"/>
  <c r="J31" i="2"/>
  <c r="L6" i="9" l="1"/>
  <c r="L7" i="9" s="1"/>
  <c r="M5" i="9"/>
  <c r="J66" i="5" a="1"/>
  <c r="J66" i="5" s="1"/>
  <c r="J72" i="5" a="1"/>
  <c r="J72" i="5" s="1"/>
  <c r="J78" i="5" a="1"/>
  <c r="J78" i="5" s="1"/>
  <c r="J81" i="5" a="1"/>
  <c r="J81" i="5" s="1"/>
  <c r="J84" i="5" a="1"/>
  <c r="J84" i="5" s="1"/>
  <c r="J88" i="5" a="1"/>
  <c r="J88" i="5" s="1"/>
  <c r="J94" i="5" a="1"/>
  <c r="J94" i="5" s="1"/>
  <c r="J97" i="5" a="1"/>
  <c r="J97" i="5" s="1"/>
  <c r="J100" i="5" a="1"/>
  <c r="J100" i="5" s="1"/>
  <c r="J104" i="5" a="1"/>
  <c r="J104" i="5" s="1"/>
  <c r="J110" i="5" a="1"/>
  <c r="J110" i="5" s="1"/>
  <c r="J113" i="5" a="1"/>
  <c r="J113" i="5" s="1"/>
  <c r="J116" i="5" a="1"/>
  <c r="J116" i="5" s="1"/>
  <c r="J120" i="5" a="1"/>
  <c r="J120" i="5" s="1"/>
  <c r="J126" i="5" a="1"/>
  <c r="J126" i="5" s="1"/>
  <c r="J129" i="5" a="1"/>
  <c r="J129" i="5" s="1"/>
  <c r="J132" i="5" a="1"/>
  <c r="J132" i="5" s="1"/>
  <c r="J136" i="5" a="1"/>
  <c r="J136" i="5" s="1"/>
  <c r="J142" i="5" a="1"/>
  <c r="J142" i="5" s="1"/>
  <c r="J145" i="5" a="1"/>
  <c r="J145" i="5" s="1"/>
  <c r="J56" i="5" a="1"/>
  <c r="J56" i="5" s="1"/>
  <c r="J58" i="5" a="1"/>
  <c r="J58" i="5" s="1"/>
  <c r="J60" i="5" a="1"/>
  <c r="J60" i="5" s="1"/>
  <c r="J62" i="5" a="1"/>
  <c r="J62" i="5" s="1"/>
  <c r="J64" i="5" a="1"/>
  <c r="J64" i="5" s="1"/>
  <c r="J69" i="5" a="1"/>
  <c r="J69" i="5" s="1"/>
  <c r="J75" i="5" a="1"/>
  <c r="J75" i="5" s="1"/>
  <c r="J79" i="5" a="1"/>
  <c r="J79" i="5" s="1"/>
  <c r="J82" i="5" a="1"/>
  <c r="J82" i="5" s="1"/>
  <c r="J85" i="5" a="1"/>
  <c r="J85" i="5" s="1"/>
  <c r="J91" i="5" a="1"/>
  <c r="J91" i="5" s="1"/>
  <c r="J95" i="5" a="1"/>
  <c r="J95" i="5" s="1"/>
  <c r="J98" i="5" a="1"/>
  <c r="J98" i="5" s="1"/>
  <c r="J101" i="5" a="1"/>
  <c r="J101" i="5" s="1"/>
  <c r="J107" i="5" a="1"/>
  <c r="J107" i="5" s="1"/>
  <c r="J111" i="5" a="1"/>
  <c r="J111" i="5" s="1"/>
  <c r="J114" i="5" a="1"/>
  <c r="J114" i="5" s="1"/>
  <c r="J117" i="5" a="1"/>
  <c r="J117" i="5" s="1"/>
  <c r="J123" i="5" a="1"/>
  <c r="J123" i="5" s="1"/>
  <c r="J127" i="5" a="1"/>
  <c r="J127" i="5" s="1"/>
  <c r="J130" i="5" a="1"/>
  <c r="J130" i="5" s="1"/>
  <c r="J133" i="5" a="1"/>
  <c r="J133" i="5" s="1"/>
  <c r="J139" i="5" a="1"/>
  <c r="J139" i="5" s="1"/>
  <c r="J143" i="5" a="1"/>
  <c r="J143" i="5" s="1"/>
  <c r="J146" i="5" a="1"/>
  <c r="J146" i="5" s="1"/>
  <c r="J67" i="5" a="1"/>
  <c r="J67" i="5" s="1"/>
  <c r="J70" i="5" a="1"/>
  <c r="J70" i="5" s="1"/>
  <c r="J73" i="5" a="1"/>
  <c r="J73" i="5" s="1"/>
  <c r="J76" i="5" a="1"/>
  <c r="J76" i="5" s="1"/>
  <c r="J80" i="5" a="1"/>
  <c r="J80" i="5" s="1"/>
  <c r="J86" i="5" a="1"/>
  <c r="J86" i="5" s="1"/>
  <c r="J89" i="5" a="1"/>
  <c r="J89" i="5" s="1"/>
  <c r="J92" i="5" a="1"/>
  <c r="J92" i="5" s="1"/>
  <c r="J96" i="5" a="1"/>
  <c r="J96" i="5" s="1"/>
  <c r="J102" i="5" a="1"/>
  <c r="J102" i="5" s="1"/>
  <c r="J105" i="5" a="1"/>
  <c r="J105" i="5" s="1"/>
  <c r="J108" i="5" a="1"/>
  <c r="J108" i="5" s="1"/>
  <c r="J112" i="5" a="1"/>
  <c r="J112" i="5" s="1"/>
  <c r="J118" i="5" a="1"/>
  <c r="J118" i="5" s="1"/>
  <c r="J121" i="5" a="1"/>
  <c r="J121" i="5" s="1"/>
  <c r="J124" i="5" a="1"/>
  <c r="J124" i="5" s="1"/>
  <c r="J128" i="5" a="1"/>
  <c r="J128" i="5" s="1"/>
  <c r="J134" i="5" a="1"/>
  <c r="J134" i="5" s="1"/>
  <c r="J137" i="5" a="1"/>
  <c r="J137" i="5" s="1"/>
  <c r="J140" i="5" a="1"/>
  <c r="J140" i="5" s="1"/>
  <c r="J144" i="5" a="1"/>
  <c r="J144" i="5" s="1"/>
  <c r="J55" i="5" a="1"/>
  <c r="J55" i="5" s="1"/>
  <c r="J57" i="5" a="1"/>
  <c r="J57" i="5" s="1"/>
  <c r="J59" i="5" a="1"/>
  <c r="J59" i="5" s="1"/>
  <c r="J61" i="5" a="1"/>
  <c r="J61" i="5" s="1"/>
  <c r="J63" i="5" a="1"/>
  <c r="J63" i="5" s="1"/>
  <c r="J65" i="5" a="1"/>
  <c r="J65" i="5" s="1"/>
  <c r="J68" i="5" a="1"/>
  <c r="J68" i="5" s="1"/>
  <c r="J71" i="5" a="1"/>
  <c r="J71" i="5" s="1"/>
  <c r="J74" i="5" a="1"/>
  <c r="J74" i="5" s="1"/>
  <c r="J77" i="5" a="1"/>
  <c r="J77" i="5" s="1"/>
  <c r="J83" i="5" a="1"/>
  <c r="J83" i="5" s="1"/>
  <c r="J87" i="5" a="1"/>
  <c r="J87" i="5" s="1"/>
  <c r="J90" i="5" a="1"/>
  <c r="J90" i="5" s="1"/>
  <c r="J93" i="5" a="1"/>
  <c r="J93" i="5" s="1"/>
  <c r="J99" i="5" a="1"/>
  <c r="J99" i="5" s="1"/>
  <c r="J103" i="5" a="1"/>
  <c r="J103" i="5" s="1"/>
  <c r="J106" i="5" a="1"/>
  <c r="J106" i="5" s="1"/>
  <c r="J109" i="5" a="1"/>
  <c r="J109" i="5" s="1"/>
  <c r="J115" i="5" a="1"/>
  <c r="J115" i="5" s="1"/>
  <c r="J119" i="5" a="1"/>
  <c r="J119" i="5" s="1"/>
  <c r="J122" i="5" a="1"/>
  <c r="J122" i="5" s="1"/>
  <c r="J125" i="5" a="1"/>
  <c r="J125" i="5" s="1"/>
  <c r="J131" i="5" a="1"/>
  <c r="J131" i="5" s="1"/>
  <c r="J135" i="5" a="1"/>
  <c r="J135" i="5" s="1"/>
  <c r="J138" i="5" a="1"/>
  <c r="J138" i="5" s="1"/>
  <c r="J141" i="5" a="1"/>
  <c r="J141" i="5" s="1"/>
  <c r="K54" i="5"/>
  <c r="J54" i="5" s="1" a="1"/>
  <c r="J54" i="5" s="1"/>
  <c r="J32" i="5"/>
  <c r="C38" i="5"/>
  <c r="S30" i="5"/>
  <c r="P30" i="5"/>
  <c r="K31" i="5"/>
  <c r="K32" i="5" s="1"/>
  <c r="K33" i="5" s="1"/>
  <c r="K34" i="5" s="1"/>
  <c r="K35" i="5" s="1"/>
  <c r="K36" i="5" s="1"/>
  <c r="K37" i="5" s="1"/>
  <c r="K38" i="5" s="1"/>
  <c r="K39" i="5" s="1"/>
  <c r="K40" i="5" s="1"/>
  <c r="K41" i="5" s="1"/>
  <c r="K42" i="5" s="1"/>
  <c r="K43" i="5" s="1"/>
  <c r="K44" i="5" s="1"/>
  <c r="K45" i="5" s="1"/>
  <c r="K46" i="5" s="1"/>
  <c r="K47" i="5" s="1"/>
  <c r="K48" i="5" s="1"/>
  <c r="L30" i="5"/>
  <c r="J55" i="2" a="1"/>
  <c r="J55" i="2" s="1"/>
  <c r="K54" i="2"/>
  <c r="J54" i="2" s="1" a="1"/>
  <c r="J54" i="2" s="1"/>
  <c r="K31" i="2"/>
  <c r="K32" i="2" s="1"/>
  <c r="K33" i="2" s="1"/>
  <c r="K34" i="2" s="1"/>
  <c r="K35" i="2" s="1"/>
  <c r="K36" i="2" s="1"/>
  <c r="K37" i="2" s="1"/>
  <c r="K38" i="2" s="1"/>
  <c r="K39" i="2" s="1"/>
  <c r="K40" i="2" s="1"/>
  <c r="K41" i="2" s="1"/>
  <c r="K42" i="2" s="1"/>
  <c r="K43" i="2" s="1"/>
  <c r="K44" i="2" s="1"/>
  <c r="K45" i="2" s="1"/>
  <c r="K46" i="2" s="1"/>
  <c r="K47" i="2" s="1"/>
  <c r="K48" i="2" s="1"/>
  <c r="M30" i="2" a="1"/>
  <c r="O30" i="2"/>
  <c r="J32" i="2"/>
  <c r="O31" i="2"/>
  <c r="P31" i="2" s="1"/>
  <c r="Q31" i="2" s="1"/>
  <c r="L31" i="2"/>
  <c r="M6" i="9" l="1"/>
  <c r="O6" i="9"/>
  <c r="O7" i="9"/>
  <c r="L8" i="9"/>
  <c r="M7" i="9"/>
  <c r="X49" i="5" a="1"/>
  <c r="X49" i="5" s="1"/>
  <c r="P8" i="5" a="1"/>
  <c r="D6" i="6" a="1"/>
  <c r="D6" i="6" s="1"/>
  <c r="B6" i="6" a="1"/>
  <c r="B6" i="6" s="1"/>
  <c r="J33" i="5"/>
  <c r="O32" i="5"/>
  <c r="L32" i="5"/>
  <c r="M30" i="5" a="1"/>
  <c r="O31" i="5"/>
  <c r="Q30" i="5"/>
  <c r="L31" i="5"/>
  <c r="M30" i="2"/>
  <c r="L32" i="2"/>
  <c r="N32" i="2" s="1"/>
  <c r="O32" i="2"/>
  <c r="P32" i="2" s="1"/>
  <c r="Q32" i="2" s="1"/>
  <c r="J33" i="2"/>
  <c r="N31" i="2"/>
  <c r="P30" i="2"/>
  <c r="O8" i="9" l="1"/>
  <c r="L9" i="9"/>
  <c r="M8" i="9"/>
  <c r="P8" i="5"/>
  <c r="M30" i="5"/>
  <c r="S32" i="5"/>
  <c r="P32" i="5"/>
  <c r="Q32" i="5" s="1"/>
  <c r="N31" i="5"/>
  <c r="S31" i="5"/>
  <c r="P31" i="5"/>
  <c r="L33" i="5"/>
  <c r="N33" i="5" s="1"/>
  <c r="J34" i="5"/>
  <c r="O33" i="5"/>
  <c r="N32" i="5"/>
  <c r="Q30" i="2"/>
  <c r="P8" i="2" a="1"/>
  <c r="N30" i="2"/>
  <c r="O33" i="2"/>
  <c r="J34" i="2"/>
  <c r="L33" i="2"/>
  <c r="N33" i="2" s="1"/>
  <c r="O9" i="9" l="1"/>
  <c r="L10" i="9"/>
  <c r="M9" i="9"/>
  <c r="S33" i="5"/>
  <c r="P33" i="5"/>
  <c r="Q33" i="5" s="1"/>
  <c r="N30" i="5"/>
  <c r="L34" i="5"/>
  <c r="N34" i="5" s="1"/>
  <c r="J35" i="5"/>
  <c r="O34" i="5"/>
  <c r="Q31" i="5"/>
  <c r="P8" i="2"/>
  <c r="O34" i="2"/>
  <c r="J35" i="2"/>
  <c r="L34" i="2"/>
  <c r="N34" i="2" s="1"/>
  <c r="P33" i="2"/>
  <c r="O10" i="9" l="1"/>
  <c r="M10" i="9"/>
  <c r="L11" i="9"/>
  <c r="S34" i="5"/>
  <c r="P34" i="5"/>
  <c r="J36" i="5"/>
  <c r="O35" i="5"/>
  <c r="L35" i="5"/>
  <c r="N35" i="5" s="1"/>
  <c r="J36" i="2"/>
  <c r="L35" i="2"/>
  <c r="N35" i="2" s="1"/>
  <c r="O35" i="2"/>
  <c r="P34" i="2"/>
  <c r="Q34" i="2" s="1"/>
  <c r="Q33" i="2"/>
  <c r="O11" i="9" l="1"/>
  <c r="M11" i="9"/>
  <c r="L12" i="9"/>
  <c r="P35" i="5"/>
  <c r="Q35" i="5" s="1"/>
  <c r="S35" i="5"/>
  <c r="Q34" i="5"/>
  <c r="L36" i="5"/>
  <c r="N36" i="5" s="1"/>
  <c r="J37" i="5"/>
  <c r="O36" i="5"/>
  <c r="P35" i="2"/>
  <c r="Q35" i="2" s="1"/>
  <c r="O36" i="2"/>
  <c r="J37" i="2"/>
  <c r="L36" i="2"/>
  <c r="N36" i="2" s="1"/>
  <c r="O12" i="9" l="1"/>
  <c r="M12" i="9"/>
  <c r="L13" i="9"/>
  <c r="S36" i="5"/>
  <c r="P36" i="5"/>
  <c r="J38" i="5"/>
  <c r="O37" i="5"/>
  <c r="L37" i="5"/>
  <c r="N37" i="5" s="1"/>
  <c r="L37" i="2"/>
  <c r="N37" i="2" s="1"/>
  <c r="O37" i="2"/>
  <c r="J38" i="2"/>
  <c r="P36" i="2"/>
  <c r="Q36" i="2" s="1"/>
  <c r="O13" i="9" l="1"/>
  <c r="M13" i="9"/>
  <c r="L14" i="9"/>
  <c r="P37" i="5"/>
  <c r="Q37" i="5" s="1"/>
  <c r="S37" i="5"/>
  <c r="Q36" i="5"/>
  <c r="R41" i="5"/>
  <c r="O38" i="5"/>
  <c r="J39" i="5"/>
  <c r="X28" i="5" s="1" a="1"/>
  <c r="X28" i="5" s="1"/>
  <c r="L38" i="5"/>
  <c r="N38" i="5" s="1"/>
  <c r="J39" i="2"/>
  <c r="L38" i="2"/>
  <c r="N38" i="2" s="1"/>
  <c r="O38" i="2"/>
  <c r="P37" i="2"/>
  <c r="Q37" i="2" s="1"/>
  <c r="O14" i="9" l="1"/>
  <c r="M14" i="9"/>
  <c r="L15" i="9"/>
  <c r="P38" i="5"/>
  <c r="S38" i="5"/>
  <c r="L39" i="5"/>
  <c r="N39" i="5" s="1"/>
  <c r="J40" i="5"/>
  <c r="O39" i="5"/>
  <c r="P38" i="2"/>
  <c r="Q38" i="2" s="1"/>
  <c r="O39" i="2"/>
  <c r="P39" i="2" s="1"/>
  <c r="Q39" i="2" s="1"/>
  <c r="J40" i="2"/>
  <c r="L39" i="2"/>
  <c r="N39" i="2" s="1"/>
  <c r="O15" i="9" l="1"/>
  <c r="M15" i="9"/>
  <c r="L16" i="9"/>
  <c r="L40" i="5"/>
  <c r="N40" i="5" s="1"/>
  <c r="J41" i="5"/>
  <c r="O40" i="5"/>
  <c r="S39" i="5"/>
  <c r="P39" i="5"/>
  <c r="Q39" i="5" s="1"/>
  <c r="Q38" i="5"/>
  <c r="L40" i="2"/>
  <c r="N40" i="2" s="1"/>
  <c r="O40" i="2"/>
  <c r="P40" i="2" s="1"/>
  <c r="Q40" i="2" s="1"/>
  <c r="J41" i="2"/>
  <c r="O16" i="9" l="1"/>
  <c r="M16" i="9"/>
  <c r="L17" i="9"/>
  <c r="E6" i="6" a="1"/>
  <c r="E6" i="6" s="1"/>
  <c r="S40" i="5"/>
  <c r="P40" i="5"/>
  <c r="J42" i="5"/>
  <c r="O41" i="5"/>
  <c r="L41" i="5"/>
  <c r="N41" i="5" s="1"/>
  <c r="L41" i="2"/>
  <c r="N41" i="2" s="1"/>
  <c r="J42" i="2"/>
  <c r="O41" i="2"/>
  <c r="P41" i="2" s="1"/>
  <c r="Q41" i="2" s="1"/>
  <c r="O17" i="9" l="1"/>
  <c r="M17" i="9"/>
  <c r="L18" i="9"/>
  <c r="P41" i="5"/>
  <c r="Q41" i="5" s="1"/>
  <c r="S41" i="5"/>
  <c r="O42" i="5"/>
  <c r="J43" i="5"/>
  <c r="L42" i="5"/>
  <c r="N42" i="5" s="1"/>
  <c r="Q40" i="5"/>
  <c r="J43" i="2"/>
  <c r="L42" i="2"/>
  <c r="N42" i="2" s="1"/>
  <c r="O42" i="2"/>
  <c r="P42" i="2" s="1"/>
  <c r="Q42" i="2" s="1"/>
  <c r="O18" i="9" l="1"/>
  <c r="M18" i="9"/>
  <c r="L19" i="9"/>
  <c r="O43" i="5"/>
  <c r="J44" i="5"/>
  <c r="L43" i="5"/>
  <c r="N43" i="5" s="1"/>
  <c r="S42" i="5"/>
  <c r="P42" i="5"/>
  <c r="Q42" i="5" s="1"/>
  <c r="O43" i="2"/>
  <c r="P43" i="2" s="1"/>
  <c r="Q43" i="2" s="1"/>
  <c r="J44" i="2"/>
  <c r="L43" i="2"/>
  <c r="N43" i="2" s="1"/>
  <c r="O19" i="9" l="1"/>
  <c r="M19" i="9"/>
  <c r="L20" i="9"/>
  <c r="L44" i="5"/>
  <c r="N44" i="5" s="1"/>
  <c r="J45" i="5"/>
  <c r="O44" i="5"/>
  <c r="S43" i="5"/>
  <c r="P43" i="5"/>
  <c r="Q43" i="5" s="1"/>
  <c r="L44" i="2"/>
  <c r="N44" i="2" s="1"/>
  <c r="O44" i="2"/>
  <c r="P44" i="2" s="1"/>
  <c r="Q44" i="2" s="1"/>
  <c r="J45" i="2"/>
  <c r="O20" i="9" l="1"/>
  <c r="M20" i="9"/>
  <c r="L21" i="9"/>
  <c r="S44" i="5"/>
  <c r="P44" i="5"/>
  <c r="Q44" i="5" s="1"/>
  <c r="L45" i="5"/>
  <c r="N45" i="5" s="1"/>
  <c r="O45" i="5"/>
  <c r="J46" i="5"/>
  <c r="J46" i="2"/>
  <c r="L45" i="2"/>
  <c r="N45" i="2" s="1"/>
  <c r="O45" i="2"/>
  <c r="P45" i="2" s="1"/>
  <c r="Q45" i="2" s="1"/>
  <c r="O21" i="9" l="1"/>
  <c r="R21" i="9" s="1"/>
  <c r="M21" i="9"/>
  <c r="L22" i="9"/>
  <c r="S45" i="5"/>
  <c r="P45" i="5"/>
  <c r="Q45" i="5" s="1"/>
  <c r="L46" i="5"/>
  <c r="N46" i="5" s="1"/>
  <c r="J47" i="5"/>
  <c r="O46" i="5"/>
  <c r="O46" i="2"/>
  <c r="P46" i="2" s="1"/>
  <c r="Q46" i="2" s="1"/>
  <c r="J47" i="2"/>
  <c r="L46" i="2"/>
  <c r="N46" i="2" s="1"/>
  <c r="O22" i="9" l="1"/>
  <c r="R22" i="9" s="1"/>
  <c r="M22" i="9"/>
  <c r="L23" i="9"/>
  <c r="J48" i="5"/>
  <c r="L47" i="5"/>
  <c r="N47" i="5" s="1"/>
  <c r="O47" i="5"/>
  <c r="S46" i="5"/>
  <c r="P46" i="5"/>
  <c r="Q46" i="5" s="1"/>
  <c r="J48" i="2"/>
  <c r="L47" i="2"/>
  <c r="N47" i="2" s="1"/>
  <c r="O47" i="2"/>
  <c r="P47" i="2" s="1"/>
  <c r="Q47" i="2" s="1"/>
  <c r="O23" i="9" l="1"/>
  <c r="M23" i="9"/>
  <c r="M24" i="9" s="1"/>
  <c r="L24" i="9"/>
  <c r="P47" i="5"/>
  <c r="Q47" i="5" s="1"/>
  <c r="S47" i="5"/>
  <c r="O48" i="5"/>
  <c r="L48" i="5"/>
  <c r="O48" i="2"/>
  <c r="L48" i="2"/>
  <c r="N48" i="2" s="1"/>
  <c r="P4" i="9" l="1" a="1"/>
  <c r="P4" i="9" s="1"/>
  <c r="R4" i="9" s="1"/>
  <c r="N4" i="9" a="1"/>
  <c r="N4" i="9" s="1"/>
  <c r="O24" i="9"/>
  <c r="R23" i="9"/>
  <c r="R91" i="5"/>
  <c r="R92" i="5"/>
  <c r="N48" i="5"/>
  <c r="V41" i="5" a="1"/>
  <c r="V41" i="5" s="1"/>
  <c r="A6" i="6" a="1"/>
  <c r="A6" i="6" s="1"/>
  <c r="P48" i="5"/>
  <c r="S89" i="5" s="1"/>
  <c r="S48" i="5"/>
  <c r="U41" i="5" a="1"/>
  <c r="U41" i="5" s="1"/>
  <c r="X69" i="5" a="1"/>
  <c r="X69" i="5" s="1"/>
  <c r="C6" i="6" a="1"/>
  <c r="C6" i="6" s="1"/>
  <c r="R16" i="5"/>
  <c r="R17" i="5"/>
  <c r="P48" i="2"/>
  <c r="R16" i="2"/>
  <c r="R19" i="2" a="1"/>
  <c r="R19" i="2" s="1"/>
  <c r="R17" i="2"/>
  <c r="R26" i="2" a="1"/>
  <c r="R26" i="2" s="1"/>
  <c r="Q18" i="9" l="1"/>
  <c r="Q19" i="9"/>
  <c r="Q20" i="9"/>
  <c r="Q21" i="9"/>
  <c r="R6" i="9"/>
  <c r="R18" i="9"/>
  <c r="R19" i="9"/>
  <c r="R20" i="9"/>
  <c r="R11" i="9"/>
  <c r="R17" i="9"/>
  <c r="R15" i="9"/>
  <c r="R16" i="9"/>
  <c r="R12" i="9"/>
  <c r="R7" i="9"/>
  <c r="R8" i="9"/>
  <c r="R13" i="9"/>
  <c r="R14" i="9"/>
  <c r="R10" i="9"/>
  <c r="R9" i="9"/>
  <c r="R5" i="9"/>
  <c r="J6" i="6"/>
  <c r="K6" i="6" s="1"/>
  <c r="F6" i="6" a="1"/>
  <c r="F6" i="6" s="1"/>
  <c r="Q48" i="5"/>
  <c r="O8" i="5" a="1"/>
  <c r="Q17" i="5" s="1"/>
  <c r="S14" i="5"/>
  <c r="Q48" i="2"/>
  <c r="S12" i="2"/>
  <c r="O8" i="2" a="1"/>
  <c r="R24" i="9" l="1"/>
  <c r="S4" i="9" s="1" a="1"/>
  <c r="S4" i="9" s="1"/>
  <c r="N24" i="9"/>
  <c r="P24" i="9"/>
  <c r="Q16" i="5"/>
  <c r="Q15" i="5"/>
  <c r="G6" i="6"/>
  <c r="H7" i="6" s="1"/>
  <c r="O8" i="5"/>
  <c r="Q8" i="5" s="1"/>
  <c r="Q13" i="5"/>
  <c r="Q11" i="5"/>
  <c r="Q10" i="5"/>
  <c r="Q14" i="5"/>
  <c r="Q12" i="5"/>
  <c r="Q9" i="5"/>
  <c r="J7" i="6"/>
  <c r="K7" i="6" s="1"/>
  <c r="O8" i="2"/>
  <c r="Q8" i="2" s="1"/>
  <c r="Q12" i="2"/>
  <c r="Q10" i="2"/>
  <c r="Q9" i="2"/>
  <c r="Q11" i="2"/>
  <c r="Q13" i="2"/>
  <c r="S19" i="2" a="1"/>
  <c r="S19" i="2" s="1"/>
  <c r="S26" i="2" a="1"/>
  <c r="S26" i="2" s="1"/>
  <c r="Q17" i="9" l="1"/>
  <c r="Q16" i="9"/>
  <c r="Q4" i="9"/>
  <c r="Q15" i="9"/>
  <c r="Q8" i="9"/>
  <c r="Q13" i="9"/>
  <c r="Q7" i="9"/>
  <c r="Q12" i="9"/>
  <c r="Q6" i="9"/>
  <c r="Q11" i="9"/>
  <c r="Q10" i="9"/>
  <c r="Q14" i="9"/>
  <c r="Q5" i="9"/>
  <c r="Q9" i="9"/>
  <c r="H19" i="6"/>
  <c r="H23" i="6"/>
  <c r="H22" i="6"/>
  <c r="H6" i="6"/>
  <c r="H25" i="6"/>
  <c r="H24" i="6"/>
  <c r="H11" i="6"/>
  <c r="H17" i="6"/>
  <c r="H21" i="6"/>
  <c r="H20" i="6"/>
  <c r="H18" i="6"/>
  <c r="J8" i="6"/>
  <c r="K8" i="6" s="1"/>
  <c r="H15" i="6"/>
  <c r="H12" i="6"/>
  <c r="H16" i="6"/>
  <c r="H14" i="6"/>
  <c r="H13" i="6"/>
  <c r="H10" i="6"/>
  <c r="H9" i="6"/>
  <c r="H8" i="6"/>
  <c r="Q24" i="9" l="1"/>
  <c r="J9" i="6"/>
  <c r="K9" i="6" s="1"/>
  <c r="J10" i="6" l="1"/>
  <c r="K10" i="6" s="1"/>
  <c r="J11" i="6" l="1"/>
  <c r="K11" i="6" s="1"/>
  <c r="J12" i="6" l="1"/>
  <c r="K12" i="6" s="1"/>
  <c r="J13" i="6" l="1"/>
  <c r="K13" i="6" s="1"/>
  <c r="J14" i="6" l="1"/>
  <c r="K14" i="6" s="1"/>
  <c r="J15" i="6" l="1"/>
  <c r="K15" i="6" s="1"/>
  <c r="J16" i="6" l="1"/>
  <c r="K16" i="6" s="1"/>
  <c r="J17" i="6" l="1"/>
  <c r="K17" i="6" s="1"/>
  <c r="J18" i="6" l="1"/>
  <c r="K18" i="6" s="1"/>
  <c r="J19" i="6" l="1"/>
  <c r="K19" i="6" s="1"/>
  <c r="J20" i="6" l="1"/>
  <c r="K20" i="6" s="1"/>
  <c r="J21" i="6" l="1"/>
  <c r="K21" i="6" s="1"/>
  <c r="J22" i="6" l="1"/>
  <c r="K22" i="6" s="1"/>
  <c r="J23" i="6" l="1"/>
  <c r="K23" i="6" s="1"/>
  <c r="J24" i="6" l="1"/>
  <c r="K24" i="6" s="1"/>
  <c r="J25" i="6" l="1"/>
  <c r="K25" i="6" s="1"/>
  <c r="J26" i="6" l="1"/>
  <c r="K26" i="6" s="1"/>
  <c r="J27" i="6" l="1"/>
  <c r="K27" i="6" s="1"/>
  <c r="J28" i="6" l="1"/>
  <c r="K28" i="6" s="1"/>
  <c r="J29" i="6" l="1"/>
  <c r="K29" i="6" s="1"/>
  <c r="J30" i="6" l="1"/>
  <c r="K30" i="6" s="1"/>
  <c r="J31" i="6" l="1"/>
  <c r="K31" i="6" s="1"/>
  <c r="J32" i="6" l="1"/>
  <c r="K32" i="6" s="1"/>
  <c r="J33" i="6" l="1"/>
  <c r="K33" i="6" s="1"/>
  <c r="J34" i="6" l="1"/>
  <c r="K34" i="6" s="1"/>
  <c r="J35" i="6" l="1"/>
  <c r="K35" i="6" s="1"/>
  <c r="J36" i="6" l="1"/>
  <c r="K36" i="6" s="1"/>
  <c r="J37" i="6" l="1"/>
  <c r="K37" i="6" s="1"/>
  <c r="J38" i="6" l="1"/>
  <c r="K38" i="6" s="1"/>
  <c r="J39" i="6" l="1"/>
  <c r="K39" i="6" s="1"/>
  <c r="J40" i="6" l="1"/>
  <c r="K40" i="6" s="1"/>
  <c r="J41" i="6" l="1"/>
  <c r="K41" i="6" s="1"/>
  <c r="J42" i="6" l="1"/>
  <c r="K42" i="6" s="1"/>
  <c r="J43" i="6" l="1"/>
  <c r="K43" i="6" s="1"/>
  <c r="J44" i="6" l="1"/>
  <c r="K44" i="6" s="1"/>
  <c r="J45" i="6" l="1"/>
  <c r="K45" i="6" s="1"/>
  <c r="J46" i="6" l="1"/>
  <c r="K46" i="6" s="1"/>
  <c r="J47" i="6" l="1"/>
  <c r="K47" i="6" s="1"/>
  <c r="J48" i="6" l="1"/>
  <c r="K48" i="6" s="1"/>
  <c r="J49" i="6" l="1"/>
  <c r="K49" i="6" s="1"/>
  <c r="J50" i="6" l="1"/>
  <c r="K50" i="6" s="1"/>
  <c r="J51" i="6" l="1"/>
  <c r="K51" i="6" s="1"/>
  <c r="J52" i="6" l="1"/>
  <c r="K52" i="6" s="1"/>
  <c r="J53" i="6" l="1"/>
  <c r="K53" i="6" s="1"/>
  <c r="J54" i="6" l="1"/>
  <c r="K54" i="6" s="1"/>
  <c r="J55" i="6" l="1"/>
  <c r="K55" i="6" s="1"/>
  <c r="J56" i="6" l="1"/>
  <c r="K56" i="6" s="1"/>
  <c r="J57" i="6" l="1"/>
  <c r="K57" i="6" s="1"/>
  <c r="J58" i="6" l="1"/>
  <c r="K58" i="6" s="1"/>
  <c r="J59" i="6" l="1"/>
  <c r="K59" i="6" s="1"/>
  <c r="J60" i="6" l="1"/>
  <c r="K60" i="6" s="1"/>
  <c r="J61" i="6" l="1"/>
  <c r="K61" i="6" s="1"/>
  <c r="J62" i="6" l="1"/>
  <c r="K62" i="6" s="1"/>
  <c r="J63" i="6" l="1"/>
  <c r="K63" i="6" s="1"/>
  <c r="J64" i="6" l="1"/>
  <c r="K64" i="6" s="1"/>
  <c r="J65" i="6" l="1"/>
  <c r="K65" i="6" s="1"/>
  <c r="J66" i="6" l="1"/>
  <c r="K66" i="6" s="1"/>
  <c r="J67" i="6" l="1"/>
  <c r="K67" i="6" s="1"/>
  <c r="J68" i="6" l="1"/>
  <c r="K68" i="6" s="1"/>
  <c r="J69" i="6" l="1"/>
  <c r="K69" i="6" s="1"/>
  <c r="J70" i="6" l="1"/>
  <c r="K70" i="6" s="1"/>
  <c r="J71" i="6" l="1"/>
  <c r="K71" i="6" s="1"/>
  <c r="J72" i="6" l="1"/>
  <c r="K72" i="6" s="1"/>
  <c r="J73" i="6" l="1"/>
  <c r="K73" i="6" s="1"/>
  <c r="J74" i="6" l="1"/>
  <c r="K74" i="6" s="1"/>
  <c r="J75" i="6" l="1"/>
  <c r="K75" i="6" s="1"/>
  <c r="J76" i="6" l="1"/>
  <c r="K76" i="6" s="1"/>
  <c r="J77" i="6" l="1"/>
  <c r="K77" i="6" s="1"/>
  <c r="J78" i="6" l="1"/>
  <c r="K78" i="6" s="1"/>
  <c r="J79" i="6" l="1"/>
  <c r="K79" i="6" s="1"/>
  <c r="J80" i="6" l="1"/>
  <c r="K80" i="6" s="1"/>
  <c r="J81" i="6" l="1"/>
  <c r="K81" i="6" s="1"/>
  <c r="J82" i="6" l="1"/>
  <c r="K82" i="6" s="1"/>
  <c r="J83" i="6" l="1"/>
  <c r="K83" i="6" s="1"/>
  <c r="J84" i="6" l="1"/>
  <c r="K84" i="6" s="1"/>
  <c r="J85" i="6" l="1"/>
  <c r="K85" i="6" s="1"/>
  <c r="J86" i="6" l="1"/>
  <c r="K86" i="6" s="1"/>
  <c r="J87" i="6" l="1"/>
  <c r="K87" i="6" s="1"/>
  <c r="J88" i="6" l="1"/>
  <c r="K88" i="6" s="1"/>
  <c r="J89" i="6" l="1"/>
  <c r="K89" i="6" s="1"/>
  <c r="J90" i="6" l="1"/>
  <c r="K90" i="6" s="1"/>
  <c r="J91" i="6" l="1"/>
  <c r="K91" i="6" s="1"/>
  <c r="J92" i="6" l="1"/>
  <c r="K92" i="6" s="1"/>
  <c r="J93" i="6" l="1"/>
  <c r="K93" i="6" s="1"/>
  <c r="J94" i="6" l="1"/>
  <c r="K94" i="6" s="1"/>
  <c r="J95" i="6" l="1"/>
  <c r="K95" i="6" s="1"/>
  <c r="J96" i="6" l="1"/>
  <c r="K96" i="6" s="1"/>
  <c r="J97" i="6" l="1"/>
  <c r="K97" i="6" s="1"/>
  <c r="J98" i="6" l="1"/>
  <c r="K98" i="6" s="1"/>
  <c r="J99" i="6" l="1"/>
  <c r="K99" i="6" s="1"/>
  <c r="J100" i="6" l="1"/>
  <c r="K100" i="6" s="1"/>
  <c r="J101" i="6" l="1"/>
  <c r="K101" i="6" s="1"/>
  <c r="J102" i="6" l="1"/>
  <c r="K102" i="6" s="1"/>
  <c r="J103" i="6" l="1"/>
  <c r="K103" i="6" s="1"/>
  <c r="J104" i="6" l="1"/>
  <c r="K104" i="6" s="1"/>
  <c r="J105" i="6" l="1"/>
  <c r="K105" i="6" s="1"/>
  <c r="J106" i="6" l="1"/>
  <c r="K106" i="6" s="1"/>
  <c r="J107" i="6" l="1"/>
  <c r="K107" i="6" s="1"/>
  <c r="J108" i="6" l="1"/>
  <c r="K108" i="6" s="1"/>
  <c r="J109" i="6" l="1"/>
  <c r="K109" i="6" s="1"/>
  <c r="J110" i="6" l="1"/>
  <c r="K110" i="6" s="1"/>
  <c r="J111" i="6" l="1"/>
  <c r="K111" i="6" s="1"/>
  <c r="J112" i="6" l="1"/>
  <c r="K112" i="6" s="1"/>
  <c r="J113" i="6" l="1"/>
  <c r="K113" i="6" s="1"/>
  <c r="J114" i="6" l="1"/>
  <c r="K114" i="6" s="1"/>
  <c r="J115" i="6" l="1"/>
  <c r="K115" i="6" s="1"/>
  <c r="J116" i="6" l="1"/>
  <c r="K116" i="6" s="1"/>
  <c r="J117" i="6" l="1"/>
  <c r="K117" i="6" s="1"/>
  <c r="J118" i="6" l="1"/>
  <c r="K118" i="6" s="1"/>
  <c r="J119" i="6" l="1"/>
  <c r="K119" i="6" s="1"/>
  <c r="J120" i="6" l="1"/>
  <c r="K120" i="6" s="1"/>
  <c r="J121" i="6" l="1"/>
  <c r="K121" i="6" s="1"/>
  <c r="J122" i="6" l="1"/>
  <c r="K122" i="6" s="1"/>
  <c r="J123" i="6" l="1"/>
  <c r="K123" i="6" s="1"/>
  <c r="J124" i="6" l="1"/>
  <c r="K124" i="6" s="1"/>
  <c r="J125" i="6" l="1"/>
  <c r="K125" i="6" s="1"/>
  <c r="J126" i="6" l="1"/>
  <c r="K126" i="6" s="1"/>
  <c r="J127" i="6" l="1"/>
  <c r="K127" i="6" s="1"/>
  <c r="J128" i="6" l="1"/>
  <c r="K128" i="6" s="1"/>
  <c r="J129" i="6" l="1"/>
  <c r="K129" i="6" s="1"/>
  <c r="J130" i="6" l="1"/>
  <c r="K130" i="6" s="1"/>
  <c r="J131" i="6" l="1"/>
  <c r="K131" i="6" s="1"/>
  <c r="J132" i="6" l="1"/>
  <c r="K132" i="6" s="1"/>
  <c r="J133" i="6" l="1"/>
  <c r="K133" i="6" s="1"/>
  <c r="J134" i="6" l="1"/>
  <c r="K134" i="6" s="1"/>
  <c r="J135" i="6" l="1"/>
  <c r="K135" i="6" s="1"/>
  <c r="J136" i="6" l="1"/>
  <c r="K136" i="6" s="1"/>
  <c r="J137" i="6" l="1"/>
  <c r="K137" i="6" s="1"/>
  <c r="J138" i="6" l="1"/>
  <c r="K138" i="6" s="1"/>
  <c r="J139" i="6" l="1"/>
  <c r="K139" i="6" s="1"/>
  <c r="J140" i="6" l="1"/>
  <c r="K140" i="6" s="1"/>
  <c r="J141" i="6" l="1"/>
  <c r="K141" i="6" s="1"/>
  <c r="J142" i="6" l="1"/>
  <c r="K142" i="6" s="1"/>
  <c r="J143" i="6" l="1"/>
  <c r="K143" i="6" s="1"/>
  <c r="J144" i="6" l="1"/>
  <c r="K144" i="6" s="1"/>
  <c r="J145" i="6" l="1"/>
  <c r="K145" i="6" s="1"/>
  <c r="J146" i="6" l="1"/>
  <c r="K146" i="6" s="1"/>
  <c r="J147" i="6" l="1"/>
  <c r="K147" i="6" s="1"/>
  <c r="J148" i="6" l="1"/>
  <c r="K148" i="6" s="1"/>
  <c r="J149" i="6" l="1"/>
  <c r="K149" i="6" s="1"/>
  <c r="J150" i="6" l="1"/>
  <c r="K150" i="6" s="1"/>
  <c r="J151" i="6" l="1"/>
  <c r="K151" i="6" s="1"/>
  <c r="J152" i="6" l="1"/>
  <c r="K152" i="6" s="1"/>
  <c r="J153" i="6" l="1"/>
  <c r="K153" i="6" s="1"/>
  <c r="J154" i="6" l="1"/>
  <c r="K154" i="6" s="1"/>
  <c r="J155" i="6" l="1"/>
  <c r="K155" i="6" s="1"/>
  <c r="J156" i="6" l="1"/>
  <c r="K156" i="6" s="1"/>
  <c r="J157" i="6" l="1"/>
  <c r="K157" i="6" s="1"/>
  <c r="J158" i="6" l="1"/>
  <c r="K158" i="6" s="1"/>
  <c r="J159" i="6" l="1"/>
  <c r="K159" i="6" s="1"/>
  <c r="J160" i="6" l="1"/>
  <c r="K160" i="6" s="1"/>
  <c r="J161" i="6" l="1"/>
  <c r="K161" i="6" s="1"/>
  <c r="J162" i="6" l="1"/>
  <c r="K162" i="6" s="1"/>
  <c r="J163" i="6" l="1"/>
  <c r="K163" i="6" s="1"/>
  <c r="J164" i="6" l="1"/>
  <c r="K164" i="6" s="1"/>
  <c r="J165" i="6" l="1"/>
  <c r="K165" i="6" s="1"/>
  <c r="J166" i="6" l="1"/>
  <c r="K166" i="6" s="1"/>
  <c r="J167" i="6" l="1"/>
  <c r="K167" i="6" s="1"/>
  <c r="J168" i="6" l="1"/>
  <c r="K168" i="6" s="1"/>
  <c r="J169" i="6" l="1"/>
  <c r="K169" i="6" s="1"/>
  <c r="J170" i="6" l="1"/>
  <c r="K170" i="6" s="1"/>
  <c r="J171" i="6" l="1"/>
  <c r="K171" i="6" s="1"/>
  <c r="J172" i="6" l="1"/>
  <c r="K172" i="6" s="1"/>
  <c r="J173" i="6" l="1"/>
  <c r="K173" i="6" s="1"/>
  <c r="J174" i="6" l="1"/>
  <c r="K174" i="6" s="1"/>
  <c r="J175" i="6" l="1"/>
  <c r="K175" i="6" s="1"/>
  <c r="J176" i="6" l="1"/>
  <c r="K176" i="6" s="1"/>
  <c r="J177" i="6" l="1"/>
  <c r="K177" i="6" s="1"/>
  <c r="J178" i="6" l="1"/>
  <c r="K178" i="6" s="1"/>
  <c r="J179" i="6" l="1"/>
  <c r="K179" i="6" s="1"/>
  <c r="J180" i="6" l="1"/>
  <c r="K180" i="6" s="1"/>
  <c r="J181" i="6" l="1"/>
  <c r="K181" i="6" s="1"/>
  <c r="J182" i="6" l="1"/>
  <c r="K182" i="6" s="1"/>
  <c r="J183" i="6" l="1"/>
  <c r="K183" i="6" s="1"/>
  <c r="J184" i="6" l="1"/>
  <c r="K184" i="6" s="1"/>
  <c r="J185" i="6" l="1"/>
  <c r="K185" i="6" s="1"/>
  <c r="J186" i="6" l="1"/>
  <c r="K186" i="6" s="1"/>
  <c r="J187" i="6" l="1"/>
  <c r="K187" i="6" s="1"/>
  <c r="J188" i="6" l="1"/>
  <c r="K188" i="6" s="1"/>
  <c r="J189" i="6" l="1"/>
  <c r="K189" i="6" s="1"/>
  <c r="J190" i="6" l="1"/>
  <c r="K190" i="6" s="1"/>
  <c r="J191" i="6" l="1"/>
  <c r="K191" i="6" s="1"/>
  <c r="J192" i="6" l="1"/>
  <c r="K192" i="6" s="1"/>
  <c r="J193" i="6" l="1"/>
  <c r="K193" i="6" s="1"/>
  <c r="J194" i="6" l="1"/>
  <c r="K194" i="6" s="1"/>
  <c r="J195" i="6" l="1"/>
  <c r="K195" i="6" s="1"/>
  <c r="J196" i="6" l="1"/>
  <c r="K196" i="6" s="1"/>
  <c r="J197" i="6" l="1"/>
  <c r="K197" i="6" s="1"/>
  <c r="J198" i="6" l="1"/>
  <c r="K198" i="6" s="1"/>
  <c r="J199" i="6" l="1"/>
  <c r="K199" i="6" s="1"/>
  <c r="J200" i="6" l="1"/>
  <c r="K200" i="6" s="1"/>
  <c r="J201" i="6" l="1"/>
  <c r="K201" i="6" s="1"/>
  <c r="J202" i="6" l="1"/>
  <c r="K202" i="6" s="1"/>
  <c r="J203" i="6" l="1"/>
  <c r="K203" i="6" s="1"/>
  <c r="J204" i="6" l="1"/>
  <c r="K204" i="6" s="1"/>
  <c r="J205" i="6" l="1"/>
  <c r="K205" i="6" s="1"/>
  <c r="J206" i="6" l="1"/>
  <c r="K206" i="6" s="1"/>
  <c r="J207" i="6" l="1"/>
  <c r="K207" i="6" s="1"/>
  <c r="J208" i="6" l="1"/>
  <c r="K208" i="6" s="1"/>
  <c r="J209" i="6" l="1"/>
  <c r="K209" i="6" s="1"/>
  <c r="J210" i="6" l="1"/>
  <c r="K210" i="6" s="1"/>
  <c r="J211" i="6" l="1"/>
  <c r="K211" i="6" s="1"/>
  <c r="J212" i="6" l="1"/>
  <c r="K212" i="6" s="1"/>
  <c r="J213" i="6" l="1"/>
  <c r="K213" i="6" s="1"/>
  <c r="J214" i="6" l="1"/>
  <c r="K214" i="6" s="1"/>
  <c r="J215" i="6" l="1"/>
  <c r="K215" i="6" s="1"/>
  <c r="J216" i="6" l="1"/>
  <c r="K216" i="6" s="1"/>
  <c r="J217" i="6" l="1"/>
  <c r="K217" i="6" s="1"/>
  <c r="J218" i="6" l="1"/>
  <c r="K218" i="6" s="1"/>
  <c r="J219" i="6" l="1"/>
  <c r="K219" i="6" s="1"/>
  <c r="J220" i="6" l="1"/>
  <c r="K220" i="6" s="1"/>
  <c r="J221" i="6" l="1"/>
  <c r="K221" i="6" s="1"/>
  <c r="J222" i="6" l="1"/>
  <c r="K222" i="6" s="1"/>
  <c r="J223" i="6" l="1"/>
  <c r="K223" i="6" s="1"/>
  <c r="J224" i="6" l="1"/>
  <c r="K224" i="6" s="1"/>
  <c r="J225" i="6" l="1"/>
  <c r="K225" i="6" s="1"/>
  <c r="J226" i="6" l="1"/>
  <c r="K226" i="6" s="1"/>
  <c r="J227" i="6" l="1"/>
  <c r="K227" i="6" s="1"/>
  <c r="J228" i="6" l="1"/>
  <c r="K228" i="6" s="1"/>
  <c r="J229" i="6" l="1"/>
  <c r="K229" i="6" s="1"/>
  <c r="J230" i="6" l="1"/>
  <c r="K230" i="6" s="1"/>
  <c r="J231" i="6" l="1"/>
  <c r="K231" i="6" s="1"/>
  <c r="J232" i="6" l="1"/>
  <c r="K232" i="6" s="1"/>
  <c r="J233" i="6" l="1"/>
  <c r="K233" i="6" s="1"/>
  <c r="J234" i="6" l="1"/>
  <c r="K234" i="6" s="1"/>
  <c r="J235" i="6" l="1"/>
  <c r="K235" i="6" s="1"/>
  <c r="J236" i="6" l="1"/>
  <c r="K236" i="6" s="1"/>
  <c r="J237" i="6" l="1"/>
  <c r="K237" i="6" s="1"/>
  <c r="J238" i="6" l="1"/>
  <c r="K238" i="6" s="1"/>
  <c r="J239" i="6" l="1"/>
  <c r="K239" i="6" s="1"/>
  <c r="J240" i="6" l="1"/>
  <c r="K240" i="6" s="1"/>
  <c r="J241" i="6" l="1"/>
  <c r="K241" i="6" s="1"/>
  <c r="J242" i="6" l="1"/>
  <c r="K242" i="6" s="1"/>
  <c r="J243" i="6" l="1"/>
  <c r="K243" i="6" s="1"/>
  <c r="J244" i="6" l="1"/>
  <c r="K244" i="6" s="1"/>
  <c r="J245" i="6" l="1"/>
  <c r="K245" i="6" s="1"/>
  <c r="J246" i="6" l="1"/>
  <c r="K246" i="6" s="1"/>
  <c r="J247" i="6" l="1"/>
  <c r="K247" i="6" s="1"/>
  <c r="J248" i="6" l="1"/>
  <c r="K248" i="6" s="1"/>
  <c r="J249" i="6" l="1"/>
  <c r="K249" i="6" s="1"/>
  <c r="J250" i="6" l="1"/>
  <c r="K250" i="6" s="1"/>
  <c r="J251" i="6" l="1"/>
  <c r="K251" i="6" s="1"/>
  <c r="J252" i="6" l="1"/>
  <c r="K252" i="6" s="1"/>
  <c r="J253" i="6" l="1"/>
  <c r="K253" i="6" s="1"/>
  <c r="J254" i="6" l="1"/>
  <c r="K254" i="6" s="1"/>
  <c r="J255" i="6" l="1"/>
  <c r="K255" i="6" s="1"/>
  <c r="J256" i="6" l="1"/>
  <c r="K256" i="6" s="1"/>
  <c r="J257" i="6" l="1"/>
  <c r="K257" i="6" s="1"/>
  <c r="J258" i="6" l="1"/>
  <c r="K258" i="6" s="1"/>
  <c r="J259" i="6" l="1"/>
  <c r="K259" i="6" s="1"/>
  <c r="J260" i="6" l="1"/>
  <c r="K260" i="6" s="1"/>
  <c r="J261" i="6" l="1"/>
  <c r="K261" i="6" s="1"/>
  <c r="J262" i="6" l="1"/>
  <c r="K262" i="6" s="1"/>
  <c r="J263" i="6" l="1"/>
  <c r="K263" i="6" s="1"/>
  <c r="J264" i="6" l="1"/>
  <c r="K264" i="6" s="1"/>
  <c r="J265" i="6" l="1"/>
  <c r="K265" i="6" s="1"/>
  <c r="J266" i="6" l="1"/>
  <c r="K266" i="6" s="1"/>
  <c r="J267" i="6" l="1"/>
  <c r="K267" i="6" s="1"/>
  <c r="J268" i="6" l="1"/>
  <c r="K268" i="6" s="1"/>
  <c r="J269" i="6" l="1"/>
  <c r="K269" i="6" s="1"/>
  <c r="J270" i="6" l="1"/>
  <c r="K270" i="6" s="1"/>
  <c r="J271" i="6" l="1"/>
  <c r="K271" i="6" s="1"/>
  <c r="J272" i="6" l="1"/>
  <c r="K272" i="6" s="1"/>
  <c r="J273" i="6" l="1"/>
  <c r="K273" i="6" s="1"/>
  <c r="J274" i="6" l="1"/>
  <c r="K274" i="6" s="1"/>
  <c r="J275" i="6" l="1"/>
  <c r="K275" i="6" s="1"/>
  <c r="J276" i="6" l="1"/>
  <c r="K276" i="6" s="1"/>
  <c r="J277" i="6" l="1"/>
  <c r="K277" i="6" s="1"/>
  <c r="J278" i="6" l="1"/>
  <c r="K278" i="6" s="1"/>
  <c r="J279" i="6" l="1"/>
  <c r="K279" i="6" s="1"/>
  <c r="J280" i="6" l="1"/>
  <c r="K280" i="6" s="1"/>
  <c r="J281" i="6" l="1"/>
  <c r="K281" i="6" s="1"/>
  <c r="J282" i="6" l="1"/>
  <c r="K282" i="6" s="1"/>
  <c r="J283" i="6" l="1"/>
  <c r="K283" i="6" s="1"/>
  <c r="J284" i="6" l="1"/>
  <c r="K284" i="6" s="1"/>
  <c r="J285" i="6" l="1"/>
  <c r="K285" i="6" s="1"/>
  <c r="J286" i="6" l="1"/>
  <c r="K286" i="6" s="1"/>
  <c r="J287" i="6" l="1"/>
  <c r="K287" i="6" s="1"/>
  <c r="J288" i="6" l="1"/>
  <c r="K288" i="6" s="1"/>
  <c r="J289" i="6" l="1"/>
  <c r="K289" i="6" s="1"/>
  <c r="J290" i="6" l="1"/>
  <c r="K290" i="6" s="1"/>
  <c r="J291" i="6" l="1"/>
  <c r="K291" i="6" s="1"/>
  <c r="J292" i="6" l="1"/>
  <c r="K292" i="6" s="1"/>
  <c r="J293" i="6" l="1"/>
  <c r="K293" i="6" s="1"/>
  <c r="J294" i="6" l="1"/>
  <c r="K294" i="6" s="1"/>
  <c r="J295" i="6" l="1"/>
  <c r="K295" i="6" s="1"/>
  <c r="J296" i="6" l="1"/>
  <c r="K296" i="6" s="1"/>
  <c r="J297" i="6" l="1"/>
  <c r="K297" i="6" s="1"/>
  <c r="J298" i="6" l="1"/>
  <c r="K298" i="6" s="1"/>
  <c r="J299" i="6" l="1"/>
  <c r="K299" i="6" s="1"/>
  <c r="J300" i="6" l="1"/>
  <c r="K300" i="6" s="1"/>
  <c r="J301" i="6" l="1"/>
  <c r="K301" i="6" s="1"/>
  <c r="J302" i="6" l="1"/>
  <c r="K302" i="6" s="1"/>
  <c r="J303" i="6" l="1"/>
  <c r="K303" i="6" s="1"/>
  <c r="J304" i="6" l="1"/>
  <c r="K304" i="6" s="1"/>
  <c r="J305" i="6" l="1"/>
  <c r="K305" i="6" s="1"/>
  <c r="J306" i="6" l="1"/>
  <c r="K306" i="6" s="1"/>
  <c r="J307" i="6" l="1"/>
  <c r="K307" i="6" s="1"/>
  <c r="J308" i="6" l="1"/>
  <c r="K308" i="6" s="1"/>
  <c r="J309" i="6" l="1"/>
  <c r="K309" i="6" s="1"/>
  <c r="J310" i="6" l="1"/>
  <c r="K310" i="6" s="1"/>
  <c r="J311" i="6" l="1"/>
  <c r="K311" i="6" s="1"/>
  <c r="J312" i="6" l="1"/>
  <c r="K312" i="6" s="1"/>
  <c r="J313" i="6" l="1"/>
  <c r="K313" i="6" s="1"/>
  <c r="J314" i="6" l="1"/>
  <c r="K314" i="6" s="1"/>
  <c r="J315" i="6" l="1"/>
  <c r="K315" i="6" s="1"/>
  <c r="J316" i="6" l="1"/>
  <c r="K316" i="6" s="1"/>
  <c r="J317" i="6" l="1"/>
  <c r="K317" i="6" s="1"/>
  <c r="J318" i="6" l="1"/>
  <c r="K318" i="6" s="1"/>
  <c r="J319" i="6" l="1"/>
  <c r="K319" i="6" s="1"/>
  <c r="J320" i="6" l="1"/>
  <c r="K320" i="6" s="1"/>
  <c r="J321" i="6" l="1"/>
  <c r="K321" i="6" s="1"/>
  <c r="J322" i="6" l="1"/>
  <c r="K322" i="6" s="1"/>
  <c r="J323" i="6" l="1"/>
  <c r="K323" i="6" s="1"/>
  <c r="J324" i="6" l="1"/>
  <c r="K324" i="6" s="1"/>
  <c r="J325" i="6" l="1"/>
  <c r="K325" i="6" s="1"/>
  <c r="J326" i="6" l="1"/>
  <c r="K326" i="6" s="1"/>
  <c r="J327" i="6" l="1"/>
  <c r="K327" i="6" s="1"/>
  <c r="J328" i="6" l="1"/>
  <c r="K328" i="6" s="1"/>
  <c r="J329" i="6" l="1"/>
  <c r="K329" i="6" s="1"/>
  <c r="J330" i="6" l="1"/>
  <c r="K330" i="6" s="1"/>
  <c r="J331" i="6" l="1"/>
  <c r="K331" i="6" s="1"/>
  <c r="J332" i="6" l="1"/>
  <c r="K332" i="6" s="1"/>
  <c r="J333" i="6" l="1"/>
  <c r="K333" i="6" s="1"/>
  <c r="J334" i="6" l="1"/>
  <c r="K334" i="6" s="1"/>
  <c r="J335" i="6" l="1"/>
  <c r="K335" i="6" s="1"/>
  <c r="J336" i="6" l="1"/>
  <c r="K336" i="6" s="1"/>
  <c r="J337" i="6" l="1"/>
  <c r="K337" i="6" s="1"/>
  <c r="J338" i="6" l="1"/>
  <c r="K338" i="6" s="1"/>
  <c r="J339" i="6" l="1"/>
  <c r="K339" i="6" s="1"/>
  <c r="J340" i="6" l="1"/>
  <c r="K340" i="6" s="1"/>
  <c r="J341" i="6" l="1"/>
  <c r="K341" i="6" s="1"/>
  <c r="J342" i="6" l="1"/>
  <c r="K342" i="6" s="1"/>
  <c r="J343" i="6" l="1"/>
  <c r="K343" i="6" s="1"/>
  <c r="J344" i="6" l="1"/>
  <c r="K344" i="6" s="1"/>
  <c r="J345" i="6" l="1"/>
  <c r="K345" i="6" s="1"/>
  <c r="J346" i="6" l="1"/>
  <c r="K346" i="6" s="1"/>
  <c r="J347" i="6" l="1"/>
  <c r="K347" i="6" s="1"/>
  <c r="J348" i="6" l="1"/>
  <c r="K348" i="6" s="1"/>
  <c r="J349" i="6" l="1"/>
  <c r="K349" i="6" s="1"/>
  <c r="J350" i="6" l="1"/>
  <c r="K350" i="6" s="1"/>
  <c r="J351" i="6" l="1"/>
  <c r="K351" i="6" s="1"/>
  <c r="J352" i="6" l="1"/>
  <c r="K352" i="6" s="1"/>
  <c r="J353" i="6" l="1"/>
  <c r="K353" i="6" s="1"/>
  <c r="J354" i="6" l="1"/>
  <c r="K354" i="6" s="1"/>
  <c r="J355" i="6" l="1"/>
  <c r="K355" i="6" s="1"/>
  <c r="J356" i="6" l="1"/>
  <c r="K356" i="6" s="1"/>
  <c r="J357" i="6" l="1"/>
  <c r="K357" i="6" s="1"/>
  <c r="J358" i="6" l="1"/>
  <c r="K358" i="6" s="1"/>
  <c r="J359" i="6" l="1"/>
  <c r="K359" i="6" s="1"/>
  <c r="J360" i="6" l="1"/>
  <c r="K360" i="6" s="1"/>
  <c r="J361" i="6" l="1"/>
  <c r="K361" i="6" s="1"/>
  <c r="J362" i="6" l="1"/>
  <c r="K362" i="6" s="1"/>
  <c r="J363" i="6" l="1"/>
  <c r="K363" i="6" s="1"/>
  <c r="J364" i="6" l="1"/>
  <c r="K364" i="6" s="1"/>
  <c r="J365" i="6" l="1"/>
  <c r="K365" i="6" s="1"/>
  <c r="J366" i="6" l="1"/>
  <c r="K366" i="6" s="1"/>
  <c r="J367" i="6" l="1"/>
  <c r="K367" i="6" s="1"/>
  <c r="J368" i="6" l="1"/>
  <c r="K368" i="6" s="1"/>
  <c r="J369" i="6" l="1"/>
  <c r="K369" i="6" s="1"/>
  <c r="J370" i="6" l="1"/>
  <c r="K370" i="6" s="1"/>
  <c r="J371" i="6" l="1"/>
  <c r="K371" i="6" s="1"/>
  <c r="J372" i="6" l="1"/>
  <c r="K372" i="6" s="1"/>
  <c r="J373" i="6" l="1"/>
  <c r="K373" i="6" s="1"/>
  <c r="J374" i="6" l="1"/>
  <c r="K374" i="6" s="1"/>
  <c r="J375" i="6" l="1"/>
  <c r="K375" i="6" s="1"/>
  <c r="J376" i="6" l="1"/>
  <c r="K376" i="6" s="1"/>
  <c r="J377" i="6" l="1"/>
  <c r="K377" i="6" s="1"/>
  <c r="J378" i="6" l="1"/>
  <c r="K378" i="6" s="1"/>
  <c r="J379" i="6" l="1"/>
  <c r="K379" i="6" s="1"/>
  <c r="J380" i="6" l="1"/>
  <c r="K380" i="6" s="1"/>
  <c r="J381" i="6" l="1"/>
  <c r="K381" i="6" s="1"/>
  <c r="J382" i="6" l="1"/>
  <c r="K382" i="6" s="1"/>
  <c r="J383" i="6" l="1"/>
  <c r="K383" i="6" s="1"/>
  <c r="J384" i="6" l="1"/>
  <c r="K384" i="6" s="1"/>
  <c r="J385" i="6" l="1"/>
  <c r="K385" i="6" s="1"/>
  <c r="J386" i="6" l="1"/>
  <c r="K386" i="6" s="1"/>
  <c r="J387" i="6" l="1"/>
  <c r="K387" i="6" s="1"/>
  <c r="J388" i="6" l="1"/>
  <c r="K388" i="6" s="1"/>
  <c r="J389" i="6" l="1"/>
  <c r="K389" i="6" s="1"/>
  <c r="J390" i="6" l="1"/>
  <c r="K390" i="6" s="1"/>
  <c r="J391" i="6" l="1"/>
  <c r="K391" i="6" s="1"/>
  <c r="J392" i="6" l="1"/>
  <c r="K392" i="6" s="1"/>
  <c r="J393" i="6" l="1"/>
  <c r="K393" i="6" s="1"/>
  <c r="J394" i="6" l="1"/>
  <c r="K394" i="6" s="1"/>
  <c r="J395" i="6" l="1"/>
  <c r="K395" i="6" s="1"/>
  <c r="J396" i="6" l="1"/>
  <c r="K396" i="6" s="1"/>
  <c r="J397" i="6" l="1"/>
  <c r="K397" i="6" s="1"/>
  <c r="J398" i="6" l="1"/>
  <c r="K398" i="6" s="1"/>
  <c r="J399" i="6" l="1"/>
  <c r="K399" i="6" s="1"/>
  <c r="J400" i="6" l="1"/>
  <c r="K400" i="6" s="1"/>
  <c r="J401" i="6" l="1"/>
  <c r="K401" i="6" s="1"/>
  <c r="J402" i="6" l="1"/>
  <c r="K402" i="6" s="1"/>
  <c r="J403" i="6" l="1"/>
  <c r="K403" i="6" s="1"/>
  <c r="J404" i="6" l="1"/>
  <c r="K404" i="6" s="1"/>
  <c r="J405" i="6" l="1"/>
  <c r="K405" i="6" s="1"/>
  <c r="J406" i="6" l="1"/>
  <c r="K406" i="6" s="1"/>
  <c r="J407" i="6" l="1"/>
  <c r="K407" i="6" s="1"/>
  <c r="J408" i="6" l="1"/>
  <c r="K408" i="6" s="1"/>
  <c r="J409" i="6" l="1"/>
  <c r="K409" i="6" s="1"/>
  <c r="J410" i="6" l="1"/>
  <c r="K410" i="6" s="1"/>
  <c r="J411" i="6" l="1"/>
  <c r="K411" i="6" s="1"/>
  <c r="J412" i="6" l="1"/>
  <c r="K412" i="6" s="1"/>
  <c r="J413" i="6" l="1"/>
  <c r="K413" i="6" s="1"/>
  <c r="J414" i="6" l="1"/>
  <c r="K414" i="6" s="1"/>
  <c r="J415" i="6" l="1"/>
  <c r="K415" i="6" s="1"/>
  <c r="J416" i="6" l="1"/>
  <c r="K416" i="6" s="1"/>
  <c r="J417" i="6" l="1"/>
  <c r="K417" i="6" s="1"/>
  <c r="J418" i="6" l="1"/>
  <c r="K418" i="6" s="1"/>
  <c r="J419" i="6" l="1"/>
  <c r="K419" i="6" s="1"/>
  <c r="J420" i="6" l="1"/>
  <c r="K420" i="6" s="1"/>
  <c r="J421" i="6" l="1"/>
  <c r="K421" i="6" s="1"/>
  <c r="J422" i="6" l="1"/>
  <c r="K422" i="6" s="1"/>
  <c r="J423" i="6" l="1"/>
  <c r="K423" i="6" s="1"/>
  <c r="J424" i="6" l="1"/>
  <c r="K424" i="6" s="1"/>
  <c r="J425" i="6" l="1"/>
  <c r="K425" i="6" s="1"/>
  <c r="J426" i="6" l="1"/>
  <c r="K426" i="6" s="1"/>
  <c r="J427" i="6" l="1"/>
  <c r="K427" i="6" s="1"/>
  <c r="J428" i="6" l="1"/>
  <c r="K428" i="6" s="1"/>
  <c r="J429" i="6" l="1"/>
  <c r="K429" i="6" s="1"/>
  <c r="J430" i="6" l="1"/>
  <c r="K430" i="6" s="1"/>
  <c r="J431" i="6" l="1"/>
  <c r="K431" i="6" s="1"/>
  <c r="J432" i="6" l="1"/>
  <c r="K432" i="6" s="1"/>
  <c r="J433" i="6" l="1"/>
  <c r="K433" i="6" s="1"/>
  <c r="J434" i="6" l="1"/>
  <c r="K434" i="6" s="1"/>
  <c r="J435" i="6" l="1"/>
  <c r="K435" i="6" s="1"/>
  <c r="J436" i="6" l="1"/>
  <c r="K436" i="6" s="1"/>
  <c r="J437" i="6" l="1"/>
  <c r="K437" i="6" s="1"/>
  <c r="J438" i="6" l="1"/>
  <c r="K438" i="6" s="1"/>
  <c r="J439" i="6" l="1"/>
  <c r="K439" i="6" s="1"/>
  <c r="J440" i="6" l="1"/>
  <c r="K440" i="6" s="1"/>
  <c r="J441" i="6" l="1"/>
  <c r="K441" i="6" s="1"/>
  <c r="J442" i="6" l="1"/>
  <c r="K442" i="6" s="1"/>
  <c r="J443" i="6" l="1"/>
  <c r="K443" i="6" s="1"/>
  <c r="J444" i="6" l="1"/>
  <c r="K444" i="6" s="1"/>
  <c r="J445" i="6" l="1"/>
  <c r="K445" i="6" s="1"/>
  <c r="J446" i="6" l="1"/>
  <c r="K446" i="6" s="1"/>
  <c r="J447" i="6" l="1"/>
  <c r="K447" i="6" s="1"/>
  <c r="J448" i="6" l="1"/>
  <c r="K448" i="6" s="1"/>
  <c r="J449" i="6" l="1"/>
  <c r="K449" i="6" s="1"/>
  <c r="J450" i="6" l="1"/>
  <c r="K450" i="6" s="1"/>
  <c r="J451" i="6" l="1"/>
  <c r="K451" i="6" s="1"/>
  <c r="J452" i="6" l="1"/>
  <c r="K452" i="6" s="1"/>
  <c r="J453" i="6" l="1"/>
  <c r="K453" i="6" s="1"/>
  <c r="J454" i="6" l="1"/>
  <c r="K454" i="6" s="1"/>
  <c r="J455" i="6" l="1"/>
  <c r="K455" i="6" s="1"/>
  <c r="J456" i="6" l="1"/>
  <c r="K456" i="6" s="1"/>
  <c r="J457" i="6" l="1"/>
  <c r="K457" i="6" s="1"/>
  <c r="J458" i="6" l="1"/>
  <c r="K458" i="6" s="1"/>
  <c r="J459" i="6" l="1"/>
  <c r="K459" i="6" s="1"/>
  <c r="J460" i="6" l="1"/>
  <c r="K460" i="6" s="1"/>
  <c r="J461" i="6" l="1"/>
  <c r="K461" i="6" s="1"/>
  <c r="J462" i="6" l="1"/>
  <c r="K462" i="6" s="1"/>
  <c r="J463" i="6" l="1"/>
  <c r="K463" i="6" s="1"/>
  <c r="J464" i="6" l="1"/>
  <c r="K464" i="6" s="1"/>
  <c r="J465" i="6" l="1"/>
  <c r="K465" i="6" s="1"/>
  <c r="J466" i="6" l="1"/>
  <c r="K466" i="6" s="1"/>
  <c r="J467" i="6" l="1"/>
  <c r="K467" i="6" s="1"/>
  <c r="J468" i="6" l="1"/>
  <c r="K468" i="6" s="1"/>
  <c r="J469" i="6" l="1"/>
  <c r="K469" i="6" s="1"/>
  <c r="J470" i="6" l="1"/>
  <c r="K470" i="6" s="1"/>
  <c r="J471" i="6" l="1"/>
  <c r="K471" i="6" s="1"/>
  <c r="J472" i="6" l="1"/>
  <c r="K472" i="6" s="1"/>
  <c r="J473" i="6" l="1"/>
  <c r="K473" i="6" s="1"/>
  <c r="J474" i="6" l="1"/>
  <c r="K474" i="6" s="1"/>
  <c r="J475" i="6" l="1"/>
  <c r="K475" i="6" s="1"/>
  <c r="J476" i="6" l="1"/>
  <c r="K476" i="6" s="1"/>
  <c r="J477" i="6" l="1"/>
  <c r="K477" i="6" s="1"/>
  <c r="J478" i="6" l="1"/>
  <c r="K478" i="6" s="1"/>
  <c r="J479" i="6" l="1"/>
  <c r="K479" i="6" s="1"/>
  <c r="J480" i="6" l="1"/>
  <c r="K480" i="6" s="1"/>
  <c r="J481" i="6" l="1"/>
  <c r="K481" i="6" s="1"/>
  <c r="J482" i="6" l="1"/>
  <c r="K482" i="6" s="1"/>
  <c r="J483" i="6" l="1"/>
  <c r="K483" i="6" s="1"/>
  <c r="J484" i="6" l="1"/>
  <c r="K484" i="6" s="1"/>
  <c r="J485" i="6" l="1"/>
  <c r="K485" i="6" s="1"/>
  <c r="J486" i="6" l="1"/>
  <c r="K486" i="6" s="1"/>
  <c r="J487" i="6" l="1"/>
  <c r="K487" i="6" s="1"/>
  <c r="J488" i="6" l="1"/>
  <c r="K488" i="6" s="1"/>
  <c r="J489" i="6" l="1"/>
  <c r="K489" i="6" s="1"/>
  <c r="J490" i="6" l="1"/>
  <c r="K490" i="6" s="1"/>
  <c r="J491" i="6" l="1"/>
  <c r="K491" i="6" s="1"/>
  <c r="J492" i="6" l="1"/>
  <c r="K492" i="6" s="1"/>
  <c r="J493" i="6" l="1"/>
  <c r="K493" i="6" s="1"/>
  <c r="J494" i="6" l="1"/>
  <c r="K494" i="6" s="1"/>
  <c r="J495" i="6" l="1"/>
  <c r="K495" i="6" s="1"/>
  <c r="J496" i="6" l="1"/>
  <c r="K496" i="6" s="1"/>
  <c r="J497" i="6" l="1"/>
  <c r="K497" i="6" s="1"/>
  <c r="J498" i="6" l="1"/>
  <c r="K498" i="6" s="1"/>
  <c r="J499" i="6" l="1"/>
  <c r="K499" i="6" s="1"/>
  <c r="J500" i="6" l="1"/>
  <c r="K500" i="6" s="1"/>
  <c r="J501" i="6" l="1"/>
  <c r="K501" i="6" s="1"/>
  <c r="J502" i="6" l="1"/>
  <c r="K502" i="6" s="1"/>
  <c r="J503" i="6" l="1"/>
  <c r="K503" i="6" s="1"/>
  <c r="J504" i="6" l="1"/>
  <c r="K504" i="6" s="1"/>
  <c r="J505" i="6" l="1"/>
  <c r="K505" i="6" s="1"/>
  <c r="J506" i="6" l="1"/>
  <c r="K506" i="6" s="1"/>
  <c r="J507" i="6" l="1"/>
  <c r="K507" i="6" s="1"/>
  <c r="J508" i="6" l="1"/>
  <c r="K508" i="6" s="1"/>
  <c r="J509" i="6" l="1"/>
  <c r="K509" i="6" s="1"/>
  <c r="J510" i="6" l="1"/>
  <c r="K510" i="6" s="1"/>
  <c r="J511" i="6" l="1"/>
  <c r="K511" i="6" s="1"/>
  <c r="J512" i="6" l="1"/>
  <c r="K512" i="6" s="1"/>
  <c r="J513" i="6" l="1"/>
  <c r="K513" i="6" s="1"/>
  <c r="J514" i="6" l="1"/>
  <c r="K514" i="6" s="1"/>
  <c r="J515" i="6" l="1"/>
  <c r="K515" i="6" s="1"/>
  <c r="J516" i="6" l="1"/>
  <c r="K516" i="6" s="1"/>
  <c r="J517" i="6" l="1"/>
  <c r="K517" i="6" s="1"/>
  <c r="J518" i="6" l="1"/>
  <c r="K518" i="6" s="1"/>
  <c r="J519" i="6" l="1"/>
  <c r="K519" i="6" s="1"/>
  <c r="J520" i="6" l="1"/>
  <c r="K520" i="6" s="1"/>
  <c r="J521" i="6" l="1"/>
  <c r="K521" i="6" s="1"/>
  <c r="J522" i="6" l="1"/>
  <c r="K522" i="6" s="1"/>
  <c r="J523" i="6" l="1"/>
  <c r="K523" i="6" s="1"/>
  <c r="J524" i="6" l="1"/>
  <c r="K524" i="6" s="1"/>
  <c r="J525" i="6" l="1"/>
  <c r="K525" i="6" s="1"/>
  <c r="J526" i="6" l="1"/>
  <c r="K526" i="6" s="1"/>
  <c r="J527" i="6" l="1"/>
  <c r="K527" i="6" s="1"/>
  <c r="J528" i="6" l="1"/>
  <c r="K528" i="6" s="1"/>
  <c r="J529" i="6" l="1"/>
  <c r="K529" i="6" s="1"/>
  <c r="J530" i="6" l="1"/>
  <c r="K530" i="6" s="1"/>
  <c r="J531" i="6" l="1"/>
  <c r="K531" i="6" s="1"/>
  <c r="J532" i="6" l="1"/>
  <c r="K532" i="6" s="1"/>
  <c r="J533" i="6" l="1"/>
  <c r="K533" i="6" s="1"/>
  <c r="J534" i="6" l="1"/>
  <c r="K534" i="6" s="1"/>
  <c r="J535" i="6" l="1"/>
  <c r="K535" i="6" s="1"/>
  <c r="J536" i="6" l="1"/>
  <c r="K536" i="6" s="1"/>
  <c r="J537" i="6" l="1"/>
  <c r="K537" i="6" s="1"/>
  <c r="J538" i="6" l="1"/>
  <c r="K538" i="6" s="1"/>
  <c r="J539" i="6" l="1"/>
  <c r="K539" i="6" s="1"/>
  <c r="J540" i="6" l="1"/>
  <c r="K540" i="6" s="1"/>
  <c r="J541" i="6" l="1"/>
  <c r="K541" i="6" s="1"/>
  <c r="J542" i="6" l="1"/>
  <c r="K542" i="6" s="1"/>
  <c r="J543" i="6" l="1"/>
  <c r="K543" i="6" s="1"/>
  <c r="J544" i="6" l="1"/>
  <c r="K544" i="6" s="1"/>
  <c r="J545" i="6" l="1"/>
  <c r="K545" i="6" s="1"/>
  <c r="J546" i="6" l="1"/>
  <c r="K546" i="6" s="1"/>
  <c r="J547" i="6" l="1"/>
  <c r="K547" i="6" s="1"/>
  <c r="J548" i="6" l="1"/>
  <c r="K548" i="6" s="1"/>
  <c r="J549" i="6" l="1"/>
  <c r="K549" i="6" s="1"/>
  <c r="J550" i="6" l="1"/>
  <c r="K550" i="6" s="1"/>
  <c r="J551" i="6" l="1"/>
  <c r="K551" i="6" s="1"/>
  <c r="J552" i="6" l="1"/>
  <c r="K552" i="6" s="1"/>
  <c r="J553" i="6" l="1"/>
  <c r="K553" i="6" s="1"/>
  <c r="J554" i="6" l="1"/>
  <c r="K554" i="6" s="1"/>
  <c r="J555" i="6" l="1"/>
  <c r="K555" i="6" s="1"/>
  <c r="J556" i="6" l="1"/>
  <c r="K556" i="6" s="1"/>
  <c r="J557" i="6" l="1"/>
  <c r="K557" i="6" s="1"/>
  <c r="J558" i="6" l="1"/>
  <c r="K558" i="6" s="1"/>
  <c r="J559" i="6" l="1"/>
  <c r="K559" i="6" s="1"/>
  <c r="J560" i="6" l="1"/>
  <c r="K560" i="6" s="1"/>
  <c r="J561" i="6" l="1"/>
  <c r="K561" i="6" s="1"/>
  <c r="J562" i="6" l="1"/>
  <c r="K562" i="6" s="1"/>
  <c r="J563" i="6" l="1"/>
  <c r="K563" i="6" s="1"/>
  <c r="J564" i="6" l="1"/>
  <c r="K564" i="6" s="1"/>
  <c r="J565" i="6" l="1"/>
  <c r="K565" i="6" s="1"/>
  <c r="J566" i="6" l="1"/>
  <c r="K566" i="6" s="1"/>
  <c r="J567" i="6" l="1"/>
  <c r="K567" i="6" s="1"/>
  <c r="J568" i="6" l="1"/>
  <c r="K568" i="6" s="1"/>
  <c r="J569" i="6" l="1"/>
  <c r="K569" i="6" s="1"/>
  <c r="J570" i="6" l="1"/>
  <c r="K570" i="6" s="1"/>
  <c r="J571" i="6" l="1"/>
  <c r="K571" i="6" s="1"/>
  <c r="J572" i="6" l="1"/>
  <c r="K572" i="6" s="1"/>
  <c r="J573" i="6" l="1"/>
  <c r="K573" i="6" s="1"/>
  <c r="J574" i="6" l="1"/>
  <c r="K574" i="6" s="1"/>
  <c r="J575" i="6" l="1"/>
  <c r="K575" i="6" s="1"/>
  <c r="J576" i="6" l="1"/>
  <c r="K576" i="6" s="1"/>
  <c r="J577" i="6" l="1"/>
  <c r="K577" i="6" s="1"/>
  <c r="J578" i="6" l="1"/>
  <c r="K578" i="6" s="1"/>
  <c r="J579" i="6" l="1"/>
  <c r="K579" i="6" s="1"/>
  <c r="J580" i="6" l="1"/>
  <c r="K580" i="6" s="1"/>
  <c r="J581" i="6" l="1"/>
  <c r="K581" i="6" s="1"/>
  <c r="J582" i="6" l="1"/>
  <c r="K582" i="6" s="1"/>
  <c r="J583" i="6" l="1"/>
  <c r="K583" i="6" s="1"/>
  <c r="J584" i="6" l="1"/>
  <c r="K584" i="6" s="1"/>
  <c r="J585" i="6" l="1"/>
  <c r="K585" i="6" s="1"/>
  <c r="J586" i="6" l="1"/>
  <c r="K586" i="6" s="1"/>
  <c r="J587" i="6" l="1"/>
  <c r="K587" i="6" s="1"/>
  <c r="J588" i="6" l="1"/>
  <c r="K588" i="6" s="1"/>
  <c r="J589" i="6" l="1"/>
  <c r="K589" i="6" s="1"/>
  <c r="J590" i="6" l="1"/>
  <c r="K590" i="6" s="1"/>
  <c r="J591" i="6" l="1"/>
  <c r="K591" i="6" s="1"/>
  <c r="J592" i="6" l="1"/>
  <c r="K592" i="6" s="1"/>
  <c r="J593" i="6" l="1"/>
  <c r="K593" i="6" s="1"/>
  <c r="J594" i="6" l="1"/>
  <c r="K594" i="6" s="1"/>
  <c r="J595" i="6" l="1"/>
  <c r="K595" i="6" s="1"/>
  <c r="J596" i="6" l="1"/>
  <c r="K596" i="6" s="1"/>
  <c r="J597" i="6" l="1"/>
  <c r="K597" i="6" s="1"/>
  <c r="J598" i="6" l="1"/>
  <c r="K598" i="6" s="1"/>
  <c r="J599" i="6" l="1"/>
  <c r="K599" i="6" s="1"/>
  <c r="J600" i="6" l="1"/>
  <c r="K600" i="6" s="1"/>
  <c r="J601" i="6" l="1"/>
  <c r="K601" i="6" s="1"/>
  <c r="J602" i="6" l="1"/>
  <c r="K602" i="6" s="1"/>
  <c r="J603" i="6" l="1"/>
  <c r="K603" i="6" s="1"/>
  <c r="J604" i="6" l="1"/>
  <c r="K604" i="6" s="1"/>
  <c r="J605" i="6" l="1"/>
  <c r="K605" i="6" s="1"/>
  <c r="J606" i="6" l="1"/>
  <c r="K606" i="6" s="1"/>
  <c r="J607" i="6" l="1"/>
  <c r="K607" i="6" s="1"/>
  <c r="J608" i="6" l="1"/>
  <c r="K608" i="6" s="1"/>
  <c r="J609" i="6" l="1"/>
  <c r="K609" i="6" s="1"/>
  <c r="J610" i="6" l="1"/>
  <c r="K610" i="6" s="1"/>
  <c r="J611" i="6" l="1"/>
  <c r="K611" i="6" s="1"/>
  <c r="J612" i="6" l="1"/>
  <c r="K612" i="6" s="1"/>
  <c r="J613" i="6" l="1"/>
  <c r="K613" i="6" s="1"/>
  <c r="J614" i="6" l="1"/>
  <c r="K614" i="6" s="1"/>
  <c r="J615" i="6" l="1"/>
  <c r="K615" i="6" s="1"/>
  <c r="J616" i="6" l="1"/>
  <c r="K616" i="6" s="1"/>
  <c r="J617" i="6" l="1"/>
  <c r="K617" i="6" s="1"/>
  <c r="J618" i="6" l="1"/>
  <c r="K618" i="6" s="1"/>
  <c r="J619" i="6" l="1"/>
  <c r="K619" i="6" s="1"/>
  <c r="J620" i="6" l="1"/>
  <c r="K620" i="6" s="1"/>
  <c r="J621" i="6" l="1"/>
  <c r="K621" i="6" s="1"/>
  <c r="J622" i="6" l="1"/>
  <c r="K622" i="6" s="1"/>
  <c r="J623" i="6" l="1"/>
  <c r="K623" i="6" s="1"/>
  <c r="J624" i="6" l="1"/>
  <c r="K624" i="6" s="1"/>
  <c r="J625" i="6" l="1"/>
  <c r="K625" i="6" s="1"/>
  <c r="J626" i="6" l="1"/>
  <c r="K626"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import sys; sys.path.append(r'C:\Dev\GOODE_ANALYSIS\Scripts'); import test_module; test_module.test_function()</code>
    </pythonScript>
    <pythonScript>
      <code>import sys; sys.path.append(r'C:\Dev\GOODE_ANALYSIS\Scripts'); import create_histogram; create_histogram.create_histogram()</code>
    </pythonScript>
  </pythonScripts>
</python>
</file>

<file path=xl/sharedStrings.xml><?xml version="1.0" encoding="utf-8"?>
<sst xmlns="http://schemas.openxmlformats.org/spreadsheetml/2006/main" count="3500" uniqueCount="264">
  <si>
    <t>DATE</t>
  </si>
  <si>
    <t>AM/PM</t>
  </si>
  <si>
    <t>MONTH</t>
  </si>
  <si>
    <t>DOW</t>
  </si>
  <si>
    <t>SALES</t>
  </si>
  <si>
    <t>CC TIPS</t>
  </si>
  <si>
    <t>CASH</t>
  </si>
  <si>
    <t>TIPOUT</t>
  </si>
  <si>
    <t>WITHELD</t>
  </si>
  <si>
    <t>CASH CLAIMED</t>
  </si>
  <si>
    <t>NET CC TIPS</t>
  </si>
  <si>
    <t>HOURS</t>
  </si>
  <si>
    <t>MINUTES</t>
  </si>
  <si>
    <t>CONVERTED</t>
  </si>
  <si>
    <t>HOURLY PAY</t>
  </si>
  <si>
    <t>GROSS</t>
  </si>
  <si>
    <t>ACTUAL GROSS</t>
  </si>
  <si>
    <t>Shift Count</t>
  </si>
  <si>
    <t>AM SHIFTS</t>
  </si>
  <si>
    <t>PM SHIFTS FOLLOWING AN AM SHIFT</t>
  </si>
  <si>
    <t>SINGLE/DODBLUBLE</t>
  </si>
  <si>
    <t>AM</t>
  </si>
  <si>
    <t>June</t>
  </si>
  <si>
    <t>WED</t>
  </si>
  <si>
    <t>SINGLE</t>
  </si>
  <si>
    <t>PM</t>
  </si>
  <si>
    <t>THU</t>
  </si>
  <si>
    <t>FRI</t>
  </si>
  <si>
    <t>SAT</t>
  </si>
  <si>
    <t>SUN</t>
  </si>
  <si>
    <t>MON</t>
  </si>
  <si>
    <t>TUE</t>
  </si>
  <si>
    <t>July</t>
  </si>
  <si>
    <t>August</t>
  </si>
  <si>
    <t>DOUBLE</t>
  </si>
  <si>
    <t>September</t>
  </si>
  <si>
    <t>October</t>
  </si>
  <si>
    <t>November</t>
  </si>
  <si>
    <t>December</t>
  </si>
  <si>
    <t>January</t>
  </si>
  <si>
    <t>February</t>
  </si>
  <si>
    <t>March</t>
  </si>
  <si>
    <t>Including</t>
  </si>
  <si>
    <t>Excluding</t>
  </si>
  <si>
    <t>Start</t>
  </si>
  <si>
    <t>End</t>
  </si>
  <si>
    <t>LOW</t>
  </si>
  <si>
    <t>HI</t>
  </si>
  <si>
    <t>A</t>
  </si>
  <si>
    <t>B</t>
  </si>
  <si>
    <t>C</t>
  </si>
  <si>
    <t>D</t>
  </si>
  <si>
    <t>E</t>
  </si>
  <si>
    <t>F</t>
  </si>
  <si>
    <t>April</t>
  </si>
  <si>
    <t>G</t>
  </si>
  <si>
    <t>H</t>
  </si>
  <si>
    <t>I</t>
  </si>
  <si>
    <t>J</t>
  </si>
  <si>
    <t>K</t>
  </si>
  <si>
    <t>L</t>
  </si>
  <si>
    <t>M</t>
  </si>
  <si>
    <t>N</t>
  </si>
  <si>
    <t>O</t>
  </si>
  <si>
    <t>May</t>
  </si>
  <si>
    <t>Select Interval</t>
  </si>
  <si>
    <t>Day of Week</t>
  </si>
  <si>
    <t>Month of Year</t>
  </si>
  <si>
    <t>Shift</t>
  </si>
  <si>
    <t>Entire Year</t>
  </si>
  <si>
    <t>ALL</t>
  </si>
  <si>
    <t>Select Time Frame</t>
  </si>
  <si>
    <t>Select Shift Type</t>
  </si>
  <si>
    <t>SUMMARY STATS</t>
  </si>
  <si>
    <t>Observations</t>
  </si>
  <si>
    <t>Total Sales</t>
  </si>
  <si>
    <t>Mean</t>
  </si>
  <si>
    <t>Median</t>
  </si>
  <si>
    <t>Mode</t>
  </si>
  <si>
    <t>MIN Value</t>
  </si>
  <si>
    <t>MAX Value</t>
  </si>
  <si>
    <t>Range</t>
  </si>
  <si>
    <t>Variance</t>
  </si>
  <si>
    <t>Standard Deviation</t>
  </si>
  <si>
    <t>Quartiles</t>
  </si>
  <si>
    <t>Inner Quartile Range</t>
  </si>
  <si>
    <t>Standard Error</t>
  </si>
  <si>
    <t>Skewness</t>
  </si>
  <si>
    <t>Kurtosis</t>
  </si>
  <si>
    <t>10th Percentile</t>
  </si>
  <si>
    <t>90th Percentile</t>
  </si>
  <si>
    <t>Current Selected Data</t>
  </si>
  <si>
    <t>Bin Count</t>
  </si>
  <si>
    <t>Bin Size</t>
  </si>
  <si>
    <t>+/- Bins</t>
  </si>
  <si>
    <t>Total Bins</t>
  </si>
  <si>
    <t>Leading Value</t>
  </si>
  <si>
    <t>Bin Array</t>
  </si>
  <si>
    <t>Frequency</t>
  </si>
  <si>
    <t>BinLabels</t>
  </si>
  <si>
    <t>SalesDIST</t>
  </si>
  <si>
    <t>BinArrDIST</t>
  </si>
  <si>
    <t>BinLabDIST</t>
  </si>
  <si>
    <t>FreqDIST</t>
  </si>
  <si>
    <t>Lower Limit</t>
  </si>
  <si>
    <t>Upper Limit</t>
  </si>
  <si>
    <t>Standard Deviations</t>
  </si>
  <si>
    <t>Guidelines</t>
  </si>
  <si>
    <t>Results</t>
  </si>
  <si>
    <t>Percentage</t>
  </si>
  <si>
    <t>Empirical Testing</t>
  </si>
  <si>
    <t>FreqPerDIST</t>
  </si>
  <si>
    <t>X</t>
  </si>
  <si>
    <t>Data Boundries withing +/-  3%</t>
  </si>
  <si>
    <t>Bin Midpoints</t>
  </si>
  <si>
    <t>Norm.dist</t>
  </si>
  <si>
    <t>Norm Percent</t>
  </si>
  <si>
    <t>SalesNormDist</t>
  </si>
  <si>
    <t>BinMidDIST</t>
  </si>
  <si>
    <t>FreqNormPDIST</t>
  </si>
  <si>
    <t>Expected Distribution vs Actual</t>
  </si>
  <si>
    <t>Y</t>
  </si>
  <si>
    <t>x</t>
  </si>
  <si>
    <t>y</t>
  </si>
  <si>
    <t>StDev</t>
  </si>
  <si>
    <t>Holiday Name</t>
  </si>
  <si>
    <t>Date</t>
  </si>
  <si>
    <t>Day</t>
  </si>
  <si>
    <t>New Year's Day</t>
  </si>
  <si>
    <t>Sunday</t>
  </si>
  <si>
    <t>New Year's Day (substitute day)</t>
  </si>
  <si>
    <t>Monday</t>
  </si>
  <si>
    <t>Martin Luther King Jr. Day</t>
  </si>
  <si>
    <t>Valentine's Day</t>
  </si>
  <si>
    <t>Tuesday</t>
  </si>
  <si>
    <t>Washington's Birthday</t>
  </si>
  <si>
    <t>St. Patrick's Day</t>
  </si>
  <si>
    <t>Friday</t>
  </si>
  <si>
    <t>Easter Sunday</t>
  </si>
  <si>
    <t>Tax Day</t>
  </si>
  <si>
    <t>Administrative Professionals Day</t>
  </si>
  <si>
    <t>Wednesday</t>
  </si>
  <si>
    <t>Mother's Day</t>
  </si>
  <si>
    <t>Memorial Day</t>
  </si>
  <si>
    <t>Father's Day</t>
  </si>
  <si>
    <t>Juneteenth</t>
  </si>
  <si>
    <t>Independence Day</t>
  </si>
  <si>
    <t>Labor Day</t>
  </si>
  <si>
    <t>Columbus Day</t>
  </si>
  <si>
    <t>Halloween</t>
  </si>
  <si>
    <t>Veterans Day (substitute day)</t>
  </si>
  <si>
    <t>Veterans Day</t>
  </si>
  <si>
    <t>Saturday</t>
  </si>
  <si>
    <t>Thanksgiving Day</t>
  </si>
  <si>
    <t>Thursday</t>
  </si>
  <si>
    <t>Day after Thanksgiving Day</t>
  </si>
  <si>
    <t>Christmas Eve</t>
  </si>
  <si>
    <t>Christmas Day</t>
  </si>
  <si>
    <t>New Year's Eve</t>
  </si>
  <si>
    <t>start</t>
  </si>
  <si>
    <t>end</t>
  </si>
  <si>
    <t>Examine Potential Outliers in the Data Here</t>
  </si>
  <si>
    <t xml:space="preserve">Adjust range +/- </t>
  </si>
  <si>
    <t>Potential cause of anomolous Data</t>
  </si>
  <si>
    <t>Month</t>
  </si>
  <si>
    <t>Day of the Week</t>
  </si>
  <si>
    <t>Total Sales for Shift</t>
  </si>
  <si>
    <t>Was the Shift a Single Shift or part or whole of a Double</t>
  </si>
  <si>
    <t>Yellow Cells allow you to adjust the data</t>
  </si>
  <si>
    <t>Percent Difference from Expected Distribution</t>
  </si>
  <si>
    <t>Difference</t>
  </si>
  <si>
    <t>Actual DIST</t>
  </si>
  <si>
    <t>Expected DIST</t>
  </si>
  <si>
    <t xml:space="preserve">The number of standard deviations away from the mean is adjustable  allowing for the adjustment of the threshold to identify outliers.
The range adjustment creates series of dates on either side of the potential outliers equal to + &amp; - the outlier date. This allows for the identification of holidays within that range of dates. These dates are then crossreferenced against a table containing a list of holidays and there respective dates. If the date is within the range created by the adjustment, it will be returned as a possible explaination for the outlier. For example, if the outlier date is 12/23 and the adjustment is set to 2, Christmas would be returned as a possibility as 12/25 is within 2 days of 12/23.
</t>
  </si>
  <si>
    <t>Data Distribution Analysis Reporting</t>
  </si>
  <si>
    <t>DIST Selection</t>
  </si>
  <si>
    <t>TIPS Selection</t>
  </si>
  <si>
    <t>For Sales DIST only</t>
  </si>
  <si>
    <t>start2</t>
  </si>
  <si>
    <t>end2</t>
  </si>
  <si>
    <t>For Tips DIST only</t>
  </si>
  <si>
    <t>TIPS</t>
  </si>
  <si>
    <t>FreqTIPS</t>
  </si>
  <si>
    <t>NormTIPS</t>
  </si>
  <si>
    <t>BinMidTIPS</t>
  </si>
  <si>
    <t>BinLeadTIPS</t>
  </si>
  <si>
    <t>BinArrTIPS</t>
  </si>
  <si>
    <t>HAxisTIPS</t>
  </si>
  <si>
    <t>The Bin Array</t>
  </si>
  <si>
    <t>Array for Frequency Bins</t>
  </si>
  <si>
    <t>Midpoints for bins</t>
  </si>
  <si>
    <t>Frequency Y data</t>
  </si>
  <si>
    <t>Normal distribution data for tips</t>
  </si>
  <si>
    <t>Desired Horizontal axis labels</t>
  </si>
  <si>
    <t>AxAdjTIPS</t>
  </si>
  <si>
    <t>CreatesmHorizontal axis labels</t>
  </si>
  <si>
    <t>HELPER</t>
  </si>
  <si>
    <t>MeanXTIPS</t>
  </si>
  <si>
    <t>MeanValTIPS</t>
  </si>
  <si>
    <t>Horizontal axis values for the mean line</t>
  </si>
  <si>
    <t>Vertical(Y) values for mean line</t>
  </si>
  <si>
    <t>Helpers For TIPS Distribution Data</t>
  </si>
  <si>
    <t>Select data set</t>
  </si>
  <si>
    <t>Make selections here</t>
  </si>
  <si>
    <t>Data Set</t>
  </si>
  <si>
    <t>Time Interval</t>
  </si>
  <si>
    <t>Sales</t>
  </si>
  <si>
    <t>Tips</t>
  </si>
  <si>
    <t>Sales per Hour</t>
  </si>
  <si>
    <t>Tips per Hour</t>
  </si>
  <si>
    <t>Hours Worked</t>
  </si>
  <si>
    <t>Select Time Interval</t>
  </si>
  <si>
    <t>Statistical Data</t>
  </si>
  <si>
    <t>MIN</t>
  </si>
  <si>
    <t>MAX</t>
  </si>
  <si>
    <t>StDev(s)</t>
  </si>
  <si>
    <t>StDev(p)</t>
  </si>
  <si>
    <t>Variance(s)</t>
  </si>
  <si>
    <t>Variance(p)</t>
  </si>
  <si>
    <t>Q1</t>
  </si>
  <si>
    <t>Q2</t>
  </si>
  <si>
    <t>Q3</t>
  </si>
  <si>
    <t>Q4</t>
  </si>
  <si>
    <t>IQR</t>
  </si>
  <si>
    <t>Mode(SNGL)</t>
  </si>
  <si>
    <t>Mode(MULT)</t>
  </si>
  <si>
    <t>Spill range for multi-modal data</t>
  </si>
  <si>
    <t>Skew</t>
  </si>
  <si>
    <t>CURRENT DATA SET</t>
  </si>
  <si>
    <t>Selected values only</t>
  </si>
  <si>
    <t>FilteredValues</t>
  </si>
  <si>
    <t>FilteredData</t>
  </si>
  <si>
    <t>BinArray</t>
  </si>
  <si>
    <t>FilteredFrequency</t>
  </si>
  <si>
    <t>BinArrayMid</t>
  </si>
  <si>
    <t>FilteredNormal</t>
  </si>
  <si>
    <t>FrequencyPercentage</t>
  </si>
  <si>
    <t>NormalPercentage</t>
  </si>
  <si>
    <t>COUNT</t>
  </si>
  <si>
    <t>Original data</t>
  </si>
  <si>
    <t>ranked data</t>
  </si>
  <si>
    <t>%</t>
  </si>
  <si>
    <t>z scores</t>
  </si>
  <si>
    <t>scaling</t>
  </si>
  <si>
    <t>Creating Normalized version of original Data</t>
  </si>
  <si>
    <t>NormalValues</t>
  </si>
  <si>
    <t>Named range=</t>
  </si>
  <si>
    <t>Count</t>
  </si>
  <si>
    <t>Named Ranges</t>
  </si>
  <si>
    <t>Times StDev</t>
  </si>
  <si>
    <t>Empirical</t>
  </si>
  <si>
    <t>MeanAxis</t>
  </si>
  <si>
    <t>Outlier Identification</t>
  </si>
  <si>
    <t>Value</t>
  </si>
  <si>
    <t>Outlier date range,            +/- X days</t>
  </si>
  <si>
    <t>Outlier Standard Deviation range,                +/- StDev's</t>
  </si>
  <si>
    <t>Date(s)</t>
  </si>
  <si>
    <r>
      <t xml:space="preserve">Associated Holiday, </t>
    </r>
    <r>
      <rPr>
        <sz val="11"/>
        <color theme="1"/>
        <rFont val="Aptos Narrow"/>
        <family val="2"/>
        <scheme val="minor"/>
      </rPr>
      <t>(Possible cause for Outlier value)</t>
    </r>
  </si>
  <si>
    <t xml:space="preserve">Criteria Adjustments
</t>
  </si>
  <si>
    <r>
      <rPr>
        <b/>
        <sz val="11"/>
        <color theme="1"/>
        <rFont val="Aptos Narrow"/>
        <family val="2"/>
        <scheme val="minor"/>
      </rPr>
      <t>Cells filled with Yellow allow you to adjust criteria values specific to the associated variables.</t>
    </r>
    <r>
      <rPr>
        <sz val="11"/>
        <color theme="1"/>
        <rFont val="Aptos Narrow"/>
        <family val="2"/>
        <scheme val="minor"/>
      </rPr>
      <t xml:space="preserve">
</t>
    </r>
    <r>
      <rPr>
        <b/>
        <u/>
        <sz val="11"/>
        <color theme="1"/>
        <rFont val="Aptos Narrow"/>
        <family val="2"/>
        <scheme val="minor"/>
      </rPr>
      <t>+/- Bins</t>
    </r>
    <r>
      <rPr>
        <sz val="11"/>
        <color theme="1"/>
        <rFont val="Aptos Narrow"/>
        <family val="2"/>
        <scheme val="minor"/>
      </rPr>
      <t xml:space="preserve">: Adds or subtracts bins to the Histogram allowing a more granular examination of the distribution of values.
</t>
    </r>
    <r>
      <rPr>
        <b/>
        <u/>
        <sz val="11"/>
        <color theme="1"/>
        <rFont val="Aptos Narrow"/>
        <family val="2"/>
        <scheme val="minor"/>
      </rPr>
      <t>Outlier date range</t>
    </r>
    <r>
      <rPr>
        <sz val="11"/>
        <color theme="1"/>
        <rFont val="Aptos Narrow"/>
        <family val="2"/>
        <scheme val="minor"/>
      </rPr>
      <t xml:space="preserve">: Adds X days before &amp; after Target Date creating a range of dates which are cross-referenced against Holidays. This is used to identify possible causes for values identified as Outliers.
</t>
    </r>
    <r>
      <rPr>
        <b/>
        <u/>
        <sz val="11"/>
        <color theme="1"/>
        <rFont val="Aptos Narrow"/>
        <family val="2"/>
        <scheme val="minor"/>
      </rPr>
      <t>Outlier Standard Deviation range</t>
    </r>
    <r>
      <rPr>
        <sz val="11"/>
        <color theme="1"/>
        <rFont val="Aptos Narrow"/>
        <family val="2"/>
        <scheme val="minor"/>
      </rPr>
      <t xml:space="preserve">: Sets the number of Standard Deviations + or - from the mean at which a value is considered an Outlier.
</t>
    </r>
    <r>
      <rPr>
        <sz val="28"/>
        <color theme="1"/>
        <rFont val="Aptos Narrow"/>
        <family val="2"/>
        <scheme val="minor"/>
      </rPr>
      <t xml:space="preserve">
</t>
    </r>
  </si>
  <si>
    <t>Target Date</t>
  </si>
  <si>
    <t>Bin Width</t>
  </si>
  <si>
    <t>C:\Dev\GOODE_ANALYSIS\Scripts</t>
  </si>
  <si>
    <t>C:\Users\joemc\anaconda3\python.exe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</si>
</sst>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4" formatCode="_(&quot;$&quot;* #,##0.00_);_(&quot;$&quot;* \(#,##0.00\);_(&quot;$&quot;* &quot;-&quot;??_);_(@_)"/>
    <numFmt numFmtId="43" formatCode="_(* #,##0.00_);_(* \(#,##0.00\);_(* &quot;-&quot;??_);_(@_)"/>
    <numFmt numFmtId="164" formatCode="&quot;$&quot;#,##0.00"/>
    <numFmt numFmtId="165" formatCode="0.0"/>
    <numFmt numFmtId="166" formatCode="0.0%"/>
  </numFmts>
  <fonts count="22"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rgb="FFFF0000"/>
      <name val="Aptos Narrow"/>
      <family val="2"/>
      <scheme val="minor"/>
    </font>
    <font>
      <b/>
      <sz val="11"/>
      <color theme="1"/>
      <name val="Aptos Narrow"/>
      <family val="2"/>
      <scheme val="minor"/>
    </font>
    <font>
      <sz val="11"/>
      <color theme="0"/>
      <name val="Aptos Narrow"/>
      <family val="2"/>
      <scheme val="minor"/>
    </font>
    <font>
      <b/>
      <sz val="11"/>
      <name val="Aptos Narrow"/>
      <family val="2"/>
      <scheme val="minor"/>
    </font>
    <font>
      <sz val="11"/>
      <color theme="2" tint="-0.89999084444715716"/>
      <name val="Aptos Narrow"/>
      <family val="2"/>
      <scheme val="minor"/>
    </font>
    <font>
      <b/>
      <sz val="12"/>
      <color theme="1"/>
      <name val="Aptos Narrow"/>
      <family val="2"/>
      <scheme val="minor"/>
    </font>
    <font>
      <b/>
      <sz val="22"/>
      <color theme="1"/>
      <name val="Aptos Narrow"/>
      <family val="2"/>
      <scheme val="minor"/>
    </font>
    <font>
      <sz val="8"/>
      <name val="Aptos Narrow"/>
      <family val="2"/>
      <scheme val="minor"/>
    </font>
    <font>
      <b/>
      <sz val="20"/>
      <color theme="1"/>
      <name val="Aptos Narrow"/>
      <family val="2"/>
      <scheme val="minor"/>
    </font>
    <font>
      <sz val="11"/>
      <name val="Aptos Narrow"/>
      <family val="2"/>
      <scheme val="minor"/>
    </font>
    <font>
      <b/>
      <sz val="8"/>
      <color rgb="FF212529"/>
      <name val="Segoe UI"/>
      <family val="2"/>
    </font>
    <font>
      <b/>
      <sz val="48"/>
      <color theme="1"/>
      <name val="Aptos Narrow"/>
      <family val="2"/>
      <scheme val="minor"/>
    </font>
    <font>
      <b/>
      <sz val="24"/>
      <color theme="1"/>
      <name val="Aptos Narrow"/>
      <family val="2"/>
      <scheme val="minor"/>
    </font>
    <font>
      <b/>
      <sz val="13"/>
      <color theme="1"/>
      <name val="Aptos Narrow"/>
      <family val="2"/>
      <scheme val="minor"/>
    </font>
    <font>
      <b/>
      <sz val="14"/>
      <color theme="1"/>
      <name val="Aptos Narrow"/>
      <family val="2"/>
      <scheme val="minor"/>
    </font>
    <font>
      <sz val="18"/>
      <color theme="1"/>
      <name val="Aptos Narrow"/>
      <family val="2"/>
      <scheme val="minor"/>
    </font>
    <font>
      <sz val="11"/>
      <color rgb="FF212529"/>
      <name val="Aptos Narrow"/>
      <family val="2"/>
      <scheme val="minor"/>
    </font>
    <font>
      <sz val="28"/>
      <color theme="1"/>
      <name val="Aptos Narrow"/>
      <family val="2"/>
      <scheme val="minor"/>
    </font>
    <font>
      <b/>
      <u/>
      <sz val="11"/>
      <color theme="1"/>
      <name val="Aptos Narrow"/>
      <family val="2"/>
      <scheme val="minor"/>
    </font>
  </fonts>
  <fills count="1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9" tint="0.79998168889431442"/>
        <bgColor indexed="64"/>
      </patternFill>
    </fill>
    <fill>
      <patternFill patternType="solid">
        <fgColor rgb="FFFFCCCC"/>
        <bgColor indexed="64"/>
      </patternFill>
    </fill>
    <fill>
      <patternFill patternType="solid">
        <fgColor theme="1"/>
        <bgColor indexed="64"/>
      </patternFill>
    </fill>
    <fill>
      <patternFill patternType="solid">
        <fgColor rgb="FFFFFFFF"/>
        <bgColor indexed="64"/>
      </patternFill>
    </fill>
    <fill>
      <patternFill patternType="solid">
        <fgColor theme="4" tint="0.79998168889431442"/>
        <bgColor indexed="64"/>
      </patternFill>
    </fill>
    <fill>
      <patternFill patternType="solid">
        <fgColor theme="8" tint="0.79998168889431442"/>
        <bgColor indexed="64"/>
      </patternFill>
    </fill>
  </fills>
  <borders count="69">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diagonal/>
    </border>
    <border>
      <left/>
      <right/>
      <top style="thin">
        <color indexed="64"/>
      </top>
      <bottom style="thin">
        <color indexed="64"/>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bottom/>
      <diagonal/>
    </border>
    <border>
      <left/>
      <right/>
      <top style="medium">
        <color rgb="FFDEE2E6"/>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top style="medium">
        <color indexed="64"/>
      </top>
      <bottom style="thin">
        <color indexed="64"/>
      </bottom>
      <diagonal/>
    </border>
    <border>
      <left style="thin">
        <color indexed="64"/>
      </left>
      <right/>
      <top style="thin">
        <color theme="4" tint="0.39997558519241921"/>
      </top>
      <bottom/>
      <diagonal/>
    </border>
    <border>
      <left/>
      <right style="thin">
        <color indexed="64"/>
      </right>
      <top/>
      <bottom/>
      <diagonal/>
    </border>
    <border>
      <left/>
      <right style="thin">
        <color theme="4" tint="0.39997558519241921"/>
      </right>
      <top style="thin">
        <color indexed="64"/>
      </top>
      <bottom/>
      <diagonal/>
    </border>
    <border>
      <left/>
      <right style="thin">
        <color theme="4" tint="0.39997558519241921"/>
      </right>
      <top style="thin">
        <color theme="4" tint="0.39997558519241921"/>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98">
    <xf numFmtId="0" fontId="0" fillId="0" borderId="0" xfId="0"/>
    <xf numFmtId="14" fontId="6" fillId="2" borderId="1" xfId="0" applyNumberFormat="1" applyFont="1" applyFill="1" applyBorder="1"/>
    <xf numFmtId="49" fontId="6" fillId="2" borderId="2" xfId="0" applyNumberFormat="1" applyFont="1" applyFill="1" applyBorder="1"/>
    <xf numFmtId="14" fontId="6" fillId="2" borderId="2" xfId="0" applyNumberFormat="1" applyFont="1" applyFill="1" applyBorder="1"/>
    <xf numFmtId="164" fontId="6" fillId="2" borderId="2" xfId="0" applyNumberFormat="1" applyFont="1" applyFill="1" applyBorder="1"/>
    <xf numFmtId="1" fontId="6" fillId="2" borderId="2" xfId="0" applyNumberFormat="1" applyFont="1" applyFill="1" applyBorder="1"/>
    <xf numFmtId="2" fontId="6" fillId="2" borderId="2" xfId="0" applyNumberFormat="1" applyFont="1" applyFill="1" applyBorder="1"/>
    <xf numFmtId="164" fontId="6" fillId="2" borderId="3" xfId="0" applyNumberFormat="1" applyFont="1" applyFill="1" applyBorder="1"/>
    <xf numFmtId="1" fontId="6" fillId="2" borderId="4" xfId="0" applyNumberFormat="1" applyFont="1" applyFill="1" applyBorder="1"/>
    <xf numFmtId="1" fontId="6" fillId="2" borderId="4" xfId="0" applyNumberFormat="1" applyFont="1" applyFill="1" applyBorder="1" applyAlignment="1">
      <alignment wrapText="1"/>
    </xf>
    <xf numFmtId="49" fontId="6" fillId="2" borderId="0" xfId="0" applyNumberFormat="1" applyFont="1" applyFill="1"/>
    <xf numFmtId="0" fontId="4" fillId="0" borderId="0" xfId="0" applyFont="1"/>
    <xf numFmtId="14" fontId="0" fillId="2" borderId="1" xfId="0" applyNumberFormat="1" applyFill="1" applyBorder="1"/>
    <xf numFmtId="49" fontId="0" fillId="2" borderId="2" xfId="0" applyNumberFormat="1" applyFill="1" applyBorder="1"/>
    <xf numFmtId="14" fontId="0" fillId="2" borderId="2" xfId="0" applyNumberFormat="1" applyFill="1" applyBorder="1"/>
    <xf numFmtId="164" fontId="0" fillId="2" borderId="2" xfId="0" applyNumberFormat="1" applyFill="1" applyBorder="1"/>
    <xf numFmtId="1" fontId="0" fillId="2" borderId="2" xfId="0" applyNumberFormat="1" applyFill="1" applyBorder="1"/>
    <xf numFmtId="2" fontId="0" fillId="2" borderId="2" xfId="0" applyNumberFormat="1" applyFill="1" applyBorder="1"/>
    <xf numFmtId="164" fontId="7" fillId="2" borderId="2" xfId="0" applyNumberFormat="1" applyFont="1" applyFill="1" applyBorder="1"/>
    <xf numFmtId="164" fontId="7" fillId="2" borderId="3" xfId="0" applyNumberFormat="1" applyFont="1" applyFill="1" applyBorder="1"/>
    <xf numFmtId="1" fontId="7" fillId="2" borderId="0" xfId="0" applyNumberFormat="1" applyFont="1" applyFill="1"/>
    <xf numFmtId="49" fontId="7" fillId="2" borderId="0" xfId="0" quotePrefix="1" applyNumberFormat="1" applyFont="1" applyFill="1"/>
    <xf numFmtId="164" fontId="0" fillId="0" borderId="0" xfId="0" applyNumberFormat="1"/>
    <xf numFmtId="14" fontId="0" fillId="2" borderId="5" xfId="0" applyNumberFormat="1" applyFill="1" applyBorder="1"/>
    <xf numFmtId="49" fontId="0" fillId="2" borderId="6" xfId="0" applyNumberFormat="1" applyFill="1" applyBorder="1"/>
    <xf numFmtId="14" fontId="0" fillId="2" borderId="6" xfId="0" applyNumberFormat="1" applyFill="1" applyBorder="1"/>
    <xf numFmtId="164" fontId="0" fillId="2" borderId="6" xfId="0" applyNumberFormat="1" applyFill="1" applyBorder="1"/>
    <xf numFmtId="1" fontId="0" fillId="2" borderId="6" xfId="0" applyNumberFormat="1" applyFill="1" applyBorder="1"/>
    <xf numFmtId="2" fontId="0" fillId="2" borderId="6" xfId="0" applyNumberFormat="1" applyFill="1" applyBorder="1"/>
    <xf numFmtId="164" fontId="7" fillId="2" borderId="6" xfId="0" applyNumberFormat="1" applyFont="1" applyFill="1" applyBorder="1"/>
    <xf numFmtId="164" fontId="7" fillId="2" borderId="7" xfId="0" applyNumberFormat="1" applyFont="1" applyFill="1" applyBorder="1"/>
    <xf numFmtId="2" fontId="0" fillId="0" borderId="0" xfId="0" applyNumberFormat="1"/>
    <xf numFmtId="1" fontId="0" fillId="0" borderId="0" xfId="0" applyNumberFormat="1"/>
    <xf numFmtId="164" fontId="0" fillId="2" borderId="7" xfId="0" applyNumberFormat="1" applyFill="1" applyBorder="1"/>
    <xf numFmtId="1" fontId="0" fillId="2" borderId="0" xfId="0" applyNumberFormat="1" applyFill="1"/>
    <xf numFmtId="8" fontId="0" fillId="0" borderId="0" xfId="0" applyNumberFormat="1"/>
    <xf numFmtId="14"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164" fontId="0" fillId="0" borderId="0" xfId="2" applyNumberFormat="1" applyFont="1"/>
    <xf numFmtId="44" fontId="0" fillId="0" borderId="0" xfId="0" applyNumberFormat="1"/>
    <xf numFmtId="164" fontId="3" fillId="0" borderId="0" xfId="0" applyNumberFormat="1" applyFont="1"/>
    <xf numFmtId="164" fontId="0" fillId="2" borderId="6" xfId="2" applyNumberFormat="1" applyFont="1" applyFill="1" applyBorder="1"/>
    <xf numFmtId="164" fontId="0" fillId="2" borderId="7" xfId="2" applyNumberFormat="1" applyFont="1" applyFill="1" applyBorder="1"/>
    <xf numFmtId="14" fontId="0" fillId="7" borderId="0" xfId="0" applyNumberFormat="1" applyFill="1"/>
    <xf numFmtId="0" fontId="0" fillId="7" borderId="0" xfId="0" applyFill="1"/>
    <xf numFmtId="164" fontId="0" fillId="3" borderId="0" xfId="0" applyNumberFormat="1" applyFill="1"/>
    <xf numFmtId="14" fontId="0" fillId="2" borderId="8" xfId="0" applyNumberFormat="1" applyFill="1" applyBorder="1"/>
    <xf numFmtId="49" fontId="0" fillId="2" borderId="9" xfId="0" applyNumberFormat="1" applyFill="1" applyBorder="1"/>
    <xf numFmtId="14" fontId="0" fillId="2" borderId="9" xfId="0" applyNumberFormat="1" applyFill="1" applyBorder="1"/>
    <xf numFmtId="164" fontId="0" fillId="2" borderId="9" xfId="0" applyNumberFormat="1" applyFill="1" applyBorder="1"/>
    <xf numFmtId="1" fontId="0" fillId="2" borderId="9" xfId="0" applyNumberFormat="1" applyFill="1" applyBorder="1"/>
    <xf numFmtId="2" fontId="0" fillId="2" borderId="9" xfId="0" applyNumberFormat="1" applyFill="1" applyBorder="1"/>
    <xf numFmtId="164" fontId="0" fillId="2" borderId="10" xfId="0" applyNumberFormat="1" applyFill="1" applyBorder="1"/>
    <xf numFmtId="14" fontId="0" fillId="0" borderId="6" xfId="0" applyNumberFormat="1" applyBorder="1"/>
    <xf numFmtId="2" fontId="0" fillId="7" borderId="0" xfId="0" applyNumberFormat="1" applyFill="1"/>
    <xf numFmtId="4" fontId="0" fillId="0" borderId="0" xfId="0" applyNumberFormat="1"/>
    <xf numFmtId="1" fontId="5" fillId="8" borderId="9" xfId="0" applyNumberFormat="1" applyFont="1" applyFill="1" applyBorder="1"/>
    <xf numFmtId="0" fontId="0" fillId="9" borderId="0" xfId="0" applyFill="1"/>
    <xf numFmtId="14" fontId="0" fillId="2" borderId="11" xfId="0" applyNumberFormat="1" applyFill="1" applyBorder="1"/>
    <xf numFmtId="14" fontId="0" fillId="2" borderId="0" xfId="0" applyNumberFormat="1" applyFill="1"/>
    <xf numFmtId="49" fontId="0" fillId="2" borderId="0" xfId="0" applyNumberFormat="1" applyFill="1"/>
    <xf numFmtId="164" fontId="0" fillId="2" borderId="0" xfId="0" applyNumberFormat="1" applyFill="1"/>
    <xf numFmtId="2" fontId="0" fillId="2" borderId="0" xfId="0" applyNumberFormat="1" applyFill="1"/>
    <xf numFmtId="44" fontId="0" fillId="2" borderId="0" xfId="2" applyFont="1" applyFill="1" applyBorder="1"/>
    <xf numFmtId="44" fontId="0" fillId="2" borderId="0" xfId="0" applyNumberFormat="1" applyFill="1"/>
    <xf numFmtId="0" fontId="0" fillId="0" borderId="0" xfId="0" quotePrefix="1"/>
    <xf numFmtId="0" fontId="0" fillId="12" borderId="16" xfId="0" applyFill="1" applyBorder="1"/>
    <xf numFmtId="0" fontId="0" fillId="12" borderId="15" xfId="0" applyFill="1" applyBorder="1"/>
    <xf numFmtId="0" fontId="0" fillId="12" borderId="14" xfId="0" applyFill="1" applyBorder="1"/>
    <xf numFmtId="0" fontId="2" fillId="11" borderId="10" xfId="0" applyFont="1" applyFill="1" applyBorder="1"/>
    <xf numFmtId="0" fontId="0" fillId="12" borderId="17" xfId="0" applyFill="1" applyBorder="1"/>
    <xf numFmtId="0" fontId="0" fillId="12" borderId="12" xfId="0" applyFill="1" applyBorder="1"/>
    <xf numFmtId="0" fontId="0" fillId="0" borderId="18" xfId="0" applyBorder="1"/>
    <xf numFmtId="0" fontId="0" fillId="0" borderId="19" xfId="0" applyBorder="1"/>
    <xf numFmtId="0" fontId="0" fillId="12" borderId="18" xfId="0" applyFill="1" applyBorder="1"/>
    <xf numFmtId="0" fontId="0" fillId="12" borderId="19" xfId="0" applyFill="1" applyBorder="1"/>
    <xf numFmtId="0" fontId="0" fillId="0" borderId="6" xfId="0" applyBorder="1"/>
    <xf numFmtId="164" fontId="0" fillId="0" borderId="6" xfId="0" applyNumberFormat="1" applyBorder="1"/>
    <xf numFmtId="0" fontId="0" fillId="0" borderId="6" xfId="0" quotePrefix="1" applyBorder="1"/>
    <xf numFmtId="2" fontId="0" fillId="0" borderId="6" xfId="0" applyNumberFormat="1" applyBorder="1"/>
    <xf numFmtId="1" fontId="0" fillId="0" borderId="6" xfId="0" applyNumberFormat="1" applyBorder="1"/>
    <xf numFmtId="9" fontId="0" fillId="0" borderId="6" xfId="0" applyNumberFormat="1" applyBorder="1"/>
    <xf numFmtId="166" fontId="0" fillId="0" borderId="6" xfId="0" applyNumberFormat="1" applyBorder="1"/>
    <xf numFmtId="9" fontId="4" fillId="0" borderId="6" xfId="0" applyNumberFormat="1" applyFont="1" applyBorder="1"/>
    <xf numFmtId="1" fontId="0" fillId="0" borderId="7" xfId="0" applyNumberFormat="1" applyBorder="1"/>
    <xf numFmtId="164" fontId="0" fillId="0" borderId="7" xfId="0" applyNumberFormat="1" applyBorder="1"/>
    <xf numFmtId="0" fontId="0" fillId="0" borderId="5" xfId="0" applyBorder="1"/>
    <xf numFmtId="0" fontId="11" fillId="0" borderId="0" xfId="0" applyFont="1"/>
    <xf numFmtId="0" fontId="0" fillId="0" borderId="2" xfId="0" applyBorder="1"/>
    <xf numFmtId="164" fontId="0" fillId="0" borderId="2" xfId="0" applyNumberFormat="1" applyBorder="1"/>
    <xf numFmtId="0" fontId="4" fillId="0" borderId="5" xfId="0" applyFont="1" applyBorder="1"/>
    <xf numFmtId="0" fontId="0" fillId="0" borderId="39" xfId="0" applyBorder="1"/>
    <xf numFmtId="0" fontId="0" fillId="0" borderId="40" xfId="0" applyBorder="1"/>
    <xf numFmtId="0" fontId="4" fillId="0" borderId="39" xfId="0" applyFont="1" applyBorder="1"/>
    <xf numFmtId="164" fontId="0" fillId="0" borderId="40" xfId="0" applyNumberFormat="1" applyBorder="1"/>
    <xf numFmtId="166" fontId="4" fillId="0" borderId="40" xfId="0" applyNumberFormat="1" applyFont="1" applyBorder="1"/>
    <xf numFmtId="9" fontId="4" fillId="0" borderId="39" xfId="0" applyNumberFormat="1" applyFont="1" applyBorder="1"/>
    <xf numFmtId="10" fontId="0" fillId="0" borderId="40" xfId="0" applyNumberFormat="1" applyBorder="1"/>
    <xf numFmtId="0" fontId="0" fillId="0" borderId="7" xfId="0" applyBorder="1"/>
    <xf numFmtId="0" fontId="4" fillId="0" borderId="42" xfId="0" applyFont="1" applyBorder="1"/>
    <xf numFmtId="0" fontId="4" fillId="0" borderId="43" xfId="0" applyFont="1" applyBorder="1"/>
    <xf numFmtId="1" fontId="0" fillId="0" borderId="44" xfId="0" applyNumberFormat="1" applyBorder="1"/>
    <xf numFmtId="166" fontId="0" fillId="0" borderId="40" xfId="0" applyNumberFormat="1" applyBorder="1"/>
    <xf numFmtId="0" fontId="0" fillId="0" borderId="24" xfId="0" applyBorder="1"/>
    <xf numFmtId="164" fontId="0" fillId="0" borderId="25" xfId="0" applyNumberFormat="1" applyBorder="1"/>
    <xf numFmtId="0" fontId="0" fillId="0" borderId="25" xfId="0" applyBorder="1"/>
    <xf numFmtId="166" fontId="0" fillId="0" borderId="25" xfId="0" applyNumberFormat="1" applyBorder="1"/>
    <xf numFmtId="2" fontId="0" fillId="0" borderId="25" xfId="0" applyNumberFormat="1" applyBorder="1"/>
    <xf numFmtId="10" fontId="0" fillId="0" borderId="26" xfId="0" applyNumberFormat="1" applyBorder="1"/>
    <xf numFmtId="0" fontId="5" fillId="0" borderId="0" xfId="0" applyFont="1"/>
    <xf numFmtId="0" fontId="0" fillId="0" borderId="43" xfId="0" applyBorder="1"/>
    <xf numFmtId="14" fontId="0" fillId="0" borderId="2" xfId="0" applyNumberFormat="1" applyBorder="1"/>
    <xf numFmtId="0" fontId="12" fillId="15" borderId="27" xfId="0" applyFont="1" applyFill="1" applyBorder="1"/>
    <xf numFmtId="0" fontId="4" fillId="0" borderId="48" xfId="0" applyFont="1" applyBorder="1"/>
    <xf numFmtId="0" fontId="0" fillId="0" borderId="21" xfId="0" applyBorder="1"/>
    <xf numFmtId="164" fontId="0" fillId="0" borderId="22" xfId="0" applyNumberFormat="1" applyBorder="1"/>
    <xf numFmtId="0" fontId="0" fillId="0" borderId="22" xfId="0" applyBorder="1"/>
    <xf numFmtId="166" fontId="0" fillId="0" borderId="22" xfId="0" applyNumberFormat="1" applyBorder="1"/>
    <xf numFmtId="2" fontId="0" fillId="0" borderId="22" xfId="0" applyNumberFormat="1" applyBorder="1"/>
    <xf numFmtId="166" fontId="0" fillId="0" borderId="23" xfId="0" applyNumberFormat="1" applyBorder="1"/>
    <xf numFmtId="14" fontId="0" fillId="0" borderId="21" xfId="0" applyNumberFormat="1" applyBorder="1"/>
    <xf numFmtId="164" fontId="0" fillId="0" borderId="23" xfId="0" applyNumberFormat="1" applyBorder="1"/>
    <xf numFmtId="14" fontId="0" fillId="0" borderId="39" xfId="0" applyNumberFormat="1" applyBorder="1"/>
    <xf numFmtId="14" fontId="0" fillId="0" borderId="24" xfId="0" applyNumberFormat="1" applyBorder="1"/>
    <xf numFmtId="0" fontId="0" fillId="0" borderId="49" xfId="0" applyBorder="1"/>
    <xf numFmtId="0" fontId="0" fillId="0" borderId="51" xfId="0" applyBorder="1"/>
    <xf numFmtId="0" fontId="4" fillId="0" borderId="20" xfId="0" quotePrefix="1" applyFont="1" applyBorder="1"/>
    <xf numFmtId="0" fontId="0" fillId="15" borderId="0" xfId="0" applyFill="1"/>
    <xf numFmtId="164" fontId="0" fillId="15" borderId="0" xfId="0" applyNumberFormat="1" applyFill="1"/>
    <xf numFmtId="0" fontId="13" fillId="16" borderId="52" xfId="0" applyFont="1" applyFill="1" applyBorder="1" applyAlignment="1">
      <alignment horizontal="center" vertical="top" wrapText="1"/>
    </xf>
    <xf numFmtId="14" fontId="13" fillId="16" borderId="52" xfId="0" applyNumberFormat="1" applyFont="1" applyFill="1" applyBorder="1" applyAlignment="1">
      <alignment horizontal="center" vertical="top" wrapText="1"/>
    </xf>
    <xf numFmtId="14" fontId="13" fillId="16" borderId="0" xfId="0" applyNumberFormat="1" applyFont="1" applyFill="1" applyAlignment="1">
      <alignment horizontal="center" vertical="top" wrapText="1"/>
    </xf>
    <xf numFmtId="0" fontId="13" fillId="16" borderId="0" xfId="0" applyFont="1" applyFill="1" applyAlignment="1">
      <alignment horizontal="center" vertical="top"/>
    </xf>
    <xf numFmtId="0" fontId="13" fillId="16" borderId="0" xfId="0" applyFont="1" applyFill="1" applyAlignment="1">
      <alignment horizontal="center" vertical="top" wrapText="1"/>
    </xf>
    <xf numFmtId="0" fontId="12" fillId="0" borderId="0" xfId="0" applyFont="1"/>
    <xf numFmtId="14" fontId="12" fillId="0" borderId="0" xfId="0" applyNumberFormat="1" applyFont="1"/>
    <xf numFmtId="0" fontId="0" fillId="0" borderId="54" xfId="0" applyBorder="1"/>
    <xf numFmtId="0" fontId="0" fillId="0" borderId="53" xfId="0" applyBorder="1"/>
    <xf numFmtId="164" fontId="0" fillId="0" borderId="54" xfId="0" applyNumberFormat="1" applyBorder="1"/>
    <xf numFmtId="164" fontId="0" fillId="10" borderId="54" xfId="0" applyNumberFormat="1" applyFill="1" applyBorder="1"/>
    <xf numFmtId="164" fontId="0" fillId="0" borderId="54" xfId="0" applyNumberFormat="1" applyBorder="1" applyAlignment="1">
      <alignment horizontal="right"/>
    </xf>
    <xf numFmtId="164" fontId="0" fillId="14" borderId="54" xfId="0" applyNumberFormat="1" applyFill="1" applyBorder="1" applyAlignment="1">
      <alignment horizontal="right"/>
    </xf>
    <xf numFmtId="14" fontId="0" fillId="0" borderId="54" xfId="0" applyNumberFormat="1" applyBorder="1" applyAlignment="1">
      <alignment horizontal="right"/>
    </xf>
    <xf numFmtId="164" fontId="0" fillId="13" borderId="54" xfId="0" applyNumberFormat="1" applyFill="1" applyBorder="1" applyAlignment="1">
      <alignment horizontal="right"/>
    </xf>
    <xf numFmtId="164" fontId="0" fillId="18" borderId="54" xfId="0" applyNumberFormat="1" applyFill="1" applyBorder="1"/>
    <xf numFmtId="164" fontId="0" fillId="0" borderId="55" xfId="0" applyNumberFormat="1" applyBorder="1"/>
    <xf numFmtId="0" fontId="0" fillId="0" borderId="41" xfId="0" applyBorder="1"/>
    <xf numFmtId="164" fontId="0" fillId="17" borderId="22" xfId="0" applyNumberFormat="1" applyFill="1" applyBorder="1"/>
    <xf numFmtId="14" fontId="0" fillId="0" borderId="25" xfId="0" applyNumberFormat="1" applyBorder="1"/>
    <xf numFmtId="164" fontId="0" fillId="14" borderId="44" xfId="0" applyNumberFormat="1" applyFill="1" applyBorder="1"/>
    <xf numFmtId="164" fontId="0" fillId="18" borderId="25" xfId="0" applyNumberFormat="1" applyFill="1" applyBorder="1"/>
    <xf numFmtId="164" fontId="0" fillId="13" borderId="41" xfId="0" applyNumberFormat="1" applyFill="1" applyBorder="1"/>
    <xf numFmtId="0" fontId="0" fillId="0" borderId="3" xfId="0" applyBorder="1"/>
    <xf numFmtId="0" fontId="4" fillId="0" borderId="34" xfId="0" applyFont="1" applyBorder="1" applyAlignment="1">
      <alignment horizontal="left" vertical="top" wrapText="1"/>
    </xf>
    <xf numFmtId="164" fontId="4" fillId="0" borderId="34" xfId="0" applyNumberFormat="1" applyFont="1" applyBorder="1" applyAlignment="1">
      <alignment horizontal="center" vertical="center" wrapText="1"/>
    </xf>
    <xf numFmtId="0" fontId="4" fillId="0" borderId="34" xfId="0" applyFont="1" applyBorder="1" applyAlignment="1">
      <alignment horizontal="center" vertical="center" wrapText="1"/>
    </xf>
    <xf numFmtId="0" fontId="4" fillId="0" borderId="57" xfId="0" applyFont="1" applyBorder="1" applyAlignment="1">
      <alignment horizontal="left" vertical="top" wrapText="1"/>
    </xf>
    <xf numFmtId="0" fontId="4" fillId="0" borderId="58" xfId="0" applyFont="1" applyBorder="1" applyAlignment="1">
      <alignment horizontal="left" vertical="top" wrapText="1"/>
    </xf>
    <xf numFmtId="0" fontId="4" fillId="3" borderId="20" xfId="0" applyFont="1" applyFill="1" applyBorder="1" applyAlignment="1">
      <alignment horizontal="left" vertical="top" wrapText="1"/>
    </xf>
    <xf numFmtId="0" fontId="4" fillId="0" borderId="13" xfId="0" quotePrefix="1" applyFont="1" applyBorder="1"/>
    <xf numFmtId="164" fontId="0" fillId="0" borderId="10" xfId="0" applyNumberFormat="1" applyBorder="1"/>
    <xf numFmtId="1" fontId="0" fillId="0" borderId="59" xfId="0" applyNumberFormat="1" applyBorder="1"/>
    <xf numFmtId="1" fontId="0" fillId="3" borderId="20" xfId="0" applyNumberFormat="1" applyFill="1" applyBorder="1"/>
    <xf numFmtId="164" fontId="0" fillId="0" borderId="45" xfId="0" applyNumberFormat="1" applyBorder="1"/>
    <xf numFmtId="164" fontId="0" fillId="14" borderId="60" xfId="0" applyNumberFormat="1" applyFill="1" applyBorder="1"/>
    <xf numFmtId="165" fontId="0" fillId="3" borderId="20" xfId="0" applyNumberFormat="1" applyFill="1" applyBorder="1"/>
    <xf numFmtId="0" fontId="0" fillId="0" borderId="61" xfId="0" applyBorder="1"/>
    <xf numFmtId="0" fontId="0" fillId="0" borderId="42" xfId="0" applyBorder="1"/>
    <xf numFmtId="164" fontId="0" fillId="13" borderId="60" xfId="0" applyNumberFormat="1" applyFill="1" applyBorder="1"/>
    <xf numFmtId="0" fontId="0" fillId="3" borderId="20" xfId="0" applyFill="1" applyBorder="1"/>
    <xf numFmtId="0" fontId="4" fillId="0" borderId="51" xfId="0" applyFont="1" applyBorder="1"/>
    <xf numFmtId="2" fontId="0" fillId="0" borderId="39" xfId="0" applyNumberFormat="1" applyBorder="1"/>
    <xf numFmtId="1" fontId="0" fillId="0" borderId="39" xfId="0" applyNumberFormat="1" applyBorder="1"/>
    <xf numFmtId="10" fontId="0" fillId="0" borderId="39" xfId="0" quotePrefix="1" applyNumberFormat="1" applyBorder="1"/>
    <xf numFmtId="2" fontId="0" fillId="0" borderId="49" xfId="0" applyNumberFormat="1" applyBorder="1"/>
    <xf numFmtId="1" fontId="0" fillId="0" borderId="2" xfId="0" applyNumberFormat="1" applyBorder="1"/>
    <xf numFmtId="10" fontId="0" fillId="0" borderId="56" xfId="0" applyNumberFormat="1" applyBorder="1"/>
    <xf numFmtId="0" fontId="4" fillId="0" borderId="33" xfId="0" applyFont="1" applyBorder="1"/>
    <xf numFmtId="0" fontId="4" fillId="0" borderId="34" xfId="0" applyFont="1" applyBorder="1"/>
    <xf numFmtId="0" fontId="4" fillId="0" borderId="35" xfId="0" applyFont="1" applyBorder="1"/>
    <xf numFmtId="0" fontId="0" fillId="15" borderId="20" xfId="0" applyFill="1" applyBorder="1"/>
    <xf numFmtId="0" fontId="0" fillId="15" borderId="23" xfId="0" applyFill="1" applyBorder="1"/>
    <xf numFmtId="0" fontId="0" fillId="15" borderId="26" xfId="0" applyFill="1" applyBorder="1"/>
    <xf numFmtId="0" fontId="0" fillId="15" borderId="35" xfId="0" applyFill="1" applyBorder="1"/>
    <xf numFmtId="14" fontId="0" fillId="15" borderId="56" xfId="0" applyNumberFormat="1" applyFill="1" applyBorder="1"/>
    <xf numFmtId="14" fontId="0" fillId="15" borderId="40" xfId="0" applyNumberFormat="1" applyFill="1" applyBorder="1"/>
    <xf numFmtId="0" fontId="0" fillId="15" borderId="40" xfId="0" applyFill="1" applyBorder="1"/>
    <xf numFmtId="0" fontId="0" fillId="0" borderId="6" xfId="0" applyBorder="1" applyAlignment="1">
      <alignment wrapText="1"/>
    </xf>
    <xf numFmtId="0" fontId="0" fillId="0" borderId="25" xfId="0" applyBorder="1" applyAlignment="1">
      <alignment wrapText="1"/>
    </xf>
    <xf numFmtId="0" fontId="0" fillId="0" borderId="1" xfId="0" applyBorder="1" applyAlignment="1">
      <alignment wrapText="1"/>
    </xf>
    <xf numFmtId="0" fontId="0" fillId="0" borderId="5" xfId="0" applyBorder="1" applyAlignment="1">
      <alignment wrapText="1"/>
    </xf>
    <xf numFmtId="0" fontId="6" fillId="2" borderId="48" xfId="0" applyFont="1" applyFill="1" applyBorder="1"/>
    <xf numFmtId="0" fontId="0" fillId="0" borderId="0" xfId="0" applyAlignment="1">
      <alignment vertical="top" wrapText="1"/>
    </xf>
    <xf numFmtId="0" fontId="0" fillId="0" borderId="0" xfId="0" quotePrefix="1" applyAlignment="1">
      <alignment vertical="top" wrapText="1"/>
    </xf>
    <xf numFmtId="0" fontId="2" fillId="11" borderId="62" xfId="0" applyFont="1" applyFill="1" applyBorder="1"/>
    <xf numFmtId="0" fontId="0" fillId="0" borderId="2" xfId="0" quotePrefix="1" applyBorder="1"/>
    <xf numFmtId="164" fontId="12" fillId="0" borderId="0" xfId="0" applyNumberFormat="1" applyFont="1"/>
    <xf numFmtId="164" fontId="0" fillId="13" borderId="60" xfId="0" applyNumberFormat="1" applyFill="1" applyBorder="1" applyAlignment="1">
      <alignment wrapText="1"/>
    </xf>
    <xf numFmtId="0" fontId="4" fillId="0" borderId="20" xfId="0" applyFont="1" applyBorder="1"/>
    <xf numFmtId="0" fontId="12" fillId="0" borderId="0" xfId="0" applyFont="1" applyAlignment="1">
      <alignment vertical="top" wrapText="1"/>
    </xf>
    <xf numFmtId="0" fontId="0" fillId="0" borderId="0" xfId="0" applyAlignment="1">
      <alignment horizontal="left" vertical="top" wrapText="1"/>
    </xf>
    <xf numFmtId="0" fontId="0" fillId="3" borderId="0" xfId="0" quotePrefix="1" applyFill="1"/>
    <xf numFmtId="164" fontId="5" fillId="0" borderId="0" xfId="0" applyNumberFormat="1" applyFont="1"/>
    <xf numFmtId="1" fontId="5" fillId="0" borderId="0" xfId="0" applyNumberFormat="1" applyFont="1"/>
    <xf numFmtId="2" fontId="5" fillId="0" borderId="0" xfId="0" applyNumberFormat="1" applyFont="1"/>
    <xf numFmtId="0" fontId="5" fillId="0" borderId="0" xfId="0" applyFont="1" applyAlignment="1">
      <alignment wrapText="1"/>
    </xf>
    <xf numFmtId="14" fontId="5" fillId="0" borderId="0" xfId="0" applyNumberFormat="1" applyFont="1"/>
    <xf numFmtId="0" fontId="0" fillId="0" borderId="63" xfId="0" applyBorder="1" applyAlignment="1">
      <alignment wrapText="1"/>
    </xf>
    <xf numFmtId="0" fontId="0" fillId="2" borderId="0" xfId="0" applyFill="1" applyAlignment="1">
      <alignment wrapText="1"/>
    </xf>
    <xf numFmtId="14" fontId="6" fillId="2" borderId="6" xfId="0" applyNumberFormat="1" applyFont="1" applyFill="1" applyBorder="1" applyAlignment="1">
      <alignment wrapText="1"/>
    </xf>
    <xf numFmtId="49" fontId="6" fillId="2" borderId="6" xfId="0" applyNumberFormat="1" applyFont="1" applyFill="1" applyBorder="1" applyAlignment="1">
      <alignment wrapText="1"/>
    </xf>
    <xf numFmtId="164" fontId="6" fillId="2" borderId="6" xfId="0" applyNumberFormat="1" applyFont="1" applyFill="1" applyBorder="1" applyAlignment="1">
      <alignment wrapText="1"/>
    </xf>
    <xf numFmtId="1" fontId="6" fillId="2" borderId="6" xfId="0" applyNumberFormat="1" applyFont="1" applyFill="1" applyBorder="1" applyAlignment="1">
      <alignment wrapText="1"/>
    </xf>
    <xf numFmtId="2" fontId="6" fillId="2" borderId="6" xfId="0" applyNumberFormat="1" applyFont="1" applyFill="1" applyBorder="1" applyAlignment="1">
      <alignment wrapText="1"/>
    </xf>
    <xf numFmtId="0" fontId="0" fillId="0" borderId="16" xfId="0" applyBorder="1"/>
    <xf numFmtId="0" fontId="0" fillId="0" borderId="15" xfId="0" applyBorder="1"/>
    <xf numFmtId="0" fontId="0" fillId="0" borderId="14" xfId="0" applyBorder="1"/>
    <xf numFmtId="0" fontId="2" fillId="11" borderId="10" xfId="0" applyFont="1" applyFill="1" applyBorder="1" applyAlignment="1">
      <alignment horizontal="center" vertical="center"/>
    </xf>
    <xf numFmtId="0" fontId="2" fillId="11" borderId="9" xfId="0" applyFont="1" applyFill="1" applyBorder="1" applyAlignment="1">
      <alignment horizontal="center" vertical="center"/>
    </xf>
    <xf numFmtId="0" fontId="0" fillId="12" borderId="17" xfId="0" applyFill="1" applyBorder="1" applyAlignment="1">
      <alignment vertical="top" wrapText="1"/>
    </xf>
    <xf numFmtId="0" fontId="0" fillId="12" borderId="64" xfId="0" applyFill="1" applyBorder="1"/>
    <xf numFmtId="0" fontId="0" fillId="0" borderId="18" xfId="0" applyBorder="1" applyAlignment="1">
      <alignment vertical="top" wrapText="1"/>
    </xf>
    <xf numFmtId="0" fontId="0" fillId="0" borderId="65" xfId="0" applyBorder="1"/>
    <xf numFmtId="0" fontId="0" fillId="12" borderId="18" xfId="0" applyFill="1" applyBorder="1" applyAlignment="1">
      <alignment vertical="top" wrapText="1"/>
    </xf>
    <xf numFmtId="0" fontId="0" fillId="12" borderId="65" xfId="0" applyFill="1" applyBorder="1"/>
    <xf numFmtId="0" fontId="0" fillId="0" borderId="19" xfId="0" applyBorder="1" applyAlignment="1">
      <alignment vertical="top" wrapText="1"/>
    </xf>
    <xf numFmtId="0" fontId="0" fillId="12" borderId="19" xfId="0" applyFill="1" applyBorder="1" applyAlignment="1">
      <alignment vertical="top" wrapText="1"/>
    </xf>
    <xf numFmtId="0" fontId="0" fillId="12" borderId="65" xfId="0" applyFill="1" applyBorder="1" applyAlignment="1">
      <alignment vertical="top" wrapText="1"/>
    </xf>
    <xf numFmtId="0" fontId="0" fillId="0" borderId="65" xfId="0" applyBorder="1" applyAlignment="1">
      <alignment vertical="top" wrapText="1"/>
    </xf>
    <xf numFmtId="0" fontId="2" fillId="11" borderId="11" xfId="0" applyFont="1" applyFill="1" applyBorder="1" applyAlignment="1">
      <alignment horizontal="center" vertical="center"/>
    </xf>
    <xf numFmtId="0" fontId="0" fillId="0" borderId="0" xfId="0" quotePrefix="1" applyAlignment="1">
      <alignment wrapText="1"/>
    </xf>
    <xf numFmtId="0" fontId="6" fillId="2" borderId="4" xfId="0" applyFont="1" applyFill="1" applyBorder="1"/>
    <xf numFmtId="164" fontId="8" fillId="0" borderId="0" xfId="0" applyNumberFormat="1" applyFont="1"/>
    <xf numFmtId="164" fontId="0" fillId="6" borderId="0" xfId="0" applyNumberFormat="1" applyFill="1"/>
    <xf numFmtId="164" fontId="0" fillId="7" borderId="0" xfId="0" applyNumberFormat="1" applyFill="1"/>
    <xf numFmtId="164" fontId="0" fillId="4" borderId="0" xfId="0" applyNumberFormat="1" applyFill="1"/>
    <xf numFmtId="164" fontId="0" fillId="0" borderId="0" xfId="1" applyNumberFormat="1" applyFont="1"/>
    <xf numFmtId="164" fontId="0" fillId="3" borderId="0" xfId="3" applyNumberFormat="1" applyFont="1" applyFill="1"/>
    <xf numFmtId="164" fontId="0" fillId="0" borderId="0" xfId="3" applyNumberFormat="1" applyFont="1"/>
    <xf numFmtId="164" fontId="0" fillId="9" borderId="0" xfId="0" applyNumberFormat="1" applyFill="1"/>
    <xf numFmtId="0" fontId="6" fillId="2" borderId="6" xfId="0" applyFont="1" applyFill="1" applyBorder="1" applyAlignment="1">
      <alignment wrapText="1"/>
    </xf>
    <xf numFmtId="14" fontId="0" fillId="3" borderId="5" xfId="0" applyNumberFormat="1" applyFill="1" applyBorder="1"/>
    <xf numFmtId="49" fontId="0" fillId="3" borderId="6" xfId="0" applyNumberFormat="1" applyFill="1" applyBorder="1"/>
    <xf numFmtId="14" fontId="0" fillId="3" borderId="6" xfId="0" applyNumberFormat="1" applyFill="1" applyBorder="1"/>
    <xf numFmtId="14" fontId="0" fillId="3" borderId="2" xfId="0" applyNumberFormat="1" applyFill="1" applyBorder="1"/>
    <xf numFmtId="164" fontId="3" fillId="3" borderId="6" xfId="0" applyNumberFormat="1" applyFont="1" applyFill="1" applyBorder="1"/>
    <xf numFmtId="1" fontId="3" fillId="3" borderId="6" xfId="0" applyNumberFormat="1" applyFont="1" applyFill="1" applyBorder="1"/>
    <xf numFmtId="2" fontId="3" fillId="3" borderId="6" xfId="0" applyNumberFormat="1" applyFont="1" applyFill="1" applyBorder="1"/>
    <xf numFmtId="164" fontId="3" fillId="3" borderId="7" xfId="0" applyNumberFormat="1" applyFont="1" applyFill="1" applyBorder="1"/>
    <xf numFmtId="1" fontId="3" fillId="3" borderId="0" xfId="0" applyNumberFormat="1" applyFont="1" applyFill="1"/>
    <xf numFmtId="1" fontId="7" fillId="3" borderId="0" xfId="0" applyNumberFormat="1" applyFont="1" applyFill="1"/>
    <xf numFmtId="49" fontId="7" fillId="3" borderId="0" xfId="0" quotePrefix="1" applyNumberFormat="1" applyFont="1" applyFill="1"/>
    <xf numFmtId="164" fontId="0" fillId="3" borderId="0" xfId="2" applyNumberFormat="1" applyFont="1" applyFill="1"/>
    <xf numFmtId="0" fontId="0" fillId="0" borderId="23" xfId="0" applyBorder="1"/>
    <xf numFmtId="0" fontId="0" fillId="0" borderId="26" xfId="0" applyBorder="1"/>
    <xf numFmtId="0" fontId="0" fillId="0" borderId="23" xfId="0" applyBorder="1" applyAlignment="1">
      <alignment horizontal="right"/>
    </xf>
    <xf numFmtId="2" fontId="0" fillId="0" borderId="40" xfId="0" applyNumberFormat="1" applyBorder="1"/>
    <xf numFmtId="2" fontId="0" fillId="0" borderId="35" xfId="0" applyNumberFormat="1" applyBorder="1"/>
    <xf numFmtId="2" fontId="0" fillId="18" borderId="56" xfId="0" applyNumberFormat="1" applyFill="1" applyBorder="1"/>
    <xf numFmtId="0" fontId="4" fillId="0" borderId="21" xfId="0" applyFont="1" applyBorder="1" applyAlignment="1">
      <alignment horizontal="left" vertical="top"/>
    </xf>
    <xf numFmtId="0" fontId="4" fillId="18" borderId="49" xfId="0" applyFont="1" applyFill="1" applyBorder="1"/>
    <xf numFmtId="0" fontId="4" fillId="14" borderId="21" xfId="0" applyFont="1" applyFill="1" applyBorder="1"/>
    <xf numFmtId="0" fontId="4" fillId="13" borderId="39" xfId="0" applyFont="1" applyFill="1" applyBorder="1"/>
    <xf numFmtId="0" fontId="4" fillId="0" borderId="24" xfId="0" applyFont="1" applyBorder="1"/>
    <xf numFmtId="0" fontId="4" fillId="6" borderId="21" xfId="0" applyFont="1" applyFill="1" applyBorder="1"/>
    <xf numFmtId="0" fontId="4" fillId="6" borderId="24" xfId="0" applyFont="1" applyFill="1" applyBorder="1"/>
    <xf numFmtId="0" fontId="4" fillId="0" borderId="21" xfId="0" applyFont="1" applyBorder="1"/>
    <xf numFmtId="2" fontId="0" fillId="13" borderId="40" xfId="0" applyNumberFormat="1" applyFill="1" applyBorder="1"/>
    <xf numFmtId="2" fontId="0" fillId="0" borderId="23" xfId="0" applyNumberFormat="1" applyBorder="1" applyAlignment="1">
      <alignment horizontal="right"/>
    </xf>
    <xf numFmtId="2" fontId="0" fillId="0" borderId="26" xfId="0" applyNumberFormat="1" applyBorder="1"/>
    <xf numFmtId="2" fontId="0" fillId="14" borderId="23" xfId="0" applyNumberFormat="1" applyFill="1" applyBorder="1"/>
    <xf numFmtId="2" fontId="0" fillId="6" borderId="23" xfId="0" applyNumberFormat="1" applyFill="1" applyBorder="1"/>
    <xf numFmtId="2" fontId="0" fillId="6" borderId="26" xfId="0" applyNumberFormat="1" applyFill="1" applyBorder="1"/>
    <xf numFmtId="2" fontId="0" fillId="0" borderId="23" xfId="0" applyNumberFormat="1" applyBorder="1"/>
    <xf numFmtId="0" fontId="0" fillId="3" borderId="6" xfId="0" applyFill="1" applyBorder="1"/>
    <xf numFmtId="164" fontId="0" fillId="0" borderId="9" xfId="0" applyNumberFormat="1" applyBorder="1"/>
    <xf numFmtId="2" fontId="0" fillId="0" borderId="9" xfId="0" applyNumberFormat="1" applyBorder="1"/>
    <xf numFmtId="2" fontId="0" fillId="0" borderId="11" xfId="0" applyNumberFormat="1" applyBorder="1"/>
    <xf numFmtId="2" fontId="0" fillId="0" borderId="2" xfId="0" applyNumberFormat="1" applyBorder="1"/>
    <xf numFmtId="10" fontId="0" fillId="0" borderId="0" xfId="0" applyNumberFormat="1"/>
    <xf numFmtId="1" fontId="0" fillId="0" borderId="22" xfId="0" applyNumberFormat="1" applyBorder="1"/>
    <xf numFmtId="1" fontId="0" fillId="0" borderId="23" xfId="0" applyNumberFormat="1" applyBorder="1"/>
    <xf numFmtId="10" fontId="0" fillId="0" borderId="25" xfId="0" applyNumberFormat="1" applyBorder="1"/>
    <xf numFmtId="14" fontId="0" fillId="0" borderId="39" xfId="0" quotePrefix="1" applyNumberFormat="1" applyBorder="1"/>
    <xf numFmtId="0" fontId="0" fillId="0" borderId="0" xfId="0" applyAlignment="1">
      <alignment wrapText="1"/>
    </xf>
    <xf numFmtId="14" fontId="0" fillId="0" borderId="0" xfId="0" applyNumberFormat="1" applyAlignment="1">
      <alignment wrapText="1"/>
    </xf>
    <xf numFmtId="0" fontId="0" fillId="15" borderId="48" xfId="0" applyFill="1" applyBorder="1"/>
    <xf numFmtId="0" fontId="0" fillId="15" borderId="51" xfId="0" applyFill="1" applyBorder="1"/>
    <xf numFmtId="0" fontId="0" fillId="15" borderId="38" xfId="0" applyFill="1" applyBorder="1"/>
    <xf numFmtId="0" fontId="0" fillId="3" borderId="40" xfId="0" applyFill="1" applyBorder="1"/>
    <xf numFmtId="14" fontId="19" fillId="16" borderId="52" xfId="0" applyNumberFormat="1" applyFont="1" applyFill="1" applyBorder="1" applyAlignment="1">
      <alignment vertical="top" wrapText="1"/>
    </xf>
    <xf numFmtId="0" fontId="19" fillId="16" borderId="52" xfId="0" applyFont="1" applyFill="1" applyBorder="1" applyAlignment="1">
      <alignment vertical="top" wrapText="1"/>
    </xf>
    <xf numFmtId="0" fontId="0" fillId="0" borderId="39" xfId="0" applyBorder="1" applyAlignment="1">
      <alignment wrapText="1"/>
    </xf>
    <xf numFmtId="0" fontId="0" fillId="3" borderId="40" xfId="0" applyFill="1" applyBorder="1" applyAlignment="1">
      <alignment wrapText="1"/>
    </xf>
    <xf numFmtId="0" fontId="0" fillId="0" borderId="46" xfId="0" applyBorder="1" applyAlignment="1">
      <alignment wrapText="1"/>
    </xf>
    <xf numFmtId="0" fontId="0" fillId="3" borderId="47" xfId="0" applyFill="1" applyBorder="1" applyAlignment="1">
      <alignment wrapText="1"/>
    </xf>
    <xf numFmtId="0" fontId="4" fillId="0" borderId="33" xfId="0" applyFont="1" applyBorder="1" applyAlignment="1">
      <alignment vertical="top"/>
    </xf>
    <xf numFmtId="0" fontId="4" fillId="0" borderId="34" xfId="0" applyFont="1" applyBorder="1" applyAlignment="1">
      <alignment wrapText="1"/>
    </xf>
    <xf numFmtId="0" fontId="4" fillId="0" borderId="34" xfId="0" applyFont="1" applyBorder="1" applyAlignment="1">
      <alignment horizontal="center" vertical="top"/>
    </xf>
    <xf numFmtId="0" fontId="4" fillId="0" borderId="35" xfId="0" applyFont="1" applyBorder="1" applyAlignment="1">
      <alignment horizontal="center" vertical="top"/>
    </xf>
    <xf numFmtId="2" fontId="0" fillId="3" borderId="6" xfId="0" applyNumberFormat="1" applyFill="1" applyBorder="1"/>
    <xf numFmtId="0" fontId="0" fillId="0" borderId="39" xfId="0" applyBorder="1" applyAlignment="1">
      <alignment horizontal="center"/>
    </xf>
    <xf numFmtId="0" fontId="0" fillId="0" borderId="6" xfId="0" applyBorder="1" applyAlignment="1">
      <alignment horizontal="center"/>
    </xf>
    <xf numFmtId="0" fontId="0" fillId="0" borderId="40" xfId="0" applyBorder="1" applyAlignment="1">
      <alignment horizontal="center"/>
    </xf>
    <xf numFmtId="0" fontId="0" fillId="0" borderId="46" xfId="0" applyBorder="1" applyAlignment="1">
      <alignment horizontal="center"/>
    </xf>
    <xf numFmtId="0" fontId="0" fillId="0" borderId="9" xfId="0" applyBorder="1" applyAlignment="1">
      <alignment horizontal="center"/>
    </xf>
    <xf numFmtId="0" fontId="0" fillId="0" borderId="47" xfId="0" applyBorder="1" applyAlignment="1">
      <alignment horizontal="center"/>
    </xf>
    <xf numFmtId="14" fontId="9" fillId="0" borderId="27" xfId="0" applyNumberFormat="1" applyFont="1" applyBorder="1" applyAlignment="1">
      <alignment horizontal="center" wrapText="1"/>
    </xf>
    <xf numFmtId="14" fontId="9" fillId="0" borderId="28" xfId="0" applyNumberFormat="1" applyFont="1" applyBorder="1" applyAlignment="1">
      <alignment horizontal="center" wrapText="1"/>
    </xf>
    <xf numFmtId="14" fontId="9" fillId="0" borderId="30" xfId="0" applyNumberFormat="1" applyFont="1" applyBorder="1" applyAlignment="1">
      <alignment horizontal="center" wrapText="1"/>
    </xf>
    <xf numFmtId="14" fontId="9" fillId="0" borderId="31" xfId="0" applyNumberFormat="1" applyFont="1" applyBorder="1" applyAlignment="1">
      <alignment horizontal="center" wrapText="1"/>
    </xf>
    <xf numFmtId="14" fontId="9" fillId="0" borderId="0" xfId="0" applyNumberFormat="1" applyFont="1" applyAlignment="1">
      <alignment horizontal="center" wrapText="1"/>
    </xf>
    <xf numFmtId="14" fontId="9" fillId="0" borderId="29" xfId="0" applyNumberFormat="1" applyFont="1" applyBorder="1" applyAlignment="1">
      <alignment horizontal="center" wrapText="1"/>
    </xf>
    <xf numFmtId="14" fontId="9" fillId="0" borderId="36" xfId="0" applyNumberFormat="1" applyFont="1" applyBorder="1" applyAlignment="1">
      <alignment horizontal="center" wrapText="1"/>
    </xf>
    <xf numFmtId="14" fontId="9" fillId="0" borderId="37" xfId="0" applyNumberFormat="1" applyFont="1" applyBorder="1" applyAlignment="1">
      <alignment horizontal="center" wrapText="1"/>
    </xf>
    <xf numFmtId="0" fontId="0" fillId="0" borderId="48" xfId="0" applyBorder="1" applyAlignment="1">
      <alignment horizontal="left" vertical="top" wrapText="1"/>
    </xf>
    <xf numFmtId="0" fontId="0" fillId="0" borderId="51" xfId="0" applyBorder="1" applyAlignment="1">
      <alignment horizontal="left" vertical="top" wrapText="1"/>
    </xf>
    <xf numFmtId="0" fontId="0" fillId="0" borderId="38" xfId="0" applyBorder="1" applyAlignment="1">
      <alignment horizontal="left" vertical="top" wrapText="1"/>
    </xf>
    <xf numFmtId="0" fontId="4" fillId="0" borderId="3" xfId="0" applyFont="1" applyBorder="1" applyAlignment="1">
      <alignment horizontal="center"/>
    </xf>
    <xf numFmtId="0" fontId="4" fillId="0" borderId="4" xfId="0" applyFont="1" applyBorder="1" applyAlignment="1">
      <alignment horizontal="center"/>
    </xf>
    <xf numFmtId="0" fontId="4" fillId="0" borderId="50" xfId="0" applyFont="1" applyBorder="1" applyAlignment="1">
      <alignment horizontal="center"/>
    </xf>
    <xf numFmtId="0" fontId="14" fillId="0" borderId="27" xfId="0" applyFont="1"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6" xfId="0" applyBorder="1" applyAlignment="1">
      <alignment horizontal="center"/>
    </xf>
    <xf numFmtId="0" fontId="0" fillId="0" borderId="0" xfId="0" applyAlignment="1">
      <alignment horizontal="center"/>
    </xf>
    <xf numFmtId="0" fontId="0" fillId="0" borderId="37"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11" fillId="0" borderId="27" xfId="0" applyFont="1" applyBorder="1" applyAlignment="1">
      <alignment horizontal="center"/>
    </xf>
    <xf numFmtId="0" fontId="11" fillId="0" borderId="28" xfId="0" applyFont="1" applyBorder="1" applyAlignment="1">
      <alignment horizontal="center"/>
    </xf>
    <xf numFmtId="0" fontId="11" fillId="0" borderId="29" xfId="0" applyFont="1" applyBorder="1" applyAlignment="1">
      <alignment horizontal="center"/>
    </xf>
    <xf numFmtId="0" fontId="11" fillId="0" borderId="30" xfId="0" applyFont="1" applyBorder="1" applyAlignment="1">
      <alignment horizontal="center"/>
    </xf>
    <xf numFmtId="0" fontId="11" fillId="0" borderId="31" xfId="0" applyFont="1" applyBorder="1" applyAlignment="1">
      <alignment horizontal="center"/>
    </xf>
    <xf numFmtId="0" fontId="11" fillId="0" borderId="32" xfId="0" applyFont="1" applyBorder="1" applyAlignment="1">
      <alignment horizontal="center"/>
    </xf>
    <xf numFmtId="0" fontId="8" fillId="0" borderId="27" xfId="0" applyFont="1" applyBorder="1" applyAlignment="1">
      <alignment horizontal="center" wrapText="1"/>
    </xf>
    <xf numFmtId="0" fontId="8" fillId="0" borderId="28" xfId="0" applyFont="1" applyBorder="1" applyAlignment="1">
      <alignment horizontal="center" wrapText="1"/>
    </xf>
    <xf numFmtId="0" fontId="8" fillId="0" borderId="29" xfId="0" applyFont="1" applyBorder="1" applyAlignment="1">
      <alignment horizontal="center" wrapText="1"/>
    </xf>
    <xf numFmtId="0" fontId="8" fillId="0" borderId="36" xfId="0" applyFont="1" applyBorder="1" applyAlignment="1">
      <alignment horizontal="center" wrapText="1"/>
    </xf>
    <xf numFmtId="0" fontId="8" fillId="0" borderId="0" xfId="0" applyFont="1" applyAlignment="1">
      <alignment horizontal="center" wrapText="1"/>
    </xf>
    <xf numFmtId="0" fontId="8" fillId="0" borderId="37" xfId="0" applyFont="1" applyBorder="1" applyAlignment="1">
      <alignment horizontal="center" wrapText="1"/>
    </xf>
    <xf numFmtId="0" fontId="11" fillId="0" borderId="21" xfId="0" applyFont="1" applyBorder="1" applyAlignment="1">
      <alignment horizontal="center"/>
    </xf>
    <xf numFmtId="0" fontId="11" fillId="0" borderId="22" xfId="0" applyFont="1" applyBorder="1" applyAlignment="1">
      <alignment horizontal="center"/>
    </xf>
    <xf numFmtId="0" fontId="11" fillId="0" borderId="23" xfId="0" applyFont="1" applyBorder="1" applyAlignment="1">
      <alignment horizontal="center"/>
    </xf>
    <xf numFmtId="0" fontId="11" fillId="0" borderId="24" xfId="0" applyFont="1" applyBorder="1" applyAlignment="1">
      <alignment horizontal="center"/>
    </xf>
    <xf numFmtId="0" fontId="11" fillId="0" borderId="25" xfId="0" applyFont="1" applyBorder="1" applyAlignment="1">
      <alignment horizontal="center"/>
    </xf>
    <xf numFmtId="0" fontId="11" fillId="0" borderId="26" xfId="0" applyFont="1" applyBorder="1" applyAlignment="1">
      <alignment horizontal="center"/>
    </xf>
    <xf numFmtId="0" fontId="15" fillId="0" borderId="27" xfId="0" applyFont="1" applyBorder="1" applyAlignment="1">
      <alignment horizontal="center"/>
    </xf>
    <xf numFmtId="0" fontId="0" fillId="7" borderId="0" xfId="0" applyFill="1" applyAlignment="1">
      <alignment horizontal="center"/>
    </xf>
    <xf numFmtId="0" fontId="4" fillId="0" borderId="33" xfId="0" applyFont="1" applyBorder="1" applyAlignment="1">
      <alignment horizontal="center"/>
    </xf>
    <xf numFmtId="0" fontId="4" fillId="0" borderId="34" xfId="0" applyFont="1" applyBorder="1" applyAlignment="1">
      <alignment horizontal="center"/>
    </xf>
    <xf numFmtId="0" fontId="4" fillId="0" borderId="35" xfId="0" applyFont="1" applyBorder="1" applyAlignment="1">
      <alignment horizontal="center"/>
    </xf>
    <xf numFmtId="0" fontId="4" fillId="0" borderId="39" xfId="0" applyFont="1" applyBorder="1" applyAlignment="1">
      <alignment horizontal="center"/>
    </xf>
    <xf numFmtId="0" fontId="4" fillId="0" borderId="40" xfId="0" applyFont="1" applyBorder="1" applyAlignment="1">
      <alignment horizontal="center"/>
    </xf>
    <xf numFmtId="0" fontId="16" fillId="0" borderId="66" xfId="0" applyFont="1" applyBorder="1" applyAlignment="1">
      <alignment horizontal="center" vertical="center" wrapText="1"/>
    </xf>
    <xf numFmtId="0" fontId="16" fillId="0" borderId="67" xfId="0" applyFont="1" applyBorder="1" applyAlignment="1">
      <alignment horizontal="center" vertical="center" wrapText="1"/>
    </xf>
    <xf numFmtId="0" fontId="4" fillId="0" borderId="21" xfId="0" applyFont="1" applyBorder="1" applyAlignment="1">
      <alignment horizontal="center"/>
    </xf>
    <xf numFmtId="0" fontId="4" fillId="0" borderId="23" xfId="0" applyFont="1" applyBorder="1" applyAlignment="1">
      <alignment horizontal="center"/>
    </xf>
    <xf numFmtId="0" fontId="0" fillId="3" borderId="39" xfId="0" applyFill="1" applyBorder="1" applyAlignment="1">
      <alignment horizontal="center"/>
    </xf>
    <xf numFmtId="0" fontId="0" fillId="3" borderId="40" xfId="0" applyFill="1" applyBorder="1" applyAlignment="1">
      <alignment horizontal="center"/>
    </xf>
    <xf numFmtId="0" fontId="20" fillId="0" borderId="27" xfId="0" applyFont="1" applyBorder="1" applyAlignment="1">
      <alignment horizontal="center" vertical="top" wrapText="1"/>
    </xf>
    <xf numFmtId="0" fontId="20" fillId="0" borderId="28" xfId="0" applyFont="1" applyBorder="1" applyAlignment="1">
      <alignment horizontal="center" vertical="top" wrapText="1"/>
    </xf>
    <xf numFmtId="0" fontId="20" fillId="0" borderId="29" xfId="0" applyFont="1" applyBorder="1" applyAlignment="1">
      <alignment horizontal="center" vertical="top" wrapText="1"/>
    </xf>
    <xf numFmtId="0" fontId="20" fillId="0" borderId="36" xfId="0" applyFont="1" applyBorder="1" applyAlignment="1">
      <alignment horizontal="center" vertical="top" wrapText="1"/>
    </xf>
    <xf numFmtId="0" fontId="20" fillId="0" borderId="0" xfId="0" applyFont="1" applyAlignment="1">
      <alignment horizontal="center" vertical="top" wrapText="1"/>
    </xf>
    <xf numFmtId="0" fontId="20" fillId="0" borderId="37" xfId="0" applyFont="1" applyBorder="1" applyAlignment="1">
      <alignment horizontal="center" vertical="top" wrapText="1"/>
    </xf>
    <xf numFmtId="0" fontId="20" fillId="0" borderId="27" xfId="0" applyFont="1" applyBorder="1" applyAlignment="1">
      <alignment horizontal="left" vertical="top" wrapText="1"/>
    </xf>
    <xf numFmtId="0" fontId="20" fillId="0" borderId="28" xfId="0" applyFont="1" applyBorder="1" applyAlignment="1">
      <alignment horizontal="left" vertical="top" wrapText="1"/>
    </xf>
    <xf numFmtId="0" fontId="20" fillId="0" borderId="29" xfId="0" applyFont="1" applyBorder="1" applyAlignment="1">
      <alignment horizontal="left" vertical="top" wrapText="1"/>
    </xf>
    <xf numFmtId="0" fontId="20" fillId="0" borderId="30" xfId="0" applyFont="1" applyBorder="1" applyAlignment="1">
      <alignment horizontal="left" vertical="top" wrapText="1"/>
    </xf>
    <xf numFmtId="0" fontId="20" fillId="0" borderId="31" xfId="0" applyFont="1" applyBorder="1" applyAlignment="1">
      <alignment horizontal="left" vertical="top" wrapText="1"/>
    </xf>
    <xf numFmtId="0" fontId="20" fillId="0" borderId="32" xfId="0" applyFont="1" applyBorder="1" applyAlignment="1">
      <alignment horizontal="left" vertical="top" wrapText="1"/>
    </xf>
    <xf numFmtId="0" fontId="4" fillId="0" borderId="66" xfId="0" applyFont="1" applyBorder="1" applyAlignment="1">
      <alignment horizontal="center"/>
    </xf>
    <xf numFmtId="0" fontId="4" fillId="0" borderId="67" xfId="0" applyFont="1" applyBorder="1" applyAlignment="1">
      <alignment horizontal="center"/>
    </xf>
    <xf numFmtId="0" fontId="17" fillId="0" borderId="39" xfId="0" applyFont="1" applyBorder="1" applyAlignment="1">
      <alignment horizontal="left" vertical="top" wrapText="1"/>
    </xf>
    <xf numFmtId="0" fontId="17" fillId="0" borderId="24" xfId="0" applyFont="1" applyBorder="1" applyAlignment="1">
      <alignment horizontal="left" vertical="top" wrapText="1"/>
    </xf>
    <xf numFmtId="0" fontId="0" fillId="3" borderId="24" xfId="0" applyFill="1" applyBorder="1" applyAlignment="1">
      <alignment horizontal="center"/>
    </xf>
    <xf numFmtId="0" fontId="0" fillId="3" borderId="26" xfId="0" applyFill="1" applyBorder="1" applyAlignment="1">
      <alignment horizontal="center"/>
    </xf>
    <xf numFmtId="0" fontId="0" fillId="3" borderId="6" xfId="0" applyFill="1" applyBorder="1" applyAlignment="1">
      <alignment horizontal="center"/>
    </xf>
    <xf numFmtId="164" fontId="18" fillId="0" borderId="27" xfId="0" applyNumberFormat="1" applyFont="1" applyBorder="1" applyAlignment="1">
      <alignment horizontal="center" wrapText="1"/>
    </xf>
    <xf numFmtId="164" fontId="18" fillId="0" borderId="28" xfId="0" applyNumberFormat="1" applyFont="1" applyBorder="1" applyAlignment="1">
      <alignment horizontal="center" wrapText="1"/>
    </xf>
    <xf numFmtId="164" fontId="18" fillId="0" borderId="29" xfId="0" applyNumberFormat="1" applyFont="1" applyBorder="1" applyAlignment="1">
      <alignment horizontal="center" wrapText="1"/>
    </xf>
    <xf numFmtId="164" fontId="18" fillId="0" borderId="30" xfId="0" applyNumberFormat="1" applyFont="1" applyBorder="1" applyAlignment="1">
      <alignment horizontal="center" wrapText="1"/>
    </xf>
    <xf numFmtId="164" fontId="18" fillId="0" borderId="31" xfId="0" applyNumberFormat="1" applyFont="1" applyBorder="1" applyAlignment="1">
      <alignment horizontal="center" wrapText="1"/>
    </xf>
    <xf numFmtId="164" fontId="18" fillId="0" borderId="32" xfId="0" applyNumberFormat="1" applyFont="1" applyBorder="1" applyAlignment="1">
      <alignment horizontal="center" wrapText="1"/>
    </xf>
    <xf numFmtId="0" fontId="0" fillId="0" borderId="2" xfId="0" applyBorder="1" applyAlignment="1">
      <alignment horizontal="right"/>
    </xf>
    <xf numFmtId="0" fontId="11" fillId="0" borderId="36" xfId="0" applyFont="1" applyBorder="1" applyAlignment="1">
      <alignment horizontal="center" vertical="center" wrapText="1"/>
    </xf>
    <xf numFmtId="0" fontId="0" fillId="0" borderId="0" xfId="0" applyAlignment="1">
      <alignment horizontal="center" vertical="center" wrapText="1"/>
    </xf>
    <xf numFmtId="0" fontId="0" fillId="0" borderId="37" xfId="0" applyBorder="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4" fillId="0" borderId="68" xfId="0" applyFont="1" applyBorder="1" applyAlignment="1">
      <alignment horizontal="center"/>
    </xf>
  </cellXfs>
  <cellStyles count="4">
    <cellStyle name="Comma" xfId="1" builtinId="3"/>
    <cellStyle name="Currency" xfId="2" builtinId="4"/>
    <cellStyle name="Normal" xfId="0" builtinId="0"/>
    <cellStyle name="Percent" xfId="3" builtinId="5"/>
  </cellStyles>
  <dxfs count="74">
    <dxf>
      <fill>
        <patternFill>
          <bgColor theme="9" tint="0.79998168889431442"/>
        </patternFill>
      </fill>
    </dxf>
    <dxf>
      <fill>
        <patternFill>
          <bgColor theme="7" tint="0.79998168889431442"/>
        </patternFill>
      </fill>
    </dxf>
    <dxf>
      <fill>
        <patternFill>
          <bgColor rgb="FFFFCCCC"/>
        </patternFill>
      </fill>
    </dxf>
    <dxf>
      <fill>
        <patternFill>
          <bgColor theme="0"/>
        </patternFill>
      </fill>
    </dxf>
    <dxf>
      <fill>
        <patternFill>
          <bgColor rgb="FFFFCCCC"/>
        </patternFill>
      </fill>
    </dxf>
    <dxf>
      <fill>
        <patternFill>
          <bgColor theme="9" tint="0.79998168889431442"/>
        </patternFill>
      </fill>
    </dxf>
    <dxf>
      <fill>
        <patternFill>
          <bgColor theme="9" tint="0.79998168889431442"/>
        </patternFill>
      </fill>
    </dxf>
    <dxf>
      <fill>
        <patternFill>
          <bgColor rgb="FFFFCCCC"/>
        </patternFill>
      </fill>
    </dxf>
    <dxf>
      <font>
        <color rgb="FFFF0000"/>
      </font>
    </dxf>
    <dxf>
      <font>
        <color rgb="FFFF0000"/>
      </font>
    </dxf>
    <dxf>
      <fill>
        <patternFill>
          <bgColor theme="9" tint="0.79998168889431442"/>
        </patternFill>
      </fill>
    </dxf>
    <dxf>
      <fill>
        <patternFill>
          <bgColor theme="7" tint="0.79998168889431442"/>
        </patternFill>
      </fill>
    </dxf>
    <dxf>
      <fill>
        <patternFill>
          <bgColor rgb="FFFFCCCC"/>
        </patternFill>
      </fill>
    </dxf>
    <dxf>
      <fill>
        <patternFill>
          <bgColor theme="0"/>
        </patternFill>
      </fill>
    </dxf>
    <dxf>
      <fill>
        <patternFill>
          <bgColor rgb="FFFFCCCC"/>
        </patternFill>
      </fill>
    </dxf>
    <dxf>
      <fill>
        <patternFill>
          <bgColor theme="9" tint="0.79998168889431442"/>
        </patternFill>
      </fill>
    </dxf>
    <dxf>
      <fill>
        <patternFill>
          <bgColor theme="0"/>
        </patternFill>
      </fill>
    </dxf>
    <dxf>
      <fill>
        <patternFill>
          <bgColor theme="7" tint="0.79998168889431442"/>
        </patternFill>
      </fill>
    </dxf>
    <dxf>
      <fill>
        <patternFill>
          <bgColor theme="9" tint="0.79998168889431442"/>
        </patternFill>
      </fill>
    </dxf>
    <dxf>
      <fill>
        <patternFill>
          <bgColor rgb="FFFFCCCC"/>
        </patternFill>
      </fill>
    </dxf>
    <dxf>
      <numFmt numFmtId="19" formatCode="m/d/yyyy"/>
    </dxf>
    <dxf>
      <numFmt numFmtId="19" formatCode="m/d/yyyy"/>
    </dxf>
    <dxf>
      <numFmt numFmtId="19" formatCode="m/d/yyyy"/>
    </dxf>
    <dxf>
      <font>
        <b val="0"/>
        <i val="0"/>
        <strike val="0"/>
        <condense val="0"/>
        <extend val="0"/>
        <outline val="0"/>
        <shadow val="0"/>
        <u val="none"/>
        <vertAlign val="baseline"/>
        <sz val="11"/>
        <color rgb="FF212529"/>
        <name val="Aptos Narrow"/>
        <family val="2"/>
        <scheme val="minor"/>
      </font>
      <fill>
        <patternFill patternType="solid">
          <fgColor indexed="64"/>
          <bgColor rgb="FFFFFFFF"/>
        </patternFill>
      </fill>
      <alignment horizontal="general" vertical="top" textRotation="0" wrapText="1" indent="0" justifyLastLine="0" shrinkToFit="0" readingOrder="0"/>
      <border diagonalUp="0" diagonalDown="0" outline="0">
        <left/>
        <right/>
        <top style="medium">
          <color rgb="FFDEE2E6"/>
        </top>
        <bottom/>
      </border>
    </dxf>
    <dxf>
      <fill>
        <patternFill patternType="solid">
          <fgColor indexed="64"/>
          <bgColor rgb="FFFFFFFF"/>
        </patternFill>
      </fill>
      <alignment horizontal="general" vertical="top" textRotation="0" wrapText="0" indent="0" justifyLastLine="0" shrinkToFit="0" readingOrder="0"/>
      <border diagonalUp="0" diagonalDown="0" outline="0">
        <left/>
        <right/>
        <top style="medium">
          <color rgb="FFDEE2E6"/>
        </top>
        <bottom/>
      </border>
    </dxf>
    <dxf>
      <font>
        <b val="0"/>
        <i val="0"/>
        <strike val="0"/>
        <condense val="0"/>
        <extend val="0"/>
        <outline val="0"/>
        <shadow val="0"/>
        <u val="none"/>
        <vertAlign val="baseline"/>
        <sz val="11"/>
        <color rgb="FF212529"/>
        <name val="Aptos Narrow"/>
        <family val="2"/>
        <scheme val="minor"/>
      </font>
      <numFmt numFmtId="19" formatCode="m/d/yyyy"/>
      <fill>
        <patternFill patternType="solid">
          <fgColor indexed="64"/>
          <bgColor rgb="FFFFFFFF"/>
        </patternFill>
      </fill>
      <alignment horizontal="general" vertical="top" textRotation="0" wrapText="1" indent="0" justifyLastLine="0" shrinkToFit="0" readingOrder="0"/>
      <border diagonalUp="0" diagonalDown="0" outline="0">
        <left/>
        <right/>
        <top style="medium">
          <color rgb="FFDEE2E6"/>
        </top>
        <bottom/>
      </border>
    </dxf>
    <dxf>
      <border outline="0">
        <top style="medium">
          <color rgb="FFDEE2E6"/>
        </top>
      </border>
    </dxf>
    <dxf>
      <numFmt numFmtId="164" formatCode="&quot;$&quot;#,##0.00"/>
    </dxf>
    <dxf>
      <numFmt numFmtId="164" formatCode="&quot;$&quot;#,##0.00"/>
    </dxf>
    <dxf>
      <font>
        <b val="0"/>
        <i val="0"/>
        <strike val="0"/>
        <condense val="0"/>
        <extend val="0"/>
        <outline val="0"/>
        <shadow val="0"/>
        <u val="none"/>
        <vertAlign val="baseline"/>
        <sz val="11"/>
        <color theme="2" tint="-0.89999084444715716"/>
        <name val="Aptos Narrow"/>
        <family val="2"/>
        <scheme val="minor"/>
      </font>
      <numFmt numFmtId="1" formatCode="0"/>
      <fill>
        <patternFill patternType="solid">
          <fgColor indexed="64"/>
          <bgColor theme="7" tint="0.59999389629810485"/>
        </patternFill>
      </fill>
    </dxf>
    <dxf>
      <font>
        <color theme="2" tint="-0.89999084444715716"/>
      </font>
      <numFmt numFmtId="30" formatCode="@"/>
      <fill>
        <patternFill patternType="solid">
          <fgColor indexed="64"/>
          <bgColor theme="0"/>
        </patternFill>
      </fill>
    </dxf>
    <dxf>
      <numFmt numFmtId="1" formatCode="0"/>
      <fill>
        <patternFill patternType="solid">
          <fgColor indexed="64"/>
          <bgColor theme="7" tint="0.79998168889431442"/>
        </patternFill>
      </fill>
    </dxf>
    <dxf>
      <font>
        <color theme="2" tint="-0.89999084444715716"/>
      </font>
      <numFmt numFmtId="1" formatCode="0"/>
      <fill>
        <patternFill patternType="solid">
          <fgColor indexed="64"/>
          <bgColor theme="0"/>
        </patternFill>
      </fill>
    </dxf>
    <dxf>
      <numFmt numFmtId="1" formatCode="0"/>
      <fill>
        <patternFill patternType="solid">
          <fgColor indexed="64"/>
          <bgColor theme="2"/>
        </patternFill>
      </fill>
    </dxf>
    <dxf>
      <numFmt numFmtId="1" formatCode="0"/>
      <fill>
        <patternFill patternType="solid">
          <fgColor indexed="64"/>
          <bgColor theme="0"/>
        </patternFill>
      </fill>
    </dxf>
    <dxf>
      <numFmt numFmtId="1" formatCode="0"/>
      <fill>
        <patternFill patternType="solid">
          <fgColor indexed="64"/>
          <bgColor theme="0"/>
        </patternFill>
      </fill>
    </dxf>
    <dxf>
      <numFmt numFmtId="164" formatCode="&quot;$&quot;#,##0.00"/>
      <fill>
        <patternFill patternType="solid">
          <fgColor indexed="64"/>
          <bgColor theme="7" tint="0.79998168889431442"/>
        </patternFill>
      </fill>
      <border diagonalUp="0" diagonalDown="0" outline="0">
        <left style="thin">
          <color indexed="64"/>
        </left>
        <right/>
        <top style="thin">
          <color indexed="64"/>
        </top>
        <bottom/>
      </border>
    </dxf>
    <dxf>
      <numFmt numFmtId="164" formatCode="&quot;$&quot;#,##0.00"/>
      <fill>
        <patternFill patternType="solid">
          <fgColor indexed="64"/>
          <bgColor theme="0"/>
        </patternFill>
      </fill>
      <border diagonalUp="0" diagonalDown="0">
        <left style="thin">
          <color indexed="64"/>
        </left>
        <right/>
        <top style="thin">
          <color indexed="64"/>
        </top>
        <bottom/>
        <vertical/>
        <horizontal/>
      </border>
    </dxf>
    <dxf>
      <numFmt numFmtId="164" formatCode="&quot;$&quot;#,##0.00"/>
      <fill>
        <patternFill patternType="solid">
          <fgColor indexed="64"/>
          <bgColor theme="9" tint="0.59999389629810485"/>
        </patternFill>
      </fill>
      <border diagonalUp="0" diagonalDown="0" outline="0">
        <left style="thin">
          <color indexed="64"/>
        </left>
        <right style="thin">
          <color indexed="64"/>
        </right>
        <top style="thin">
          <color indexed="64"/>
        </top>
        <bottom/>
      </border>
    </dxf>
    <dxf>
      <numFmt numFmtId="164" formatCode="&quot;$&quot;#,##0.00"/>
      <fill>
        <patternFill patternType="solid">
          <fgColor indexed="64"/>
          <bgColor theme="0"/>
        </patternFill>
      </fill>
      <border diagonalUp="0" diagonalDown="0">
        <left style="thin">
          <color indexed="64"/>
        </left>
        <right style="thin">
          <color indexed="64"/>
        </right>
        <top style="thin">
          <color indexed="64"/>
        </top>
        <bottom/>
        <vertical/>
        <horizontal/>
      </border>
    </dxf>
    <dxf>
      <numFmt numFmtId="164" formatCode="&quot;$&quot;#,##0.00"/>
      <fill>
        <patternFill patternType="solid">
          <fgColor indexed="64"/>
          <bgColor theme="8" tint="0.59999389629810485"/>
        </patternFill>
      </fill>
      <border diagonalUp="0" diagonalDown="0" outline="0">
        <left style="thin">
          <color indexed="64"/>
        </left>
        <right style="thin">
          <color indexed="64"/>
        </right>
        <top style="thin">
          <color indexed="64"/>
        </top>
        <bottom/>
      </border>
    </dxf>
    <dxf>
      <numFmt numFmtId="164" formatCode="&quot;$&quot;#,##0.00"/>
      <fill>
        <patternFill patternType="solid">
          <fgColor indexed="64"/>
          <bgColor theme="0"/>
        </patternFill>
      </fill>
      <border diagonalUp="0" diagonalDown="0">
        <left style="thin">
          <color indexed="64"/>
        </left>
        <right style="thin">
          <color indexed="64"/>
        </right>
        <top style="thin">
          <color indexed="64"/>
        </top>
        <bottom/>
        <vertical/>
        <horizontal/>
      </border>
    </dxf>
    <dxf>
      <numFmt numFmtId="2" formatCode="0.00"/>
      <fill>
        <patternFill patternType="solid">
          <fgColor indexed="64"/>
          <bgColor theme="8" tint="0.79998168889431442"/>
        </patternFill>
      </fill>
      <border diagonalUp="0" diagonalDown="0" outline="0">
        <left style="thin">
          <color indexed="64"/>
        </left>
        <right style="thin">
          <color indexed="64"/>
        </right>
        <top style="thin">
          <color indexed="64"/>
        </top>
        <bottom/>
      </border>
    </dxf>
    <dxf>
      <numFmt numFmtId="2" formatCode="0.00"/>
      <fill>
        <patternFill patternType="solid">
          <fgColor indexed="64"/>
          <bgColor theme="0"/>
        </patternFill>
      </fill>
      <border diagonalUp="0" diagonalDown="0">
        <left style="thin">
          <color indexed="64"/>
        </left>
        <right style="thin">
          <color indexed="64"/>
        </right>
        <top style="thin">
          <color indexed="64"/>
        </top>
        <bottom/>
        <vertical/>
        <horizontal/>
      </border>
    </dxf>
    <dxf>
      <numFmt numFmtId="1" formatCode="0"/>
      <fill>
        <patternFill patternType="solid">
          <fgColor indexed="64"/>
          <bgColor theme="8" tint="0.79998168889431442"/>
        </patternFill>
      </fill>
      <border diagonalUp="0" diagonalDown="0" outline="0">
        <left style="thin">
          <color indexed="64"/>
        </left>
        <right style="thin">
          <color indexed="64"/>
        </right>
        <top style="thin">
          <color indexed="64"/>
        </top>
        <bottom/>
      </border>
    </dxf>
    <dxf>
      <numFmt numFmtId="1" formatCode="0"/>
      <fill>
        <patternFill patternType="solid">
          <fgColor indexed="64"/>
          <bgColor theme="0"/>
        </patternFill>
      </fill>
      <border diagonalUp="0" diagonalDown="0">
        <left style="thin">
          <color indexed="64"/>
        </left>
        <right style="thin">
          <color indexed="64"/>
        </right>
        <top style="thin">
          <color indexed="64"/>
        </top>
        <bottom/>
        <vertical/>
        <horizontal/>
      </border>
    </dxf>
    <dxf>
      <numFmt numFmtId="1" formatCode="0"/>
      <fill>
        <patternFill patternType="solid">
          <fgColor indexed="64"/>
          <bgColor theme="8" tint="0.79998168889431442"/>
        </patternFill>
      </fill>
      <border diagonalUp="0" diagonalDown="0" outline="0">
        <left style="thin">
          <color indexed="64"/>
        </left>
        <right style="thin">
          <color indexed="64"/>
        </right>
        <top style="thin">
          <color indexed="64"/>
        </top>
        <bottom/>
      </border>
    </dxf>
    <dxf>
      <numFmt numFmtId="1" formatCode="0"/>
      <fill>
        <patternFill patternType="solid">
          <fgColor indexed="64"/>
          <bgColor theme="0"/>
        </patternFill>
      </fill>
      <border diagonalUp="0" diagonalDown="0">
        <left style="thin">
          <color indexed="64"/>
        </left>
        <right style="thin">
          <color indexed="64"/>
        </right>
        <top style="thin">
          <color indexed="64"/>
        </top>
        <bottom/>
        <vertical/>
        <horizontal/>
      </border>
    </dxf>
    <dxf>
      <numFmt numFmtId="164" formatCode="&quot;$&quot;#,##0.00"/>
      <fill>
        <patternFill patternType="solid">
          <fgColor indexed="64"/>
          <bgColor theme="9" tint="0.79998168889431442"/>
        </patternFill>
      </fill>
      <border diagonalUp="0" diagonalDown="0" outline="0">
        <left style="thin">
          <color indexed="64"/>
        </left>
        <right style="thin">
          <color indexed="64"/>
        </right>
        <top style="thin">
          <color indexed="64"/>
        </top>
        <bottom/>
      </border>
    </dxf>
    <dxf>
      <numFmt numFmtId="164" formatCode="&quot;$&quot;#,##0.00"/>
      <fill>
        <patternFill patternType="solid">
          <fgColor indexed="64"/>
          <bgColor theme="0"/>
        </patternFill>
      </fill>
      <border diagonalUp="0" diagonalDown="0">
        <left style="thin">
          <color indexed="64"/>
        </left>
        <right style="thin">
          <color indexed="64"/>
        </right>
        <top style="thin">
          <color indexed="64"/>
        </top>
        <bottom/>
        <vertical/>
        <horizontal/>
      </border>
    </dxf>
    <dxf>
      <numFmt numFmtId="164" formatCode="&quot;$&quot;#,##0.00"/>
      <fill>
        <patternFill patternType="solid">
          <fgColor indexed="64"/>
          <bgColor theme="9" tint="0.79998168889431442"/>
        </patternFill>
      </fill>
      <border diagonalUp="0" diagonalDown="0" outline="0">
        <left style="thin">
          <color indexed="64"/>
        </left>
        <right style="thin">
          <color indexed="64"/>
        </right>
        <top style="thin">
          <color indexed="64"/>
        </top>
        <bottom/>
      </border>
    </dxf>
    <dxf>
      <numFmt numFmtId="164" formatCode="&quot;$&quot;#,##0.00"/>
      <fill>
        <patternFill patternType="solid">
          <fgColor indexed="64"/>
          <bgColor theme="0"/>
        </patternFill>
      </fill>
      <border diagonalUp="0" diagonalDown="0">
        <left style="thin">
          <color indexed="64"/>
        </left>
        <right style="thin">
          <color indexed="64"/>
        </right>
        <top style="thin">
          <color indexed="64"/>
        </top>
        <bottom/>
        <vertical/>
        <horizontal/>
      </border>
    </dxf>
    <dxf>
      <numFmt numFmtId="164" formatCode="&quot;$&quot;#,##0.00"/>
      <fill>
        <patternFill patternType="solid">
          <fgColor indexed="64"/>
          <bgColor theme="5" tint="0.79998168889431442"/>
        </patternFill>
      </fill>
      <border diagonalUp="0" diagonalDown="0" outline="0">
        <left style="thin">
          <color indexed="64"/>
        </left>
        <right style="thin">
          <color indexed="64"/>
        </right>
        <top style="thin">
          <color indexed="64"/>
        </top>
        <bottom/>
      </border>
    </dxf>
    <dxf>
      <numFmt numFmtId="164" formatCode="&quot;$&quot;#,##0.00"/>
      <fill>
        <patternFill patternType="solid">
          <fgColor indexed="64"/>
          <bgColor theme="0"/>
        </patternFill>
      </fill>
      <border diagonalUp="0" diagonalDown="0">
        <left style="thin">
          <color indexed="64"/>
        </left>
        <right style="thin">
          <color indexed="64"/>
        </right>
        <top style="thin">
          <color indexed="64"/>
        </top>
        <bottom/>
        <vertical/>
        <horizontal/>
      </border>
    </dxf>
    <dxf>
      <numFmt numFmtId="164" formatCode="&quot;$&quot;#,##0.00"/>
      <fill>
        <patternFill patternType="solid">
          <fgColor indexed="64"/>
          <bgColor theme="5" tint="0.79998168889431442"/>
        </patternFill>
      </fill>
      <border diagonalUp="0" diagonalDown="0" outline="0">
        <left style="thin">
          <color indexed="64"/>
        </left>
        <right style="thin">
          <color indexed="64"/>
        </right>
        <top style="thin">
          <color indexed="64"/>
        </top>
        <bottom/>
      </border>
    </dxf>
    <dxf>
      <numFmt numFmtId="164" formatCode="&quot;$&quot;#,##0.00"/>
      <fill>
        <patternFill patternType="solid">
          <fgColor indexed="64"/>
          <bgColor theme="0"/>
        </patternFill>
      </fill>
      <border diagonalUp="0" diagonalDown="0">
        <left style="thin">
          <color indexed="64"/>
        </left>
        <right style="thin">
          <color indexed="64"/>
        </right>
        <top style="thin">
          <color indexed="64"/>
        </top>
        <bottom/>
        <vertical/>
        <horizontal/>
      </border>
    </dxf>
    <dxf>
      <numFmt numFmtId="164" formatCode="&quot;$&quot;#,##0.00"/>
      <fill>
        <patternFill patternType="solid">
          <fgColor indexed="64"/>
          <bgColor theme="3" tint="0.79998168889431442"/>
        </patternFill>
      </fill>
      <border diagonalUp="0" diagonalDown="0" outline="0">
        <left style="thin">
          <color indexed="64"/>
        </left>
        <right style="thin">
          <color indexed="64"/>
        </right>
        <top style="thin">
          <color indexed="64"/>
        </top>
        <bottom/>
      </border>
    </dxf>
    <dxf>
      <numFmt numFmtId="164" formatCode="&quot;$&quot;#,##0.00"/>
      <fill>
        <patternFill patternType="solid">
          <fgColor indexed="64"/>
          <bgColor theme="0"/>
        </patternFill>
      </fill>
      <border diagonalUp="0" diagonalDown="0">
        <left style="thin">
          <color indexed="64"/>
        </left>
        <right style="thin">
          <color indexed="64"/>
        </right>
        <top style="thin">
          <color indexed="64"/>
        </top>
        <bottom/>
        <vertical/>
        <horizontal/>
      </border>
    </dxf>
    <dxf>
      <numFmt numFmtId="164" formatCode="&quot;$&quot;#,##0.00"/>
      <fill>
        <patternFill patternType="solid">
          <fgColor indexed="64"/>
          <bgColor theme="3" tint="0.79998168889431442"/>
        </patternFill>
      </fill>
      <border diagonalUp="0" diagonalDown="0" outline="0">
        <left style="thin">
          <color indexed="64"/>
        </left>
        <right style="thin">
          <color indexed="64"/>
        </right>
        <top style="thin">
          <color indexed="64"/>
        </top>
        <bottom/>
      </border>
    </dxf>
    <dxf>
      <numFmt numFmtId="164" formatCode="&quot;$&quot;#,##0.00"/>
      <fill>
        <patternFill patternType="solid">
          <fgColor indexed="64"/>
          <bgColor theme="0"/>
        </patternFill>
      </fill>
      <border diagonalUp="0" diagonalDown="0">
        <left style="thin">
          <color indexed="64"/>
        </left>
        <right style="thin">
          <color indexed="64"/>
        </right>
        <top style="thin">
          <color indexed="64"/>
        </top>
        <bottom/>
        <vertical/>
        <horizontal/>
      </border>
    </dxf>
    <dxf>
      <numFmt numFmtId="164" formatCode="&quot;$&quot;#,##0.00"/>
      <fill>
        <patternFill patternType="solid">
          <fgColor indexed="64"/>
          <bgColor theme="3" tint="0.79998168889431442"/>
        </patternFill>
      </fill>
      <border diagonalUp="0" diagonalDown="0" outline="0">
        <left style="thin">
          <color indexed="64"/>
        </left>
        <right style="thin">
          <color indexed="64"/>
        </right>
        <top style="thin">
          <color indexed="64"/>
        </top>
        <bottom/>
      </border>
    </dxf>
    <dxf>
      <numFmt numFmtId="164" formatCode="&quot;$&quot;#,##0.00"/>
      <fill>
        <patternFill patternType="solid">
          <fgColor indexed="64"/>
          <bgColor theme="0"/>
        </patternFill>
      </fill>
      <border diagonalUp="0" diagonalDown="0">
        <left style="thin">
          <color indexed="64"/>
        </left>
        <right style="thin">
          <color indexed="64"/>
        </right>
        <top style="thin">
          <color indexed="64"/>
        </top>
        <bottom/>
        <vertical/>
        <horizontal/>
      </border>
    </dxf>
    <dxf>
      <numFmt numFmtId="30" formatCode="@"/>
      <fill>
        <patternFill patternType="solid">
          <fgColor indexed="64"/>
          <bgColor theme="3" tint="0.79998168889431442"/>
        </patternFill>
      </fill>
      <border diagonalUp="0" diagonalDown="0" outline="0">
        <left style="thin">
          <color indexed="64"/>
        </left>
        <right style="thin">
          <color indexed="64"/>
        </right>
        <top style="thin">
          <color indexed="64"/>
        </top>
        <bottom/>
      </border>
    </dxf>
    <dxf>
      <numFmt numFmtId="19" formatCode="m/d/yyyy"/>
      <fill>
        <patternFill patternType="solid">
          <fgColor indexed="64"/>
          <bgColor theme="0"/>
        </patternFill>
      </fill>
      <border diagonalUp="0" diagonalDown="0">
        <left style="thin">
          <color indexed="64"/>
        </left>
        <right style="thin">
          <color indexed="64"/>
        </right>
        <top/>
        <bottom style="thin">
          <color indexed="64"/>
        </bottom>
        <vertical/>
        <horizontal/>
      </border>
    </dxf>
    <dxf>
      <numFmt numFmtId="167" formatCode="[$-409]mmmmm\-yy;@"/>
      <fill>
        <patternFill patternType="solid">
          <fgColor indexed="64"/>
          <bgColor theme="2" tint="-0.249977111117893"/>
        </patternFill>
      </fill>
      <border diagonalUp="0" diagonalDown="0" outline="0">
        <left style="thin">
          <color indexed="64"/>
        </left>
        <right style="thin">
          <color indexed="64"/>
        </right>
        <top style="thin">
          <color indexed="64"/>
        </top>
        <bottom/>
      </border>
    </dxf>
    <dxf>
      <numFmt numFmtId="19" formatCode="m/d/yyyy"/>
      <fill>
        <patternFill patternType="solid">
          <fgColor indexed="64"/>
          <bgColor theme="0"/>
        </patternFill>
      </fill>
      <border diagonalUp="0" diagonalDown="0">
        <left style="thin">
          <color indexed="64"/>
        </left>
        <right style="thin">
          <color indexed="64"/>
        </right>
        <top style="thin">
          <color indexed="64"/>
        </top>
        <bottom/>
        <vertical/>
        <horizontal/>
      </border>
    </dxf>
    <dxf>
      <fill>
        <patternFill patternType="solid">
          <fgColor indexed="64"/>
          <bgColor theme="2" tint="-9.9978637043366805E-2"/>
        </patternFill>
      </fill>
      <border diagonalUp="0" diagonalDown="0" outline="0">
        <left style="thin">
          <color indexed="64"/>
        </left>
        <right style="thin">
          <color indexed="64"/>
        </right>
        <top style="thin">
          <color indexed="64"/>
        </top>
        <bottom/>
      </border>
    </dxf>
    <dxf>
      <numFmt numFmtId="30" formatCode="@"/>
      <fill>
        <patternFill patternType="solid">
          <fgColor indexed="64"/>
          <bgColor theme="0"/>
        </patternFill>
      </fill>
      <border diagonalUp="0" diagonalDown="0">
        <left style="thin">
          <color indexed="64"/>
        </left>
        <right style="thin">
          <color indexed="64"/>
        </right>
        <top style="thin">
          <color indexed="64"/>
        </top>
        <bottom/>
        <vertical/>
        <horizontal/>
      </border>
    </dxf>
    <dxf>
      <numFmt numFmtId="19" formatCode="m/d/yyyy"/>
      <fill>
        <patternFill patternType="solid">
          <fgColor indexed="64"/>
          <bgColor theme="2" tint="-9.9978637043366805E-2"/>
        </patternFill>
      </fill>
      <border diagonalUp="0" diagonalDown="0" outline="0">
        <left/>
        <right style="thin">
          <color indexed="64"/>
        </right>
        <top style="thin">
          <color indexed="64"/>
        </top>
        <bottom/>
      </border>
    </dxf>
    <dxf>
      <numFmt numFmtId="19" formatCode="m/d/yyyy"/>
      <fill>
        <patternFill patternType="solid">
          <fgColor indexed="64"/>
          <bgColor theme="0"/>
        </patternFill>
      </fill>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1"/>
        <color auto="1"/>
        <name val="Aptos Narrow"/>
        <family val="2"/>
        <scheme val="minor"/>
      </font>
      <fill>
        <patternFill>
          <fgColor indexed="64"/>
          <bgColor theme="0"/>
        </patternFill>
      </fill>
    </dxf>
  </dxfs>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23/09/relationships/Python" Target="pyth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Distribution</c:v>
          </c:tx>
          <c:spPr>
            <a:solidFill>
              <a:schemeClr val="accent1"/>
            </a:solidFill>
            <a:ln>
              <a:noFill/>
            </a:ln>
            <a:effectLst/>
          </c:spPr>
          <c:invertIfNegative val="0"/>
          <c:dLbls>
            <c:dLbl>
              <c:idx val="0"/>
              <c:tx>
                <c:rich>
                  <a:bodyPr/>
                  <a:lstStyle/>
                  <a:p>
                    <a:fld id="{685B9761-227F-4821-B2D2-9AD5AC0FF93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B33B-4544-BE71-FC3F1BC13BBA}"/>
                </c:ext>
              </c:extLst>
            </c:dLbl>
            <c:dLbl>
              <c:idx val="1"/>
              <c:tx>
                <c:rich>
                  <a:bodyPr/>
                  <a:lstStyle/>
                  <a:p>
                    <a:fld id="{2369C05F-FFDD-44D9-B1CC-B56FC2E71BA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B33B-4544-BE71-FC3F1BC13BBA}"/>
                </c:ext>
              </c:extLst>
            </c:dLbl>
            <c:dLbl>
              <c:idx val="2"/>
              <c:tx>
                <c:rich>
                  <a:bodyPr/>
                  <a:lstStyle/>
                  <a:p>
                    <a:fld id="{2C56B6F9-9504-449C-88C4-3DED370E083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33B-4544-BE71-FC3F1BC13BBA}"/>
                </c:ext>
              </c:extLst>
            </c:dLbl>
            <c:dLbl>
              <c:idx val="3"/>
              <c:tx>
                <c:rich>
                  <a:bodyPr/>
                  <a:lstStyle/>
                  <a:p>
                    <a:fld id="{779D0449-521E-4DDA-BEF3-D1C50C399FA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33B-4544-BE71-FC3F1BC13BBA}"/>
                </c:ext>
              </c:extLst>
            </c:dLbl>
            <c:dLbl>
              <c:idx val="4"/>
              <c:tx>
                <c:rich>
                  <a:bodyPr/>
                  <a:lstStyle/>
                  <a:p>
                    <a:fld id="{E9D88958-39A5-4DA7-8995-2D87642BA2F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33B-4544-BE71-FC3F1BC13BBA}"/>
                </c:ext>
              </c:extLst>
            </c:dLbl>
            <c:dLbl>
              <c:idx val="5"/>
              <c:tx>
                <c:rich>
                  <a:bodyPr/>
                  <a:lstStyle/>
                  <a:p>
                    <a:fld id="{DA33A9D1-FC0F-4C56-8FA2-90A5A71C5F8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33B-4544-BE71-FC3F1BC13BBA}"/>
                </c:ext>
              </c:extLst>
            </c:dLbl>
            <c:dLbl>
              <c:idx val="6"/>
              <c:tx>
                <c:rich>
                  <a:bodyPr/>
                  <a:lstStyle/>
                  <a:p>
                    <a:fld id="{1BAF7B3E-7AFE-4C9E-A31E-0AF7A998174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EEDD-458C-BCA1-0095ACA91017}"/>
                </c:ext>
              </c:extLst>
            </c:dLbl>
            <c:dLbl>
              <c:idx val="7"/>
              <c:tx>
                <c:rich>
                  <a:bodyPr/>
                  <a:lstStyle/>
                  <a:p>
                    <a:fld id="{EBF3A86F-88BE-4DFD-A0A6-E770AD69A32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EDD-458C-BCA1-0095ACA91017}"/>
                </c:ext>
              </c:extLst>
            </c:dLbl>
            <c:dLbl>
              <c:idx val="8"/>
              <c:tx>
                <c:rich>
                  <a:bodyPr/>
                  <a:lstStyle/>
                  <a:p>
                    <a:fld id="{C3C2D150-0C4E-48A3-9BDC-D1D130B21CA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EDD-458C-BCA1-0095ACA91017}"/>
                </c:ext>
              </c:extLst>
            </c:dLbl>
            <c:dLbl>
              <c:idx val="9"/>
              <c:tx>
                <c:rich>
                  <a:bodyPr/>
                  <a:lstStyle/>
                  <a:p>
                    <a:fld id="{299C90EE-D93F-45CE-901B-0D6786AF9797}"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EDD-458C-BCA1-0095ACA910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TIPS!$L$30:$L$38</c:f>
              <c:strCache>
                <c:ptCount val="9"/>
                <c:pt idx="0">
                  <c:v>13 - 49</c:v>
                </c:pt>
                <c:pt idx="1">
                  <c:v>49 - 85</c:v>
                </c:pt>
                <c:pt idx="2">
                  <c:v>85 - 121</c:v>
                </c:pt>
                <c:pt idx="3">
                  <c:v>121 - 157</c:v>
                </c:pt>
                <c:pt idx="4">
                  <c:v>157 - 193</c:v>
                </c:pt>
                <c:pt idx="5">
                  <c:v>193 - 229</c:v>
                </c:pt>
                <c:pt idx="6">
                  <c:v>229 - 265</c:v>
                </c:pt>
                <c:pt idx="7">
                  <c:v>265 - 301</c:v>
                </c:pt>
                <c:pt idx="8">
                  <c:v>301 - 337</c:v>
                </c:pt>
              </c:strCache>
            </c:strRef>
          </c:cat>
          <c:val>
            <c:numRef>
              <c:f>[0]!FreqTIPS</c:f>
              <c:numCache>
                <c:formatCode>General</c:formatCode>
                <c:ptCount val="10"/>
                <c:pt idx="0">
                  <c:v>11</c:v>
                </c:pt>
                <c:pt idx="1">
                  <c:v>28</c:v>
                </c:pt>
                <c:pt idx="2">
                  <c:v>42</c:v>
                </c:pt>
                <c:pt idx="3">
                  <c:v>46</c:v>
                </c:pt>
                <c:pt idx="4">
                  <c:v>55</c:v>
                </c:pt>
                <c:pt idx="5">
                  <c:v>53</c:v>
                </c:pt>
                <c:pt idx="6">
                  <c:v>31</c:v>
                </c:pt>
                <c:pt idx="7">
                  <c:v>11</c:v>
                </c:pt>
                <c:pt idx="8">
                  <c:v>9</c:v>
                </c:pt>
                <c:pt idx="9">
                  <c:v>5</c:v>
                </c:pt>
              </c:numCache>
            </c:numRef>
          </c:val>
          <c:extLst>
            <c:ext xmlns:c15="http://schemas.microsoft.com/office/drawing/2012/chart" uri="{02D57815-91ED-43cb-92C2-25804820EDAC}">
              <c15:datalabelsRange>
                <c15:f>TIPS!FreqPerDIST</c15:f>
                <c15:dlblRangeCache>
                  <c:ptCount val="10"/>
                  <c:pt idx="0">
                    <c:v>3.8%</c:v>
                  </c:pt>
                  <c:pt idx="1">
                    <c:v>9.6%</c:v>
                  </c:pt>
                  <c:pt idx="2">
                    <c:v>14.4%</c:v>
                  </c:pt>
                  <c:pt idx="3">
                    <c:v>15.8%</c:v>
                  </c:pt>
                  <c:pt idx="4">
                    <c:v>18.9%</c:v>
                  </c:pt>
                  <c:pt idx="5">
                    <c:v>18.2%</c:v>
                  </c:pt>
                  <c:pt idx="6">
                    <c:v>10.7%</c:v>
                  </c:pt>
                  <c:pt idx="7">
                    <c:v>3.8%</c:v>
                  </c:pt>
                  <c:pt idx="8">
                    <c:v>3.1%</c:v>
                  </c:pt>
                  <c:pt idx="9">
                    <c:v>1.7%</c:v>
                  </c:pt>
                </c15:dlblRangeCache>
              </c15:datalabelsRange>
            </c:ext>
            <c:ext xmlns:c16="http://schemas.microsoft.com/office/drawing/2014/chart" uri="{C3380CC4-5D6E-409C-BE32-E72D297353CC}">
              <c16:uniqueId val="{00000009-B33B-4544-BE71-FC3F1BC13BBA}"/>
            </c:ext>
          </c:extLst>
        </c:ser>
        <c:dLbls>
          <c:dLblPos val="outEnd"/>
          <c:showLegendKey val="0"/>
          <c:showVal val="1"/>
          <c:showCatName val="0"/>
          <c:showSerName val="0"/>
          <c:showPercent val="0"/>
          <c:showBubbleSize val="0"/>
        </c:dLbls>
        <c:gapWidth val="0"/>
        <c:axId val="95337984"/>
        <c:axId val="95342784"/>
      </c:barChart>
      <c:catAx>
        <c:axId val="95337984"/>
        <c:scaling>
          <c:orientation val="minMax"/>
        </c:scaling>
        <c:delete val="0"/>
        <c:axPos val="b"/>
        <c:numFmt formatCode="&quot;$&quot;#,##0"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b"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95342784"/>
        <c:crosses val="autoZero"/>
        <c:auto val="1"/>
        <c:lblAlgn val="ctr"/>
        <c:lblOffset val="100"/>
        <c:noMultiLvlLbl val="0"/>
      </c:catAx>
      <c:valAx>
        <c:axId val="95342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37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Actual Distribution</c:v>
          </c:tx>
          <c:spPr>
            <a:solidFill>
              <a:schemeClr val="tx2">
                <a:lumMod val="50000"/>
                <a:lumOff val="50000"/>
                <a:alpha val="42000"/>
              </a:schemeClr>
            </a:solidFill>
            <a:ln>
              <a:noFill/>
            </a:ln>
            <a:effectLst/>
          </c:spPr>
          <c:invertIfNegative val="0"/>
          <c:cat>
            <c:strRef>
              <c:f>TIPS!BinLabDIST</c:f>
              <c:strCache>
                <c:ptCount val="10"/>
                <c:pt idx="0">
                  <c:v>13 - 49</c:v>
                </c:pt>
                <c:pt idx="1">
                  <c:v>49 - 85</c:v>
                </c:pt>
                <c:pt idx="2">
                  <c:v>85 - 121</c:v>
                </c:pt>
                <c:pt idx="3">
                  <c:v>121 - 157</c:v>
                </c:pt>
                <c:pt idx="4">
                  <c:v>157 - 193</c:v>
                </c:pt>
                <c:pt idx="5">
                  <c:v>193 - 229</c:v>
                </c:pt>
                <c:pt idx="6">
                  <c:v>229 - 265</c:v>
                </c:pt>
                <c:pt idx="7">
                  <c:v>265 - 301</c:v>
                </c:pt>
                <c:pt idx="8">
                  <c:v>301 - 337</c:v>
                </c:pt>
                <c:pt idx="9">
                  <c:v>337 - 373</c:v>
                </c:pt>
              </c:strCache>
            </c:strRef>
          </c:cat>
          <c:val>
            <c:numRef>
              <c:f>[0]!FreqTIPS</c:f>
              <c:numCache>
                <c:formatCode>General</c:formatCode>
                <c:ptCount val="10"/>
                <c:pt idx="0">
                  <c:v>11</c:v>
                </c:pt>
                <c:pt idx="1">
                  <c:v>28</c:v>
                </c:pt>
                <c:pt idx="2">
                  <c:v>42</c:v>
                </c:pt>
                <c:pt idx="3">
                  <c:v>46</c:v>
                </c:pt>
                <c:pt idx="4">
                  <c:v>55</c:v>
                </c:pt>
                <c:pt idx="5">
                  <c:v>53</c:v>
                </c:pt>
                <c:pt idx="6">
                  <c:v>31</c:v>
                </c:pt>
                <c:pt idx="7">
                  <c:v>11</c:v>
                </c:pt>
                <c:pt idx="8">
                  <c:v>9</c:v>
                </c:pt>
                <c:pt idx="9">
                  <c:v>5</c:v>
                </c:pt>
              </c:numCache>
            </c:numRef>
          </c:val>
          <c:extLst>
            <c:ext xmlns:c16="http://schemas.microsoft.com/office/drawing/2014/chart" uri="{C3380CC4-5D6E-409C-BE32-E72D297353CC}">
              <c16:uniqueId val="{00000000-A2A2-4A59-9883-496CE597B4B6}"/>
            </c:ext>
          </c:extLst>
        </c:ser>
        <c:dLbls>
          <c:showLegendKey val="0"/>
          <c:showVal val="0"/>
          <c:showCatName val="0"/>
          <c:showSerName val="0"/>
          <c:showPercent val="0"/>
          <c:showBubbleSize val="0"/>
        </c:dLbls>
        <c:gapWidth val="0"/>
        <c:axId val="1607813727"/>
        <c:axId val="1607805087"/>
      </c:barChart>
      <c:lineChart>
        <c:grouping val="standard"/>
        <c:varyColors val="0"/>
        <c:ser>
          <c:idx val="1"/>
          <c:order val="1"/>
          <c:tx>
            <c:v>ACT DIST LINE</c:v>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[0]!FreqTIPS</c:f>
              <c:numCache>
                <c:formatCode>General</c:formatCode>
                <c:ptCount val="10"/>
                <c:pt idx="0">
                  <c:v>11</c:v>
                </c:pt>
                <c:pt idx="1">
                  <c:v>28</c:v>
                </c:pt>
                <c:pt idx="2">
                  <c:v>42</c:v>
                </c:pt>
                <c:pt idx="3">
                  <c:v>46</c:v>
                </c:pt>
                <c:pt idx="4">
                  <c:v>55</c:v>
                </c:pt>
                <c:pt idx="5">
                  <c:v>53</c:v>
                </c:pt>
                <c:pt idx="6">
                  <c:v>31</c:v>
                </c:pt>
                <c:pt idx="7">
                  <c:v>11</c:v>
                </c:pt>
                <c:pt idx="8">
                  <c:v>9</c:v>
                </c:pt>
                <c:pt idx="9">
                  <c:v>5</c:v>
                </c:pt>
              </c:numCache>
            </c:numRef>
          </c:val>
          <c:smooth val="1"/>
          <c:extLst>
            <c:ext xmlns:c16="http://schemas.microsoft.com/office/drawing/2014/chart" uri="{C3380CC4-5D6E-409C-BE32-E72D297353CC}">
              <c16:uniqueId val="{00000001-A2A2-4A59-9883-496CE597B4B6}"/>
            </c:ext>
          </c:extLst>
        </c:ser>
        <c:ser>
          <c:idx val="2"/>
          <c:order val="2"/>
          <c:tx>
            <c:v>EXPECTED DISTRIBUTION LINE</c:v>
          </c:tx>
          <c:spPr>
            <a:ln w="28575" cap="rnd">
              <a:solidFill>
                <a:schemeClr val="accent1"/>
              </a:solidFill>
              <a:round/>
            </a:ln>
            <a:effectLst/>
          </c:spPr>
          <c:marker>
            <c:symbol val="circle"/>
            <c:size val="5"/>
            <c:spPr>
              <a:solidFill>
                <a:schemeClr val="accent3"/>
              </a:solidFill>
              <a:ln w="9525">
                <a:solidFill>
                  <a:schemeClr val="accent3"/>
                </a:solidFill>
              </a:ln>
              <a:effectLst/>
            </c:spPr>
          </c:marker>
          <c:val>
            <c:numRef>
              <c:f>[0]!NormTIPS</c:f>
              <c:numCache>
                <c:formatCode>0.00</c:formatCode>
                <c:ptCount val="10"/>
                <c:pt idx="0">
                  <c:v>9.7548753935064436</c:v>
                </c:pt>
                <c:pt idx="1">
                  <c:v>21.976587801551261</c:v>
                </c:pt>
                <c:pt idx="2">
                  <c:v>38.701148367100444</c:v>
                </c:pt>
                <c:pt idx="3">
                  <c:v>53.2736550522173</c:v>
                </c:pt>
                <c:pt idx="4">
                  <c:v>57.322640808338718</c:v>
                </c:pt>
                <c:pt idx="5">
                  <c:v>48.213086867885188</c:v>
                </c:pt>
                <c:pt idx="6">
                  <c:v>31.697772192343564</c:v>
                </c:pt>
                <c:pt idx="7">
                  <c:v>16.289869099967788</c:v>
                </c:pt>
                <c:pt idx="8">
                  <c:v>6.5438223714311388</c:v>
                </c:pt>
                <c:pt idx="9">
                  <c:v>2.0548042855771134</c:v>
                </c:pt>
              </c:numCache>
            </c:numRef>
          </c:val>
          <c:smooth val="1"/>
          <c:extLst>
            <c:ext xmlns:c16="http://schemas.microsoft.com/office/drawing/2014/chart" uri="{C3380CC4-5D6E-409C-BE32-E72D297353CC}">
              <c16:uniqueId val="{00000002-A2A2-4A59-9883-496CE597B4B6}"/>
            </c:ext>
          </c:extLst>
        </c:ser>
        <c:dLbls>
          <c:showLegendKey val="0"/>
          <c:showVal val="0"/>
          <c:showCatName val="0"/>
          <c:showSerName val="0"/>
          <c:showPercent val="0"/>
          <c:showBubbleSize val="0"/>
        </c:dLbls>
        <c:marker val="1"/>
        <c:smooth val="0"/>
        <c:axId val="1607813727"/>
        <c:axId val="1607805087"/>
      </c:lineChart>
      <c:catAx>
        <c:axId val="1607813727"/>
        <c:scaling>
          <c:orientation val="minMax"/>
        </c:scaling>
        <c:delete val="0"/>
        <c:axPos val="b"/>
        <c:numFmt formatCode="General" sourceLinked="1"/>
        <c:majorTickMark val="in"/>
        <c:minorTickMark val="in"/>
        <c:tickLblPos val="nextTo"/>
        <c:spPr>
          <a:noFill/>
          <a:ln w="9525" cap="flat" cmpd="sng" algn="ctr">
            <a:solidFill>
              <a:srgbClr val="FF0000"/>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805087"/>
        <c:crosses val="autoZero"/>
        <c:auto val="1"/>
        <c:lblAlgn val="ctr"/>
        <c:lblOffset val="100"/>
        <c:noMultiLvlLbl val="0"/>
      </c:catAx>
      <c:valAx>
        <c:axId val="1607805087"/>
        <c:scaling>
          <c:orientation val="minMax"/>
        </c:scaling>
        <c:delete val="1"/>
        <c:axPos val="l"/>
        <c:numFmt formatCode="General" sourceLinked="1"/>
        <c:majorTickMark val="none"/>
        <c:minorTickMark val="none"/>
        <c:tickLblPos val="nextTo"/>
        <c:crossAx val="1607813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Mean</c:v>
          </c:tx>
          <c:spPr>
            <a:ln w="12700" cap="rnd">
              <a:solidFill>
                <a:srgbClr val="FF0000"/>
              </a:solidFill>
              <a:prstDash val="solid"/>
              <a:round/>
            </a:ln>
            <a:effectLst/>
          </c:spPr>
          <c:marker>
            <c:symbol val="none"/>
          </c:marker>
          <c:cat>
            <c:numRef>
              <c:f>[0]!MeanXTIPS</c:f>
              <c:numCache>
                <c:formatCode>General</c:formatCode>
                <c:ptCount val="361"/>
                <c:pt idx="0">
                  <c:v>13</c:v>
                </c:pt>
                <c:pt idx="1">
                  <c:v>14</c:v>
                </c:pt>
                <c:pt idx="2">
                  <c:v>15</c:v>
                </c:pt>
                <c:pt idx="3">
                  <c:v>16</c:v>
                </c:pt>
                <c:pt idx="4">
                  <c:v>17</c:v>
                </c:pt>
                <c:pt idx="5">
                  <c:v>18</c:v>
                </c:pt>
                <c:pt idx="6">
                  <c:v>19</c:v>
                </c:pt>
                <c:pt idx="7">
                  <c:v>20</c:v>
                </c:pt>
                <c:pt idx="8">
                  <c:v>21</c:v>
                </c:pt>
                <c:pt idx="9">
                  <c:v>22</c:v>
                </c:pt>
                <c:pt idx="10">
                  <c:v>23</c:v>
                </c:pt>
                <c:pt idx="11">
                  <c:v>24</c:v>
                </c:pt>
                <c:pt idx="12">
                  <c:v>25</c:v>
                </c:pt>
                <c:pt idx="13">
                  <c:v>26</c:v>
                </c:pt>
                <c:pt idx="14">
                  <c:v>27</c:v>
                </c:pt>
                <c:pt idx="15">
                  <c:v>28</c:v>
                </c:pt>
                <c:pt idx="16">
                  <c:v>29</c:v>
                </c:pt>
                <c:pt idx="17">
                  <c:v>30</c:v>
                </c:pt>
                <c:pt idx="18">
                  <c:v>31</c:v>
                </c:pt>
                <c:pt idx="19">
                  <c:v>32</c:v>
                </c:pt>
                <c:pt idx="20">
                  <c:v>33</c:v>
                </c:pt>
                <c:pt idx="21">
                  <c:v>34</c:v>
                </c:pt>
                <c:pt idx="22">
                  <c:v>35</c:v>
                </c:pt>
                <c:pt idx="23">
                  <c:v>36</c:v>
                </c:pt>
                <c:pt idx="24">
                  <c:v>37</c:v>
                </c:pt>
                <c:pt idx="25">
                  <c:v>38</c:v>
                </c:pt>
                <c:pt idx="26">
                  <c:v>39</c:v>
                </c:pt>
                <c:pt idx="27">
                  <c:v>40</c:v>
                </c:pt>
                <c:pt idx="28">
                  <c:v>41</c:v>
                </c:pt>
                <c:pt idx="29">
                  <c:v>42</c:v>
                </c:pt>
                <c:pt idx="30">
                  <c:v>43</c:v>
                </c:pt>
                <c:pt idx="31">
                  <c:v>44</c:v>
                </c:pt>
                <c:pt idx="32">
                  <c:v>45</c:v>
                </c:pt>
                <c:pt idx="33">
                  <c:v>46</c:v>
                </c:pt>
                <c:pt idx="34">
                  <c:v>47</c:v>
                </c:pt>
                <c:pt idx="35">
                  <c:v>48</c:v>
                </c:pt>
                <c:pt idx="36">
                  <c:v>49</c:v>
                </c:pt>
                <c:pt idx="37">
                  <c:v>50</c:v>
                </c:pt>
                <c:pt idx="38">
                  <c:v>51</c:v>
                </c:pt>
                <c:pt idx="39">
                  <c:v>52</c:v>
                </c:pt>
                <c:pt idx="40">
                  <c:v>53</c:v>
                </c:pt>
                <c:pt idx="41">
                  <c:v>54</c:v>
                </c:pt>
                <c:pt idx="42">
                  <c:v>55</c:v>
                </c:pt>
                <c:pt idx="43">
                  <c:v>56</c:v>
                </c:pt>
                <c:pt idx="44">
                  <c:v>57</c:v>
                </c:pt>
                <c:pt idx="45">
                  <c:v>58</c:v>
                </c:pt>
                <c:pt idx="46">
                  <c:v>59</c:v>
                </c:pt>
                <c:pt idx="47">
                  <c:v>60</c:v>
                </c:pt>
                <c:pt idx="48">
                  <c:v>61</c:v>
                </c:pt>
                <c:pt idx="49">
                  <c:v>62</c:v>
                </c:pt>
                <c:pt idx="50">
                  <c:v>63</c:v>
                </c:pt>
                <c:pt idx="51">
                  <c:v>64</c:v>
                </c:pt>
                <c:pt idx="52">
                  <c:v>65</c:v>
                </c:pt>
                <c:pt idx="53">
                  <c:v>66</c:v>
                </c:pt>
                <c:pt idx="54">
                  <c:v>67</c:v>
                </c:pt>
                <c:pt idx="55">
                  <c:v>68</c:v>
                </c:pt>
                <c:pt idx="56">
                  <c:v>69</c:v>
                </c:pt>
                <c:pt idx="57">
                  <c:v>70</c:v>
                </c:pt>
                <c:pt idx="58">
                  <c:v>71</c:v>
                </c:pt>
                <c:pt idx="59">
                  <c:v>72</c:v>
                </c:pt>
                <c:pt idx="60">
                  <c:v>73</c:v>
                </c:pt>
                <c:pt idx="61">
                  <c:v>74</c:v>
                </c:pt>
                <c:pt idx="62">
                  <c:v>75</c:v>
                </c:pt>
                <c:pt idx="63">
                  <c:v>76</c:v>
                </c:pt>
                <c:pt idx="64">
                  <c:v>77</c:v>
                </c:pt>
                <c:pt idx="65">
                  <c:v>78</c:v>
                </c:pt>
                <c:pt idx="66">
                  <c:v>79</c:v>
                </c:pt>
                <c:pt idx="67">
                  <c:v>80</c:v>
                </c:pt>
                <c:pt idx="68">
                  <c:v>81</c:v>
                </c:pt>
                <c:pt idx="69">
                  <c:v>82</c:v>
                </c:pt>
                <c:pt idx="70">
                  <c:v>83</c:v>
                </c:pt>
                <c:pt idx="71">
                  <c:v>84</c:v>
                </c:pt>
                <c:pt idx="72">
                  <c:v>85</c:v>
                </c:pt>
                <c:pt idx="73">
                  <c:v>86</c:v>
                </c:pt>
                <c:pt idx="74">
                  <c:v>87</c:v>
                </c:pt>
                <c:pt idx="75">
                  <c:v>88</c:v>
                </c:pt>
                <c:pt idx="76">
                  <c:v>89</c:v>
                </c:pt>
                <c:pt idx="77">
                  <c:v>90</c:v>
                </c:pt>
                <c:pt idx="78">
                  <c:v>91</c:v>
                </c:pt>
                <c:pt idx="79">
                  <c:v>92</c:v>
                </c:pt>
                <c:pt idx="80">
                  <c:v>93</c:v>
                </c:pt>
                <c:pt idx="81">
                  <c:v>94</c:v>
                </c:pt>
                <c:pt idx="82">
                  <c:v>95</c:v>
                </c:pt>
                <c:pt idx="83">
                  <c:v>96</c:v>
                </c:pt>
                <c:pt idx="84">
                  <c:v>97</c:v>
                </c:pt>
                <c:pt idx="85">
                  <c:v>98</c:v>
                </c:pt>
                <c:pt idx="86">
                  <c:v>99</c:v>
                </c:pt>
                <c:pt idx="87">
                  <c:v>100</c:v>
                </c:pt>
                <c:pt idx="88">
                  <c:v>101</c:v>
                </c:pt>
                <c:pt idx="89">
                  <c:v>102</c:v>
                </c:pt>
                <c:pt idx="90">
                  <c:v>103</c:v>
                </c:pt>
                <c:pt idx="91">
                  <c:v>104</c:v>
                </c:pt>
                <c:pt idx="92">
                  <c:v>105</c:v>
                </c:pt>
                <c:pt idx="93">
                  <c:v>106</c:v>
                </c:pt>
                <c:pt idx="94">
                  <c:v>107</c:v>
                </c:pt>
                <c:pt idx="95">
                  <c:v>108</c:v>
                </c:pt>
                <c:pt idx="96">
                  <c:v>109</c:v>
                </c:pt>
                <c:pt idx="97">
                  <c:v>110</c:v>
                </c:pt>
                <c:pt idx="98">
                  <c:v>111</c:v>
                </c:pt>
                <c:pt idx="99">
                  <c:v>112</c:v>
                </c:pt>
                <c:pt idx="100">
                  <c:v>113</c:v>
                </c:pt>
                <c:pt idx="101">
                  <c:v>114</c:v>
                </c:pt>
                <c:pt idx="102">
                  <c:v>115</c:v>
                </c:pt>
                <c:pt idx="103">
                  <c:v>116</c:v>
                </c:pt>
                <c:pt idx="104">
                  <c:v>117</c:v>
                </c:pt>
                <c:pt idx="105">
                  <c:v>118</c:v>
                </c:pt>
                <c:pt idx="106">
                  <c:v>119</c:v>
                </c:pt>
                <c:pt idx="107">
                  <c:v>120</c:v>
                </c:pt>
                <c:pt idx="108">
                  <c:v>121</c:v>
                </c:pt>
                <c:pt idx="109">
                  <c:v>122</c:v>
                </c:pt>
                <c:pt idx="110">
                  <c:v>123</c:v>
                </c:pt>
                <c:pt idx="111">
                  <c:v>124</c:v>
                </c:pt>
                <c:pt idx="112">
                  <c:v>125</c:v>
                </c:pt>
                <c:pt idx="113">
                  <c:v>126</c:v>
                </c:pt>
                <c:pt idx="114">
                  <c:v>127</c:v>
                </c:pt>
                <c:pt idx="115">
                  <c:v>128</c:v>
                </c:pt>
                <c:pt idx="116">
                  <c:v>129</c:v>
                </c:pt>
                <c:pt idx="117">
                  <c:v>130</c:v>
                </c:pt>
                <c:pt idx="118">
                  <c:v>131</c:v>
                </c:pt>
                <c:pt idx="119">
                  <c:v>132</c:v>
                </c:pt>
                <c:pt idx="120">
                  <c:v>133</c:v>
                </c:pt>
                <c:pt idx="121">
                  <c:v>134</c:v>
                </c:pt>
                <c:pt idx="122">
                  <c:v>135</c:v>
                </c:pt>
                <c:pt idx="123">
                  <c:v>136</c:v>
                </c:pt>
                <c:pt idx="124">
                  <c:v>137</c:v>
                </c:pt>
                <c:pt idx="125">
                  <c:v>138</c:v>
                </c:pt>
                <c:pt idx="126">
                  <c:v>139</c:v>
                </c:pt>
                <c:pt idx="127">
                  <c:v>140</c:v>
                </c:pt>
                <c:pt idx="128">
                  <c:v>141</c:v>
                </c:pt>
                <c:pt idx="129">
                  <c:v>142</c:v>
                </c:pt>
                <c:pt idx="130">
                  <c:v>143</c:v>
                </c:pt>
                <c:pt idx="131">
                  <c:v>144</c:v>
                </c:pt>
                <c:pt idx="132">
                  <c:v>145</c:v>
                </c:pt>
                <c:pt idx="133">
                  <c:v>146</c:v>
                </c:pt>
                <c:pt idx="134">
                  <c:v>147</c:v>
                </c:pt>
                <c:pt idx="135">
                  <c:v>148</c:v>
                </c:pt>
                <c:pt idx="136">
                  <c:v>149</c:v>
                </c:pt>
                <c:pt idx="137">
                  <c:v>150</c:v>
                </c:pt>
                <c:pt idx="138">
                  <c:v>151</c:v>
                </c:pt>
                <c:pt idx="139">
                  <c:v>152</c:v>
                </c:pt>
                <c:pt idx="140">
                  <c:v>153</c:v>
                </c:pt>
                <c:pt idx="141">
                  <c:v>154</c:v>
                </c:pt>
                <c:pt idx="142">
                  <c:v>155</c:v>
                </c:pt>
                <c:pt idx="143">
                  <c:v>156</c:v>
                </c:pt>
                <c:pt idx="144">
                  <c:v>157</c:v>
                </c:pt>
                <c:pt idx="145">
                  <c:v>158</c:v>
                </c:pt>
                <c:pt idx="146">
                  <c:v>159</c:v>
                </c:pt>
                <c:pt idx="147">
                  <c:v>160</c:v>
                </c:pt>
                <c:pt idx="148">
                  <c:v>161</c:v>
                </c:pt>
                <c:pt idx="149">
                  <c:v>162</c:v>
                </c:pt>
                <c:pt idx="150">
                  <c:v>163</c:v>
                </c:pt>
                <c:pt idx="151">
                  <c:v>164</c:v>
                </c:pt>
                <c:pt idx="152">
                  <c:v>165</c:v>
                </c:pt>
                <c:pt idx="153">
                  <c:v>166</c:v>
                </c:pt>
                <c:pt idx="154">
                  <c:v>167</c:v>
                </c:pt>
                <c:pt idx="155">
                  <c:v>168</c:v>
                </c:pt>
                <c:pt idx="156">
                  <c:v>169</c:v>
                </c:pt>
                <c:pt idx="157">
                  <c:v>170</c:v>
                </c:pt>
                <c:pt idx="158">
                  <c:v>171</c:v>
                </c:pt>
                <c:pt idx="159">
                  <c:v>172</c:v>
                </c:pt>
                <c:pt idx="160">
                  <c:v>173</c:v>
                </c:pt>
                <c:pt idx="161">
                  <c:v>174</c:v>
                </c:pt>
                <c:pt idx="162">
                  <c:v>175</c:v>
                </c:pt>
                <c:pt idx="163">
                  <c:v>176</c:v>
                </c:pt>
                <c:pt idx="164">
                  <c:v>177</c:v>
                </c:pt>
                <c:pt idx="165">
                  <c:v>178</c:v>
                </c:pt>
                <c:pt idx="166">
                  <c:v>179</c:v>
                </c:pt>
                <c:pt idx="167">
                  <c:v>180</c:v>
                </c:pt>
                <c:pt idx="168">
                  <c:v>181</c:v>
                </c:pt>
                <c:pt idx="169">
                  <c:v>182</c:v>
                </c:pt>
                <c:pt idx="170">
                  <c:v>183</c:v>
                </c:pt>
                <c:pt idx="171">
                  <c:v>184</c:v>
                </c:pt>
                <c:pt idx="172">
                  <c:v>185</c:v>
                </c:pt>
                <c:pt idx="173">
                  <c:v>186</c:v>
                </c:pt>
                <c:pt idx="174">
                  <c:v>187</c:v>
                </c:pt>
                <c:pt idx="175">
                  <c:v>188</c:v>
                </c:pt>
                <c:pt idx="176">
                  <c:v>189</c:v>
                </c:pt>
                <c:pt idx="177">
                  <c:v>190</c:v>
                </c:pt>
                <c:pt idx="178">
                  <c:v>191</c:v>
                </c:pt>
                <c:pt idx="179">
                  <c:v>192</c:v>
                </c:pt>
                <c:pt idx="180">
                  <c:v>193</c:v>
                </c:pt>
                <c:pt idx="181">
                  <c:v>194</c:v>
                </c:pt>
                <c:pt idx="182">
                  <c:v>195</c:v>
                </c:pt>
                <c:pt idx="183">
                  <c:v>196</c:v>
                </c:pt>
                <c:pt idx="184">
                  <c:v>197</c:v>
                </c:pt>
                <c:pt idx="185">
                  <c:v>198</c:v>
                </c:pt>
                <c:pt idx="186">
                  <c:v>199</c:v>
                </c:pt>
                <c:pt idx="187">
                  <c:v>200</c:v>
                </c:pt>
                <c:pt idx="188">
                  <c:v>201</c:v>
                </c:pt>
                <c:pt idx="189">
                  <c:v>202</c:v>
                </c:pt>
                <c:pt idx="190">
                  <c:v>203</c:v>
                </c:pt>
                <c:pt idx="191">
                  <c:v>204</c:v>
                </c:pt>
                <c:pt idx="192">
                  <c:v>205</c:v>
                </c:pt>
                <c:pt idx="193">
                  <c:v>206</c:v>
                </c:pt>
                <c:pt idx="194">
                  <c:v>207</c:v>
                </c:pt>
                <c:pt idx="195">
                  <c:v>208</c:v>
                </c:pt>
                <c:pt idx="196">
                  <c:v>209</c:v>
                </c:pt>
                <c:pt idx="197">
                  <c:v>210</c:v>
                </c:pt>
                <c:pt idx="198">
                  <c:v>211</c:v>
                </c:pt>
                <c:pt idx="199">
                  <c:v>212</c:v>
                </c:pt>
                <c:pt idx="200">
                  <c:v>213</c:v>
                </c:pt>
                <c:pt idx="201">
                  <c:v>214</c:v>
                </c:pt>
                <c:pt idx="202">
                  <c:v>215</c:v>
                </c:pt>
                <c:pt idx="203">
                  <c:v>216</c:v>
                </c:pt>
                <c:pt idx="204">
                  <c:v>217</c:v>
                </c:pt>
                <c:pt idx="205">
                  <c:v>218</c:v>
                </c:pt>
                <c:pt idx="206">
                  <c:v>219</c:v>
                </c:pt>
                <c:pt idx="207">
                  <c:v>220</c:v>
                </c:pt>
                <c:pt idx="208">
                  <c:v>221</c:v>
                </c:pt>
                <c:pt idx="209">
                  <c:v>222</c:v>
                </c:pt>
                <c:pt idx="210">
                  <c:v>223</c:v>
                </c:pt>
                <c:pt idx="211">
                  <c:v>224</c:v>
                </c:pt>
                <c:pt idx="212">
                  <c:v>225</c:v>
                </c:pt>
                <c:pt idx="213">
                  <c:v>226</c:v>
                </c:pt>
                <c:pt idx="214">
                  <c:v>227</c:v>
                </c:pt>
                <c:pt idx="215">
                  <c:v>228</c:v>
                </c:pt>
                <c:pt idx="216">
                  <c:v>229</c:v>
                </c:pt>
                <c:pt idx="217">
                  <c:v>230</c:v>
                </c:pt>
                <c:pt idx="218">
                  <c:v>231</c:v>
                </c:pt>
                <c:pt idx="219">
                  <c:v>232</c:v>
                </c:pt>
                <c:pt idx="220">
                  <c:v>233</c:v>
                </c:pt>
                <c:pt idx="221">
                  <c:v>234</c:v>
                </c:pt>
                <c:pt idx="222">
                  <c:v>235</c:v>
                </c:pt>
                <c:pt idx="223">
                  <c:v>236</c:v>
                </c:pt>
                <c:pt idx="224">
                  <c:v>237</c:v>
                </c:pt>
                <c:pt idx="225">
                  <c:v>238</c:v>
                </c:pt>
                <c:pt idx="226">
                  <c:v>239</c:v>
                </c:pt>
                <c:pt idx="227">
                  <c:v>240</c:v>
                </c:pt>
                <c:pt idx="228">
                  <c:v>241</c:v>
                </c:pt>
                <c:pt idx="229">
                  <c:v>242</c:v>
                </c:pt>
                <c:pt idx="230">
                  <c:v>243</c:v>
                </c:pt>
                <c:pt idx="231">
                  <c:v>244</c:v>
                </c:pt>
                <c:pt idx="232">
                  <c:v>245</c:v>
                </c:pt>
                <c:pt idx="233">
                  <c:v>246</c:v>
                </c:pt>
                <c:pt idx="234">
                  <c:v>247</c:v>
                </c:pt>
                <c:pt idx="235">
                  <c:v>248</c:v>
                </c:pt>
                <c:pt idx="236">
                  <c:v>249</c:v>
                </c:pt>
                <c:pt idx="237">
                  <c:v>250</c:v>
                </c:pt>
                <c:pt idx="238">
                  <c:v>251</c:v>
                </c:pt>
                <c:pt idx="239">
                  <c:v>252</c:v>
                </c:pt>
                <c:pt idx="240">
                  <c:v>253</c:v>
                </c:pt>
                <c:pt idx="241">
                  <c:v>254</c:v>
                </c:pt>
                <c:pt idx="242">
                  <c:v>255</c:v>
                </c:pt>
                <c:pt idx="243">
                  <c:v>256</c:v>
                </c:pt>
                <c:pt idx="244">
                  <c:v>257</c:v>
                </c:pt>
                <c:pt idx="245">
                  <c:v>258</c:v>
                </c:pt>
                <c:pt idx="246">
                  <c:v>259</c:v>
                </c:pt>
                <c:pt idx="247">
                  <c:v>260</c:v>
                </c:pt>
                <c:pt idx="248">
                  <c:v>261</c:v>
                </c:pt>
                <c:pt idx="249">
                  <c:v>262</c:v>
                </c:pt>
                <c:pt idx="250">
                  <c:v>263</c:v>
                </c:pt>
                <c:pt idx="251">
                  <c:v>264</c:v>
                </c:pt>
                <c:pt idx="252">
                  <c:v>265</c:v>
                </c:pt>
                <c:pt idx="253">
                  <c:v>266</c:v>
                </c:pt>
                <c:pt idx="254">
                  <c:v>267</c:v>
                </c:pt>
                <c:pt idx="255">
                  <c:v>268</c:v>
                </c:pt>
                <c:pt idx="256">
                  <c:v>269</c:v>
                </c:pt>
                <c:pt idx="257">
                  <c:v>270</c:v>
                </c:pt>
                <c:pt idx="258">
                  <c:v>271</c:v>
                </c:pt>
                <c:pt idx="259">
                  <c:v>272</c:v>
                </c:pt>
                <c:pt idx="260">
                  <c:v>273</c:v>
                </c:pt>
                <c:pt idx="261">
                  <c:v>274</c:v>
                </c:pt>
                <c:pt idx="262">
                  <c:v>275</c:v>
                </c:pt>
                <c:pt idx="263">
                  <c:v>276</c:v>
                </c:pt>
                <c:pt idx="264">
                  <c:v>277</c:v>
                </c:pt>
                <c:pt idx="265">
                  <c:v>278</c:v>
                </c:pt>
                <c:pt idx="266">
                  <c:v>279</c:v>
                </c:pt>
                <c:pt idx="267">
                  <c:v>280</c:v>
                </c:pt>
                <c:pt idx="268">
                  <c:v>281</c:v>
                </c:pt>
                <c:pt idx="269">
                  <c:v>282</c:v>
                </c:pt>
                <c:pt idx="270">
                  <c:v>283</c:v>
                </c:pt>
                <c:pt idx="271">
                  <c:v>284</c:v>
                </c:pt>
                <c:pt idx="272">
                  <c:v>285</c:v>
                </c:pt>
                <c:pt idx="273">
                  <c:v>286</c:v>
                </c:pt>
                <c:pt idx="274">
                  <c:v>287</c:v>
                </c:pt>
                <c:pt idx="275">
                  <c:v>288</c:v>
                </c:pt>
                <c:pt idx="276">
                  <c:v>289</c:v>
                </c:pt>
                <c:pt idx="277">
                  <c:v>290</c:v>
                </c:pt>
                <c:pt idx="278">
                  <c:v>291</c:v>
                </c:pt>
                <c:pt idx="279">
                  <c:v>292</c:v>
                </c:pt>
                <c:pt idx="280">
                  <c:v>293</c:v>
                </c:pt>
                <c:pt idx="281">
                  <c:v>294</c:v>
                </c:pt>
                <c:pt idx="282">
                  <c:v>295</c:v>
                </c:pt>
                <c:pt idx="283">
                  <c:v>296</c:v>
                </c:pt>
                <c:pt idx="284">
                  <c:v>297</c:v>
                </c:pt>
                <c:pt idx="285">
                  <c:v>298</c:v>
                </c:pt>
                <c:pt idx="286">
                  <c:v>299</c:v>
                </c:pt>
                <c:pt idx="287">
                  <c:v>300</c:v>
                </c:pt>
                <c:pt idx="288">
                  <c:v>301</c:v>
                </c:pt>
                <c:pt idx="289">
                  <c:v>302</c:v>
                </c:pt>
                <c:pt idx="290">
                  <c:v>303</c:v>
                </c:pt>
                <c:pt idx="291">
                  <c:v>304</c:v>
                </c:pt>
                <c:pt idx="292">
                  <c:v>305</c:v>
                </c:pt>
                <c:pt idx="293">
                  <c:v>306</c:v>
                </c:pt>
                <c:pt idx="294">
                  <c:v>307</c:v>
                </c:pt>
                <c:pt idx="295">
                  <c:v>308</c:v>
                </c:pt>
                <c:pt idx="296">
                  <c:v>309</c:v>
                </c:pt>
                <c:pt idx="297">
                  <c:v>310</c:v>
                </c:pt>
                <c:pt idx="298">
                  <c:v>311</c:v>
                </c:pt>
                <c:pt idx="299">
                  <c:v>312</c:v>
                </c:pt>
                <c:pt idx="300">
                  <c:v>313</c:v>
                </c:pt>
                <c:pt idx="301">
                  <c:v>314</c:v>
                </c:pt>
                <c:pt idx="302">
                  <c:v>315</c:v>
                </c:pt>
                <c:pt idx="303">
                  <c:v>316</c:v>
                </c:pt>
                <c:pt idx="304">
                  <c:v>317</c:v>
                </c:pt>
                <c:pt idx="305">
                  <c:v>318</c:v>
                </c:pt>
                <c:pt idx="306">
                  <c:v>319</c:v>
                </c:pt>
                <c:pt idx="307">
                  <c:v>320</c:v>
                </c:pt>
                <c:pt idx="308">
                  <c:v>321</c:v>
                </c:pt>
                <c:pt idx="309">
                  <c:v>322</c:v>
                </c:pt>
                <c:pt idx="310">
                  <c:v>323</c:v>
                </c:pt>
                <c:pt idx="311">
                  <c:v>324</c:v>
                </c:pt>
                <c:pt idx="312">
                  <c:v>325</c:v>
                </c:pt>
                <c:pt idx="313">
                  <c:v>326</c:v>
                </c:pt>
                <c:pt idx="314">
                  <c:v>327</c:v>
                </c:pt>
                <c:pt idx="315">
                  <c:v>328</c:v>
                </c:pt>
                <c:pt idx="316">
                  <c:v>329</c:v>
                </c:pt>
                <c:pt idx="317">
                  <c:v>330</c:v>
                </c:pt>
                <c:pt idx="318">
                  <c:v>331</c:v>
                </c:pt>
                <c:pt idx="319">
                  <c:v>332</c:v>
                </c:pt>
                <c:pt idx="320">
                  <c:v>333</c:v>
                </c:pt>
                <c:pt idx="321">
                  <c:v>334</c:v>
                </c:pt>
                <c:pt idx="322">
                  <c:v>335</c:v>
                </c:pt>
                <c:pt idx="323">
                  <c:v>336</c:v>
                </c:pt>
                <c:pt idx="324">
                  <c:v>337</c:v>
                </c:pt>
                <c:pt idx="325">
                  <c:v>338</c:v>
                </c:pt>
                <c:pt idx="326">
                  <c:v>339</c:v>
                </c:pt>
                <c:pt idx="327">
                  <c:v>340</c:v>
                </c:pt>
                <c:pt idx="328">
                  <c:v>341</c:v>
                </c:pt>
                <c:pt idx="329">
                  <c:v>342</c:v>
                </c:pt>
                <c:pt idx="330">
                  <c:v>343</c:v>
                </c:pt>
                <c:pt idx="331">
                  <c:v>344</c:v>
                </c:pt>
                <c:pt idx="332">
                  <c:v>345</c:v>
                </c:pt>
                <c:pt idx="333">
                  <c:v>346</c:v>
                </c:pt>
                <c:pt idx="334">
                  <c:v>347</c:v>
                </c:pt>
                <c:pt idx="335">
                  <c:v>348</c:v>
                </c:pt>
                <c:pt idx="336">
                  <c:v>349</c:v>
                </c:pt>
                <c:pt idx="337">
                  <c:v>350</c:v>
                </c:pt>
                <c:pt idx="338">
                  <c:v>351</c:v>
                </c:pt>
                <c:pt idx="339">
                  <c:v>352</c:v>
                </c:pt>
                <c:pt idx="340">
                  <c:v>353</c:v>
                </c:pt>
                <c:pt idx="341">
                  <c:v>354</c:v>
                </c:pt>
                <c:pt idx="342">
                  <c:v>355</c:v>
                </c:pt>
                <c:pt idx="343">
                  <c:v>356</c:v>
                </c:pt>
                <c:pt idx="344">
                  <c:v>357</c:v>
                </c:pt>
                <c:pt idx="345">
                  <c:v>358</c:v>
                </c:pt>
                <c:pt idx="346">
                  <c:v>359</c:v>
                </c:pt>
                <c:pt idx="347">
                  <c:v>360</c:v>
                </c:pt>
                <c:pt idx="348">
                  <c:v>361</c:v>
                </c:pt>
                <c:pt idx="349">
                  <c:v>362</c:v>
                </c:pt>
                <c:pt idx="350">
                  <c:v>363</c:v>
                </c:pt>
                <c:pt idx="351">
                  <c:v>364</c:v>
                </c:pt>
                <c:pt idx="352">
                  <c:v>365</c:v>
                </c:pt>
                <c:pt idx="353">
                  <c:v>366</c:v>
                </c:pt>
                <c:pt idx="354">
                  <c:v>367</c:v>
                </c:pt>
                <c:pt idx="355">
                  <c:v>368</c:v>
                </c:pt>
                <c:pt idx="356">
                  <c:v>369</c:v>
                </c:pt>
                <c:pt idx="357">
                  <c:v>370</c:v>
                </c:pt>
                <c:pt idx="358">
                  <c:v>371</c:v>
                </c:pt>
                <c:pt idx="359">
                  <c:v>372</c:v>
                </c:pt>
                <c:pt idx="360">
                  <c:v>373</c:v>
                </c:pt>
              </c:numCache>
            </c:numRef>
          </c:cat>
          <c:val>
            <c:numRef>
              <c:f>[0]!MeanValTIPS</c:f>
              <c:numCache>
                <c:formatCode>General</c:formatCode>
                <c:ptCount val="36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56</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numCache>
            </c:numRef>
          </c:val>
          <c:smooth val="0"/>
          <c:extLst>
            <c:ext xmlns:c16="http://schemas.microsoft.com/office/drawing/2014/chart" uri="{C3380CC4-5D6E-409C-BE32-E72D297353CC}">
              <c16:uniqueId val="{00000000-08F3-4CA6-81D0-E6DABBB936A5}"/>
            </c:ext>
          </c:extLst>
        </c:ser>
        <c:dLbls>
          <c:showLegendKey val="0"/>
          <c:showVal val="0"/>
          <c:showCatName val="0"/>
          <c:showSerName val="0"/>
          <c:showPercent val="0"/>
          <c:showBubbleSize val="0"/>
        </c:dLbls>
        <c:smooth val="0"/>
        <c:axId val="1581797775"/>
        <c:axId val="1581787695"/>
      </c:lineChart>
      <c:catAx>
        <c:axId val="1581797775"/>
        <c:scaling>
          <c:orientation val="minMax"/>
        </c:scaling>
        <c:delete val="1"/>
        <c:axPos val="b"/>
        <c:numFmt formatCode="General" sourceLinked="1"/>
        <c:majorTickMark val="out"/>
        <c:minorTickMark val="in"/>
        <c:tickLblPos val="nextTo"/>
        <c:crossAx val="1581787695"/>
        <c:crosses val="autoZero"/>
        <c:auto val="1"/>
        <c:lblAlgn val="ctr"/>
        <c:lblOffset val="100"/>
        <c:tickMarkSkip val="10"/>
        <c:noMultiLvlLbl val="0"/>
      </c:catAx>
      <c:valAx>
        <c:axId val="158178769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797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Lbls>
            <c:dLbl>
              <c:idx val="0"/>
              <c:tx>
                <c:rich>
                  <a:bodyPr/>
                  <a:lstStyle/>
                  <a:p>
                    <a:fld id="{EA3E669F-66E2-4984-BEFE-CFEACB7D5B00}" type="CELLRANGE">
                      <a:rPr lang="en-US"/>
                      <a:pPr/>
                      <a:t>[CELLRANGE]</a:t>
                    </a:fld>
                    <a:r>
                      <a:rPr lang="en-US" baseline="0"/>
                      <a:t>, </a:t>
                    </a:r>
                    <a:fld id="{900B174C-F53D-4E59-B01B-809D70D15C93}"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4525-4BDD-92FF-52D81D07EFAF}"/>
                </c:ext>
              </c:extLst>
            </c:dLbl>
            <c:dLbl>
              <c:idx val="1"/>
              <c:tx>
                <c:rich>
                  <a:bodyPr/>
                  <a:lstStyle/>
                  <a:p>
                    <a:fld id="{86988441-C68E-41E4-BC97-EEF877A91DF9}" type="CELLRANGE">
                      <a:rPr lang="en-US"/>
                      <a:pPr/>
                      <a:t>[CELLRANGE]</a:t>
                    </a:fld>
                    <a:r>
                      <a:rPr lang="en-US" baseline="0"/>
                      <a:t>, </a:t>
                    </a:r>
                    <a:fld id="{9DA8E7F0-B932-48D7-81C8-A8876E0D0ACD}"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4525-4BDD-92FF-52D81D07EFAF}"/>
                </c:ext>
              </c:extLst>
            </c:dLbl>
            <c:dLbl>
              <c:idx val="2"/>
              <c:tx>
                <c:rich>
                  <a:bodyPr/>
                  <a:lstStyle/>
                  <a:p>
                    <a:fld id="{7486FA4F-3701-47F7-BC05-FA0C0A9955B3}" type="CELLRANGE">
                      <a:rPr lang="en-US"/>
                      <a:pPr/>
                      <a:t>[CELLRANGE]</a:t>
                    </a:fld>
                    <a:r>
                      <a:rPr lang="en-US" baseline="0"/>
                      <a:t>, </a:t>
                    </a:r>
                    <a:fld id="{C5E85E37-1C2B-4446-9BAB-FB040B0AB6B7}"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4525-4BDD-92FF-52D81D07EFAF}"/>
                </c:ext>
              </c:extLst>
            </c:dLbl>
            <c:dLbl>
              <c:idx val="3"/>
              <c:tx>
                <c:rich>
                  <a:bodyPr/>
                  <a:lstStyle/>
                  <a:p>
                    <a:fld id="{76A054F4-1E16-4E41-A39F-756A5EDAB2D4}" type="CELLRANGE">
                      <a:rPr lang="en-US"/>
                      <a:pPr/>
                      <a:t>[CELLRANGE]</a:t>
                    </a:fld>
                    <a:r>
                      <a:rPr lang="en-US" baseline="0"/>
                      <a:t>, </a:t>
                    </a:r>
                    <a:fld id="{C4BDA1B1-70D2-40BA-9422-F51CE7935E2E}"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4525-4BDD-92FF-52D81D07EFAF}"/>
                </c:ext>
              </c:extLst>
            </c:dLbl>
            <c:dLbl>
              <c:idx val="4"/>
              <c:tx>
                <c:rich>
                  <a:bodyPr/>
                  <a:lstStyle/>
                  <a:p>
                    <a:fld id="{C3774298-7C9E-41A5-BBDB-30479A7C16DF}" type="CELLRANGE">
                      <a:rPr lang="en-US"/>
                      <a:pPr/>
                      <a:t>[CELLRANGE]</a:t>
                    </a:fld>
                    <a:r>
                      <a:rPr lang="en-US" baseline="0"/>
                      <a:t>, </a:t>
                    </a:r>
                    <a:fld id="{4AEEB64C-60B4-4197-8B53-1AFB17BC6B4C}"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4525-4BDD-92FF-52D81D07EFA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[0]!BinLabDIST</c:f>
              <c:strCache>
                <c:ptCount val="5"/>
                <c:pt idx="0">
                  <c:v>975 - 1204</c:v>
                </c:pt>
                <c:pt idx="1">
                  <c:v>1204 - 1433</c:v>
                </c:pt>
                <c:pt idx="2">
                  <c:v>1433 - 1661</c:v>
                </c:pt>
                <c:pt idx="3">
                  <c:v>1661 - 1890</c:v>
                </c:pt>
                <c:pt idx="4">
                  <c:v>1890 - 2119</c:v>
                </c:pt>
              </c:strCache>
            </c:strRef>
          </c:cat>
          <c:val>
            <c:numRef>
              <c:f>[0]!FreqDIST</c:f>
              <c:numCache>
                <c:formatCode>General</c:formatCode>
                <c:ptCount val="5"/>
                <c:pt idx="0">
                  <c:v>9</c:v>
                </c:pt>
                <c:pt idx="1">
                  <c:v>1</c:v>
                </c:pt>
                <c:pt idx="2">
                  <c:v>4</c:v>
                </c:pt>
                <c:pt idx="3">
                  <c:v>1</c:v>
                </c:pt>
                <c:pt idx="4">
                  <c:v>1</c:v>
                </c:pt>
              </c:numCache>
            </c:numRef>
          </c:val>
          <c:extLst>
            <c:ext xmlns:c15="http://schemas.microsoft.com/office/drawing/2012/chart" uri="{02D57815-91ED-43cb-92C2-25804820EDAC}">
              <c15:datalabelsRange>
                <c15:f>[0]!FreqPerDIST</c15:f>
                <c15:dlblRangeCache>
                  <c:ptCount val="5"/>
                  <c:pt idx="0">
                    <c:v>56.3%</c:v>
                  </c:pt>
                  <c:pt idx="1">
                    <c:v>6.3%</c:v>
                  </c:pt>
                  <c:pt idx="2">
                    <c:v>25%</c:v>
                  </c:pt>
                  <c:pt idx="3">
                    <c:v>6.3%</c:v>
                  </c:pt>
                  <c:pt idx="4">
                    <c:v>6.3%</c:v>
                  </c:pt>
                </c15:dlblRangeCache>
              </c15:datalabelsRange>
            </c:ext>
            <c:ext xmlns:c16="http://schemas.microsoft.com/office/drawing/2014/chart" uri="{C3380CC4-5D6E-409C-BE32-E72D297353CC}">
              <c16:uniqueId val="{00000005-4525-4BDD-92FF-52D81D07EFAF}"/>
            </c:ext>
          </c:extLst>
        </c:ser>
        <c:dLbls>
          <c:dLblPos val="outEnd"/>
          <c:showLegendKey val="0"/>
          <c:showVal val="1"/>
          <c:showCatName val="0"/>
          <c:showSerName val="0"/>
          <c:showPercent val="0"/>
          <c:showBubbleSize val="0"/>
        </c:dLbls>
        <c:gapWidth val="0"/>
        <c:axId val="95337984"/>
        <c:axId val="95342784"/>
      </c:barChart>
      <c:catAx>
        <c:axId val="95337984"/>
        <c:scaling>
          <c:orientation val="minMax"/>
        </c:scaling>
        <c:delete val="0"/>
        <c:axPos val="b"/>
        <c:numFmt formatCode="&quot;$&quot;#,##0"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b"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95342784"/>
        <c:crosses val="autoZero"/>
        <c:auto val="1"/>
        <c:lblAlgn val="ctr"/>
        <c:lblOffset val="100"/>
        <c:noMultiLvlLbl val="0"/>
      </c:catAx>
      <c:valAx>
        <c:axId val="9534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37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623263763758611E-2"/>
          <c:y val="0.14600208397484143"/>
          <c:w val="0.82727933638009732"/>
          <c:h val="0.66236849201171122"/>
        </c:manualLayout>
      </c:layout>
      <c:lineChart>
        <c:grouping val="standard"/>
        <c:varyColors val="0"/>
        <c:ser>
          <c:idx val="0"/>
          <c:order val="0"/>
          <c:tx>
            <c:v>Actual Frequency</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[0]!BinLabDIST</c:f>
              <c:strCache>
                <c:ptCount val="5"/>
                <c:pt idx="0">
                  <c:v>975 - 1204</c:v>
                </c:pt>
                <c:pt idx="1">
                  <c:v>1204 - 1433</c:v>
                </c:pt>
                <c:pt idx="2">
                  <c:v>1433 - 1661</c:v>
                </c:pt>
                <c:pt idx="3">
                  <c:v>1661 - 1890</c:v>
                </c:pt>
                <c:pt idx="4">
                  <c:v>1890 - 2119</c:v>
                </c:pt>
              </c:strCache>
            </c:strRef>
          </c:cat>
          <c:val>
            <c:numRef>
              <c:f>[0]!FreqDIST</c:f>
              <c:numCache>
                <c:formatCode>General</c:formatCode>
                <c:ptCount val="5"/>
                <c:pt idx="0">
                  <c:v>9</c:v>
                </c:pt>
                <c:pt idx="1">
                  <c:v>1</c:v>
                </c:pt>
                <c:pt idx="2">
                  <c:v>4</c:v>
                </c:pt>
                <c:pt idx="3">
                  <c:v>1</c:v>
                </c:pt>
                <c:pt idx="4">
                  <c:v>1</c:v>
                </c:pt>
              </c:numCache>
            </c:numRef>
          </c:val>
          <c:smooth val="1"/>
          <c:extLst>
            <c:ext xmlns:c16="http://schemas.microsoft.com/office/drawing/2014/chart" uri="{C3380CC4-5D6E-409C-BE32-E72D297353CC}">
              <c16:uniqueId val="{00000000-B429-4215-8AB1-E92ABE8D8FE8}"/>
            </c:ext>
          </c:extLst>
        </c:ser>
        <c:ser>
          <c:idx val="1"/>
          <c:order val="1"/>
          <c:tx>
            <c:v>Normalized Expected Distribution</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[0]!BinLabDIST</c:f>
              <c:strCache>
                <c:ptCount val="5"/>
                <c:pt idx="0">
                  <c:v>975 - 1204</c:v>
                </c:pt>
                <c:pt idx="1">
                  <c:v>1204 - 1433</c:v>
                </c:pt>
                <c:pt idx="2">
                  <c:v>1433 - 1661</c:v>
                </c:pt>
                <c:pt idx="3">
                  <c:v>1661 - 1890</c:v>
                </c:pt>
                <c:pt idx="4">
                  <c:v>1890 - 2119</c:v>
                </c:pt>
              </c:strCache>
            </c:strRef>
          </c:cat>
          <c:val>
            <c:numRef>
              <c:f>[0]!SalesNormDIST</c:f>
              <c:numCache>
                <c:formatCode>0.00</c:formatCode>
                <c:ptCount val="5"/>
                <c:pt idx="0">
                  <c:v>3.7166354608719052</c:v>
                </c:pt>
                <c:pt idx="1">
                  <c:v>4.5284668901304084</c:v>
                </c:pt>
                <c:pt idx="2">
                  <c:v>3.3252091110427235</c:v>
                </c:pt>
                <c:pt idx="3">
                  <c:v>1.4714762652677507</c:v>
                </c:pt>
                <c:pt idx="4">
                  <c:v>0.39242267646114681</c:v>
                </c:pt>
              </c:numCache>
            </c:numRef>
          </c:val>
          <c:smooth val="1"/>
          <c:extLst>
            <c:ext xmlns:c16="http://schemas.microsoft.com/office/drawing/2014/chart" uri="{C3380CC4-5D6E-409C-BE32-E72D297353CC}">
              <c16:uniqueId val="{00000001-B429-4215-8AB1-E92ABE8D8FE8}"/>
            </c:ext>
          </c:extLst>
        </c:ser>
        <c:dLbls>
          <c:showLegendKey val="0"/>
          <c:showVal val="0"/>
          <c:showCatName val="0"/>
          <c:showSerName val="0"/>
          <c:showPercent val="0"/>
          <c:showBubbleSize val="0"/>
        </c:dLbls>
        <c:marker val="1"/>
        <c:smooth val="0"/>
        <c:axId val="255424240"/>
        <c:axId val="255431920"/>
      </c:lineChart>
      <c:scatterChart>
        <c:scatterStyle val="lineMarker"/>
        <c:varyColors val="0"/>
        <c:ser>
          <c:idx val="2"/>
          <c:order val="2"/>
          <c:tx>
            <c:v>Mean</c:v>
          </c:tx>
          <c:spPr>
            <a:ln w="12700" cap="rnd">
              <a:solidFill>
                <a:srgbClr val="FF0000"/>
              </a:solidFill>
              <a:prstDash val="sysDash"/>
              <a:round/>
            </a:ln>
            <a:effectLst/>
          </c:spPr>
          <c:marker>
            <c:symbol val="circle"/>
            <c:size val="5"/>
            <c:spPr>
              <a:solidFill>
                <a:srgbClr val="C00000"/>
              </a:solidFill>
              <a:ln w="9525">
                <a:solidFill>
                  <a:schemeClr val="accent3"/>
                </a:solidFill>
              </a:ln>
              <a:effectLst/>
            </c:spPr>
          </c:marker>
          <c:dPt>
            <c:idx val="2"/>
            <c:marker>
              <c:symbol val="none"/>
            </c:marker>
            <c:bubble3D val="0"/>
            <c:spPr>
              <a:ln w="28575" cap="rnd">
                <a:solidFill>
                  <a:schemeClr val="accent3"/>
                </a:solidFill>
                <a:round/>
              </a:ln>
              <a:effectLst/>
            </c:spPr>
            <c:extLst>
              <c:ext xmlns:c16="http://schemas.microsoft.com/office/drawing/2014/chart" uri="{C3380CC4-5D6E-409C-BE32-E72D297353CC}">
                <c16:uniqueId val="{00000001-526B-4F77-8F07-C0C53DBC1916}"/>
              </c:ext>
            </c:extLst>
          </c:dPt>
          <c:xVal>
            <c:numRef>
              <c:f>DIST!$R$9:$R$14</c:f>
              <c:numCache>
                <c:formatCode>"$"#,##0.00</c:formatCode>
                <c:ptCount val="6"/>
                <c:pt idx="0">
                  <c:v>975</c:v>
                </c:pt>
                <c:pt idx="1">
                  <c:v>975</c:v>
                </c:pt>
                <c:pt idx="2">
                  <c:v>1293.0625</c:v>
                </c:pt>
                <c:pt idx="3">
                  <c:v>1293.0625</c:v>
                </c:pt>
                <c:pt idx="4">
                  <c:v>2119</c:v>
                </c:pt>
                <c:pt idx="5">
                  <c:v>2119</c:v>
                </c:pt>
              </c:numCache>
            </c:numRef>
          </c:xVal>
          <c:yVal>
            <c:numRef>
              <c:f>DIST!$S$9:$S$14</c:f>
              <c:numCache>
                <c:formatCode>General</c:formatCode>
                <c:ptCount val="6"/>
                <c:pt idx="0">
                  <c:v>0</c:v>
                </c:pt>
                <c:pt idx="1">
                  <c:v>0</c:v>
                </c:pt>
                <c:pt idx="2">
                  <c:v>0</c:v>
                </c:pt>
                <c:pt idx="3">
                  <c:v>9</c:v>
                </c:pt>
                <c:pt idx="4">
                  <c:v>0</c:v>
                </c:pt>
                <c:pt idx="5">
                  <c:v>0</c:v>
                </c:pt>
              </c:numCache>
            </c:numRef>
          </c:yVal>
          <c:smooth val="0"/>
          <c:extLst>
            <c:ext xmlns:c16="http://schemas.microsoft.com/office/drawing/2014/chart" uri="{C3380CC4-5D6E-409C-BE32-E72D297353CC}">
              <c16:uniqueId val="{00000009-B429-4215-8AB1-E92ABE8D8FE8}"/>
            </c:ext>
          </c:extLst>
        </c:ser>
        <c:dLbls>
          <c:showLegendKey val="0"/>
          <c:showVal val="0"/>
          <c:showCatName val="0"/>
          <c:showSerName val="0"/>
          <c:showPercent val="0"/>
          <c:showBubbleSize val="0"/>
        </c:dLbls>
        <c:axId val="1354688528"/>
        <c:axId val="1354686128"/>
      </c:scatterChart>
      <c:catAx>
        <c:axId val="255424240"/>
        <c:scaling>
          <c:orientation val="minMax"/>
        </c:scaling>
        <c:delete val="0"/>
        <c:axPos val="b"/>
        <c:numFmt formatCode="General" sourceLinked="1"/>
        <c:majorTickMark val="in"/>
        <c:minorTickMark val="in"/>
        <c:tickLblPos val="nextTo"/>
        <c:spPr>
          <a:noFill/>
          <a:ln w="9525" cap="flat" cmpd="sng" algn="ctr">
            <a:solidFill>
              <a:srgbClr val="FF0000"/>
            </a:solidFill>
            <a:round/>
          </a:ln>
          <a:effectLst/>
        </c:spPr>
        <c:txPr>
          <a:bodyPr rot="-5400000" spcFirstLastPara="1" vertOverflow="ellipsis" wrap="square" anchor="ctr" anchorCtr="1"/>
          <a:lstStyle/>
          <a:p>
            <a:pPr>
              <a:defRPr sz="900" b="0" i="0" u="none" strike="noStrike" kern="1200" baseline="0">
                <a:solidFill>
                  <a:sysClr val="windowText" lastClr="000000"/>
                </a:solidFill>
                <a:latin typeface="+mn-lt"/>
                <a:ea typeface="+mn-ea"/>
                <a:cs typeface="+mn-cs"/>
              </a:defRPr>
            </a:pPr>
            <a:endParaRPr lang="en-US"/>
          </a:p>
        </c:txPr>
        <c:crossAx val="255431920"/>
        <c:crosses val="autoZero"/>
        <c:auto val="1"/>
        <c:lblAlgn val="ctr"/>
        <c:lblOffset val="100"/>
        <c:tickLblSkip val="5"/>
        <c:noMultiLvlLbl val="1"/>
      </c:catAx>
      <c:valAx>
        <c:axId val="25543192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55424240"/>
        <c:crossesAt val="0"/>
        <c:crossBetween val="between"/>
        <c:majorUnit val="10"/>
      </c:valAx>
      <c:valAx>
        <c:axId val="135468612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54688528"/>
        <c:crosses val="autoZero"/>
        <c:crossBetween val="midCat"/>
      </c:valAx>
      <c:valAx>
        <c:axId val="1354688528"/>
        <c:scaling>
          <c:orientation val="minMax"/>
        </c:scaling>
        <c:delete val="0"/>
        <c:axPos val="t"/>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54686128"/>
        <c:crosses val="max"/>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2"/>
          <c:order val="2"/>
          <c:spPr>
            <a:solidFill>
              <a:schemeClr val="accent1">
                <a:alpha val="35000"/>
              </a:schemeClr>
            </a:solidFill>
            <a:ln>
              <a:noFill/>
            </a:ln>
            <a:effectLst/>
          </c:spPr>
          <c:invertIfNegative val="0"/>
          <c:val>
            <c:numRef>
              <c:f>[0]!FilteredFrequency</c:f>
              <c:numCache>
                <c:formatCode>0</c:formatCode>
                <c:ptCount val="13"/>
                <c:pt idx="0">
                  <c:v>9</c:v>
                </c:pt>
                <c:pt idx="1">
                  <c:v>26</c:v>
                </c:pt>
                <c:pt idx="2">
                  <c:v>42</c:v>
                </c:pt>
                <c:pt idx="3">
                  <c:v>31</c:v>
                </c:pt>
                <c:pt idx="4">
                  <c:v>57</c:v>
                </c:pt>
                <c:pt idx="5">
                  <c:v>50</c:v>
                </c:pt>
                <c:pt idx="6">
                  <c:v>48</c:v>
                </c:pt>
                <c:pt idx="7">
                  <c:v>19</c:v>
                </c:pt>
                <c:pt idx="8">
                  <c:v>12</c:v>
                </c:pt>
                <c:pt idx="9">
                  <c:v>4</c:v>
                </c:pt>
                <c:pt idx="10">
                  <c:v>5</c:v>
                </c:pt>
                <c:pt idx="11">
                  <c:v>0</c:v>
                </c:pt>
                <c:pt idx="12">
                  <c:v>1</c:v>
                </c:pt>
              </c:numCache>
            </c:numRef>
          </c:val>
          <c:extLst>
            <c:ext xmlns:c16="http://schemas.microsoft.com/office/drawing/2014/chart" uri="{C3380CC4-5D6E-409C-BE32-E72D297353CC}">
              <c16:uniqueId val="{00000000-F008-4B33-9DA5-9A37953EB7E3}"/>
            </c:ext>
          </c:extLst>
        </c:ser>
        <c:dLbls>
          <c:showLegendKey val="0"/>
          <c:showVal val="0"/>
          <c:showCatName val="0"/>
          <c:showSerName val="0"/>
          <c:showPercent val="0"/>
          <c:showBubbleSize val="0"/>
        </c:dLbls>
        <c:gapWidth val="0"/>
        <c:axId val="793615856"/>
        <c:axId val="793610096"/>
      </c:barChart>
      <c:lineChart>
        <c:grouping val="standard"/>
        <c:varyColors val="0"/>
        <c:ser>
          <c:idx val="0"/>
          <c:order val="0"/>
          <c:tx>
            <c:v>Actual Data</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[0]!BinLabels</c:f>
              <c:strCache>
                <c:ptCount val="13"/>
                <c:pt idx="0">
                  <c:v>$55.00 - $253.19</c:v>
                </c:pt>
                <c:pt idx="1">
                  <c:v>$253.20 - $451.38</c:v>
                </c:pt>
                <c:pt idx="2">
                  <c:v>$451.39 - $649.58</c:v>
                </c:pt>
                <c:pt idx="3">
                  <c:v>$649.59 - $847.77</c:v>
                </c:pt>
                <c:pt idx="4">
                  <c:v>$847.78 - $1045.96</c:v>
                </c:pt>
                <c:pt idx="5">
                  <c:v>$1045.97 - $1244.15</c:v>
                </c:pt>
                <c:pt idx="6">
                  <c:v>$1244.16 - $1442.35</c:v>
                </c:pt>
                <c:pt idx="7">
                  <c:v>$1442.36 - $1640.54</c:v>
                </c:pt>
                <c:pt idx="8">
                  <c:v>$1640.55 - $1838.73</c:v>
                </c:pt>
                <c:pt idx="9">
                  <c:v>$1838.74 - $2036.92</c:v>
                </c:pt>
                <c:pt idx="10">
                  <c:v>$2036.93 - $2235.12</c:v>
                </c:pt>
                <c:pt idx="11">
                  <c:v>$2235.13 - $2433.31</c:v>
                </c:pt>
                <c:pt idx="12">
                  <c:v>$2433.32 - $2631.50</c:v>
                </c:pt>
              </c:strCache>
            </c:strRef>
          </c:cat>
          <c:val>
            <c:numRef>
              <c:f>[0]!FilteredFrequency</c:f>
              <c:numCache>
                <c:formatCode>0</c:formatCode>
                <c:ptCount val="13"/>
                <c:pt idx="0">
                  <c:v>9</c:v>
                </c:pt>
                <c:pt idx="1">
                  <c:v>26</c:v>
                </c:pt>
                <c:pt idx="2">
                  <c:v>42</c:v>
                </c:pt>
                <c:pt idx="3">
                  <c:v>31</c:v>
                </c:pt>
                <c:pt idx="4">
                  <c:v>57</c:v>
                </c:pt>
                <c:pt idx="5">
                  <c:v>50</c:v>
                </c:pt>
                <c:pt idx="6">
                  <c:v>48</c:v>
                </c:pt>
                <c:pt idx="7">
                  <c:v>19</c:v>
                </c:pt>
                <c:pt idx="8">
                  <c:v>12</c:v>
                </c:pt>
                <c:pt idx="9">
                  <c:v>4</c:v>
                </c:pt>
                <c:pt idx="10">
                  <c:v>5</c:v>
                </c:pt>
                <c:pt idx="11">
                  <c:v>0</c:v>
                </c:pt>
                <c:pt idx="12">
                  <c:v>1</c:v>
                </c:pt>
              </c:numCache>
            </c:numRef>
          </c:val>
          <c:smooth val="1"/>
          <c:extLst>
            <c:ext xmlns:c16="http://schemas.microsoft.com/office/drawing/2014/chart" uri="{C3380CC4-5D6E-409C-BE32-E72D297353CC}">
              <c16:uniqueId val="{00000000-F1C0-4C72-90D4-B38F74EA1C65}"/>
            </c:ext>
          </c:extLst>
        </c:ser>
        <c:ser>
          <c:idx val="1"/>
          <c:order val="1"/>
          <c:tx>
            <c:v>Normalized Distribution</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[0]!BinLabels</c:f>
              <c:strCache>
                <c:ptCount val="13"/>
                <c:pt idx="0">
                  <c:v>$55.00 - $253.19</c:v>
                </c:pt>
                <c:pt idx="1">
                  <c:v>$253.20 - $451.38</c:v>
                </c:pt>
                <c:pt idx="2">
                  <c:v>$451.39 - $649.58</c:v>
                </c:pt>
                <c:pt idx="3">
                  <c:v>$649.59 - $847.77</c:v>
                </c:pt>
                <c:pt idx="4">
                  <c:v>$847.78 - $1045.96</c:v>
                </c:pt>
                <c:pt idx="5">
                  <c:v>$1045.97 - $1244.15</c:v>
                </c:pt>
                <c:pt idx="6">
                  <c:v>$1244.16 - $1442.35</c:v>
                </c:pt>
                <c:pt idx="7">
                  <c:v>$1442.36 - $1640.54</c:v>
                </c:pt>
                <c:pt idx="8">
                  <c:v>$1640.55 - $1838.73</c:v>
                </c:pt>
                <c:pt idx="9">
                  <c:v>$1838.74 - $2036.92</c:v>
                </c:pt>
                <c:pt idx="10">
                  <c:v>$2036.93 - $2235.12</c:v>
                </c:pt>
                <c:pt idx="11">
                  <c:v>$2235.13 - $2433.31</c:v>
                </c:pt>
                <c:pt idx="12">
                  <c:v>$2433.32 - $2631.50</c:v>
                </c:pt>
              </c:strCache>
            </c:strRef>
          </c:cat>
          <c:val>
            <c:numRef>
              <c:f>[0]!FilteredNormal</c:f>
              <c:numCache>
                <c:formatCode>0</c:formatCode>
                <c:ptCount val="13"/>
                <c:pt idx="0">
                  <c:v>13</c:v>
                </c:pt>
                <c:pt idx="1">
                  <c:v>16</c:v>
                </c:pt>
                <c:pt idx="2">
                  <c:v>32</c:v>
                </c:pt>
                <c:pt idx="3">
                  <c:v>44</c:v>
                </c:pt>
                <c:pt idx="4">
                  <c:v>51</c:v>
                </c:pt>
                <c:pt idx="5">
                  <c:v>48</c:v>
                </c:pt>
                <c:pt idx="6">
                  <c:v>39</c:v>
                </c:pt>
                <c:pt idx="7">
                  <c:v>25</c:v>
                </c:pt>
                <c:pt idx="8">
                  <c:v>14</c:v>
                </c:pt>
                <c:pt idx="9">
                  <c:v>6</c:v>
                </c:pt>
                <c:pt idx="10">
                  <c:v>2</c:v>
                </c:pt>
                <c:pt idx="11">
                  <c:v>14</c:v>
                </c:pt>
                <c:pt idx="12">
                  <c:v>0</c:v>
                </c:pt>
              </c:numCache>
            </c:numRef>
          </c:val>
          <c:smooth val="1"/>
          <c:extLst>
            <c:ext xmlns:c16="http://schemas.microsoft.com/office/drawing/2014/chart" uri="{C3380CC4-5D6E-409C-BE32-E72D297353CC}">
              <c16:uniqueId val="{00000001-F1C0-4C72-90D4-B38F74EA1C65}"/>
            </c:ext>
          </c:extLst>
        </c:ser>
        <c:dLbls>
          <c:showLegendKey val="0"/>
          <c:showVal val="0"/>
          <c:showCatName val="0"/>
          <c:showSerName val="0"/>
          <c:showPercent val="0"/>
          <c:showBubbleSize val="0"/>
        </c:dLbls>
        <c:marker val="1"/>
        <c:smooth val="0"/>
        <c:axId val="1663679455"/>
        <c:axId val="1663680415"/>
      </c:lineChart>
      <c:catAx>
        <c:axId val="1663679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04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3680415"/>
        <c:crosses val="autoZero"/>
        <c:auto val="1"/>
        <c:lblAlgn val="ctr"/>
        <c:lblOffset val="100"/>
        <c:noMultiLvlLbl val="0"/>
      </c:catAx>
      <c:valAx>
        <c:axId val="16636804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3679455"/>
        <c:crosses val="autoZero"/>
        <c:crossBetween val="between"/>
      </c:valAx>
      <c:valAx>
        <c:axId val="793610096"/>
        <c:scaling>
          <c:orientation val="minMax"/>
        </c:scaling>
        <c:delete val="1"/>
        <c:axPos val="r"/>
        <c:numFmt formatCode="0" sourceLinked="1"/>
        <c:majorTickMark val="out"/>
        <c:minorTickMark val="none"/>
        <c:tickLblPos val="nextTo"/>
        <c:crossAx val="793615856"/>
        <c:crosses val="max"/>
        <c:crossBetween val="between"/>
      </c:valAx>
      <c:catAx>
        <c:axId val="793615856"/>
        <c:scaling>
          <c:orientation val="minMax"/>
        </c:scaling>
        <c:delete val="1"/>
        <c:axPos val="b"/>
        <c:majorTickMark val="out"/>
        <c:minorTickMark val="none"/>
        <c:tickLblPos val="nextTo"/>
        <c:crossAx val="793610096"/>
        <c:crosses val="autoZero"/>
        <c:auto val="1"/>
        <c:lblAlgn val="ctr"/>
        <c:lblOffset val="100"/>
        <c:noMultiLvlLbl val="0"/>
      </c:cat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2"/>
          <c:order val="2"/>
          <c:spPr>
            <a:solidFill>
              <a:schemeClr val="accent1">
                <a:alpha val="35000"/>
              </a:schemeClr>
            </a:solidFill>
            <a:ln>
              <a:noFill/>
            </a:ln>
            <a:effectLst/>
          </c:spPr>
          <c:invertIfNegative val="0"/>
          <c:val>
            <c:numRef>
              <c:f>[0]!FilteredFrequency</c:f>
              <c:numCache>
                <c:formatCode>0</c:formatCode>
                <c:ptCount val="13"/>
                <c:pt idx="0">
                  <c:v>9</c:v>
                </c:pt>
                <c:pt idx="1">
                  <c:v>26</c:v>
                </c:pt>
                <c:pt idx="2">
                  <c:v>42</c:v>
                </c:pt>
                <c:pt idx="3">
                  <c:v>31</c:v>
                </c:pt>
                <c:pt idx="4">
                  <c:v>57</c:v>
                </c:pt>
                <c:pt idx="5">
                  <c:v>50</c:v>
                </c:pt>
                <c:pt idx="6">
                  <c:v>48</c:v>
                </c:pt>
                <c:pt idx="7">
                  <c:v>19</c:v>
                </c:pt>
                <c:pt idx="8">
                  <c:v>12</c:v>
                </c:pt>
                <c:pt idx="9">
                  <c:v>4</c:v>
                </c:pt>
                <c:pt idx="10">
                  <c:v>5</c:v>
                </c:pt>
                <c:pt idx="11">
                  <c:v>0</c:v>
                </c:pt>
                <c:pt idx="12">
                  <c:v>1</c:v>
                </c:pt>
              </c:numCache>
            </c:numRef>
          </c:val>
          <c:extLst>
            <c:ext xmlns:c16="http://schemas.microsoft.com/office/drawing/2014/chart" uri="{C3380CC4-5D6E-409C-BE32-E72D297353CC}">
              <c16:uniqueId val="{00000000-6271-400E-ACF6-D120F3665E16}"/>
            </c:ext>
          </c:extLst>
        </c:ser>
        <c:dLbls>
          <c:showLegendKey val="0"/>
          <c:showVal val="0"/>
          <c:showCatName val="0"/>
          <c:showSerName val="0"/>
          <c:showPercent val="0"/>
          <c:showBubbleSize val="0"/>
        </c:dLbls>
        <c:gapWidth val="0"/>
        <c:axId val="793615856"/>
        <c:axId val="793610096"/>
      </c:barChart>
      <c:lineChart>
        <c:grouping val="standard"/>
        <c:varyColors val="0"/>
        <c:ser>
          <c:idx val="0"/>
          <c:order val="0"/>
          <c:tx>
            <c:v>Actual Data</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[0]!BinLabels</c:f>
              <c:strCache>
                <c:ptCount val="13"/>
                <c:pt idx="0">
                  <c:v>$55.00 - $253.19</c:v>
                </c:pt>
                <c:pt idx="1">
                  <c:v>$253.20 - $451.38</c:v>
                </c:pt>
                <c:pt idx="2">
                  <c:v>$451.39 - $649.58</c:v>
                </c:pt>
                <c:pt idx="3">
                  <c:v>$649.59 - $847.77</c:v>
                </c:pt>
                <c:pt idx="4">
                  <c:v>$847.78 - $1045.96</c:v>
                </c:pt>
                <c:pt idx="5">
                  <c:v>$1045.97 - $1244.15</c:v>
                </c:pt>
                <c:pt idx="6">
                  <c:v>$1244.16 - $1442.35</c:v>
                </c:pt>
                <c:pt idx="7">
                  <c:v>$1442.36 - $1640.54</c:v>
                </c:pt>
                <c:pt idx="8">
                  <c:v>$1640.55 - $1838.73</c:v>
                </c:pt>
                <c:pt idx="9">
                  <c:v>$1838.74 - $2036.92</c:v>
                </c:pt>
                <c:pt idx="10">
                  <c:v>$2036.93 - $2235.12</c:v>
                </c:pt>
                <c:pt idx="11">
                  <c:v>$2235.13 - $2433.31</c:v>
                </c:pt>
                <c:pt idx="12">
                  <c:v>$2433.32 - $2631.50</c:v>
                </c:pt>
              </c:strCache>
            </c:strRef>
          </c:cat>
          <c:val>
            <c:numRef>
              <c:f>[0]!FilteredFrequency</c:f>
              <c:numCache>
                <c:formatCode>0</c:formatCode>
                <c:ptCount val="13"/>
                <c:pt idx="0">
                  <c:v>9</c:v>
                </c:pt>
                <c:pt idx="1">
                  <c:v>26</c:v>
                </c:pt>
                <c:pt idx="2">
                  <c:v>42</c:v>
                </c:pt>
                <c:pt idx="3">
                  <c:v>31</c:v>
                </c:pt>
                <c:pt idx="4">
                  <c:v>57</c:v>
                </c:pt>
                <c:pt idx="5">
                  <c:v>50</c:v>
                </c:pt>
                <c:pt idx="6">
                  <c:v>48</c:v>
                </c:pt>
                <c:pt idx="7">
                  <c:v>19</c:v>
                </c:pt>
                <c:pt idx="8">
                  <c:v>12</c:v>
                </c:pt>
                <c:pt idx="9">
                  <c:v>4</c:v>
                </c:pt>
                <c:pt idx="10">
                  <c:v>5</c:v>
                </c:pt>
                <c:pt idx="11">
                  <c:v>0</c:v>
                </c:pt>
                <c:pt idx="12">
                  <c:v>1</c:v>
                </c:pt>
              </c:numCache>
            </c:numRef>
          </c:val>
          <c:smooth val="1"/>
          <c:extLst>
            <c:ext xmlns:c16="http://schemas.microsoft.com/office/drawing/2014/chart" uri="{C3380CC4-5D6E-409C-BE32-E72D297353CC}">
              <c16:uniqueId val="{00000001-6271-400E-ACF6-D120F3665E16}"/>
            </c:ext>
          </c:extLst>
        </c:ser>
        <c:ser>
          <c:idx val="1"/>
          <c:order val="1"/>
          <c:tx>
            <c:v>Normalized Distribution</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[0]!BinLabels</c:f>
              <c:strCache>
                <c:ptCount val="13"/>
                <c:pt idx="0">
                  <c:v>$55.00 - $253.19</c:v>
                </c:pt>
                <c:pt idx="1">
                  <c:v>$253.20 - $451.38</c:v>
                </c:pt>
                <c:pt idx="2">
                  <c:v>$451.39 - $649.58</c:v>
                </c:pt>
                <c:pt idx="3">
                  <c:v>$649.59 - $847.77</c:v>
                </c:pt>
                <c:pt idx="4">
                  <c:v>$847.78 - $1045.96</c:v>
                </c:pt>
                <c:pt idx="5">
                  <c:v>$1045.97 - $1244.15</c:v>
                </c:pt>
                <c:pt idx="6">
                  <c:v>$1244.16 - $1442.35</c:v>
                </c:pt>
                <c:pt idx="7">
                  <c:v>$1442.36 - $1640.54</c:v>
                </c:pt>
                <c:pt idx="8">
                  <c:v>$1640.55 - $1838.73</c:v>
                </c:pt>
                <c:pt idx="9">
                  <c:v>$1838.74 - $2036.92</c:v>
                </c:pt>
                <c:pt idx="10">
                  <c:v>$2036.93 - $2235.12</c:v>
                </c:pt>
                <c:pt idx="11">
                  <c:v>$2235.13 - $2433.31</c:v>
                </c:pt>
                <c:pt idx="12">
                  <c:v>$2433.32 - $2631.50</c:v>
                </c:pt>
              </c:strCache>
            </c:strRef>
          </c:cat>
          <c:val>
            <c:numRef>
              <c:f>[0]!FilteredNormal</c:f>
              <c:numCache>
                <c:formatCode>0</c:formatCode>
                <c:ptCount val="13"/>
                <c:pt idx="0">
                  <c:v>13</c:v>
                </c:pt>
                <c:pt idx="1">
                  <c:v>16</c:v>
                </c:pt>
                <c:pt idx="2">
                  <c:v>32</c:v>
                </c:pt>
                <c:pt idx="3">
                  <c:v>44</c:v>
                </c:pt>
                <c:pt idx="4">
                  <c:v>51</c:v>
                </c:pt>
                <c:pt idx="5">
                  <c:v>48</c:v>
                </c:pt>
                <c:pt idx="6">
                  <c:v>39</c:v>
                </c:pt>
                <c:pt idx="7">
                  <c:v>25</c:v>
                </c:pt>
                <c:pt idx="8">
                  <c:v>14</c:v>
                </c:pt>
                <c:pt idx="9">
                  <c:v>6</c:v>
                </c:pt>
                <c:pt idx="10">
                  <c:v>2</c:v>
                </c:pt>
                <c:pt idx="11">
                  <c:v>14</c:v>
                </c:pt>
                <c:pt idx="12">
                  <c:v>0</c:v>
                </c:pt>
              </c:numCache>
            </c:numRef>
          </c:val>
          <c:smooth val="1"/>
          <c:extLst>
            <c:ext xmlns:c16="http://schemas.microsoft.com/office/drawing/2014/chart" uri="{C3380CC4-5D6E-409C-BE32-E72D297353CC}">
              <c16:uniqueId val="{00000002-6271-400E-ACF6-D120F3665E16}"/>
            </c:ext>
          </c:extLst>
        </c:ser>
        <c:dLbls>
          <c:showLegendKey val="0"/>
          <c:showVal val="0"/>
          <c:showCatName val="0"/>
          <c:showSerName val="0"/>
          <c:showPercent val="0"/>
          <c:showBubbleSize val="0"/>
        </c:dLbls>
        <c:marker val="1"/>
        <c:smooth val="0"/>
        <c:axId val="1663679455"/>
        <c:axId val="1663680415"/>
      </c:lineChart>
      <c:catAx>
        <c:axId val="1663679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04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3680415"/>
        <c:crosses val="autoZero"/>
        <c:auto val="1"/>
        <c:lblAlgn val="ctr"/>
        <c:lblOffset val="100"/>
        <c:noMultiLvlLbl val="0"/>
      </c:catAx>
      <c:valAx>
        <c:axId val="16636804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3679455"/>
        <c:crosses val="autoZero"/>
        <c:crossBetween val="between"/>
      </c:valAx>
      <c:valAx>
        <c:axId val="793610096"/>
        <c:scaling>
          <c:orientation val="minMax"/>
        </c:scaling>
        <c:delete val="1"/>
        <c:axPos val="r"/>
        <c:numFmt formatCode="0" sourceLinked="1"/>
        <c:majorTickMark val="out"/>
        <c:minorTickMark val="none"/>
        <c:tickLblPos val="nextTo"/>
        <c:crossAx val="793615856"/>
        <c:crosses val="max"/>
        <c:crossBetween val="between"/>
      </c:valAx>
      <c:catAx>
        <c:axId val="793615856"/>
        <c:scaling>
          <c:orientation val="minMax"/>
        </c:scaling>
        <c:delete val="1"/>
        <c:axPos val="b"/>
        <c:majorTickMark val="out"/>
        <c:minorTickMark val="none"/>
        <c:tickLblPos val="nextTo"/>
        <c:crossAx val="793610096"/>
        <c:crosses val="autoZero"/>
        <c:auto val="1"/>
        <c:lblAlgn val="ctr"/>
        <c:lblOffset val="100"/>
        <c:noMultiLvlLbl val="0"/>
      </c:cat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absolute">
    <xdr:from>
      <xdr:col>2</xdr:col>
      <xdr:colOff>15875</xdr:colOff>
      <xdr:row>6</xdr:row>
      <xdr:rowOff>34925</xdr:rowOff>
    </xdr:from>
    <xdr:to>
      <xdr:col>8</xdr:col>
      <xdr:colOff>6350</xdr:colOff>
      <xdr:row>27</xdr:row>
      <xdr:rowOff>161925</xdr:rowOff>
    </xdr:to>
    <xdr:graphicFrame macro="">
      <xdr:nvGraphicFramePr>
        <xdr:cNvPr id="2" name="Chart 1">
          <a:extLst>
            <a:ext uri="{FF2B5EF4-FFF2-40B4-BE49-F238E27FC236}">
              <a16:creationId xmlns:a16="http://schemas.microsoft.com/office/drawing/2014/main" id="{B78C31E5-DFB5-49C8-9390-904EB30D1415}"/>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25400</xdr:colOff>
      <xdr:row>6</xdr:row>
      <xdr:rowOff>63500</xdr:rowOff>
    </xdr:from>
    <xdr:to>
      <xdr:col>13</xdr:col>
      <xdr:colOff>800100</xdr:colOff>
      <xdr:row>27</xdr:row>
      <xdr:rowOff>142875</xdr:rowOff>
    </xdr:to>
    <xdr:grpSp>
      <xdr:nvGrpSpPr>
        <xdr:cNvPr id="9" name="Group 8">
          <a:extLst>
            <a:ext uri="{FF2B5EF4-FFF2-40B4-BE49-F238E27FC236}">
              <a16:creationId xmlns:a16="http://schemas.microsoft.com/office/drawing/2014/main" id="{7AE39C2C-FDAA-4295-9584-4A44073B2D1D}"/>
            </a:ext>
          </a:extLst>
        </xdr:cNvPr>
        <xdr:cNvGrpSpPr/>
      </xdr:nvGrpSpPr>
      <xdr:grpSpPr>
        <a:xfrm>
          <a:off x="7267575" y="1323975"/>
          <a:ext cx="6429375" cy="3949700"/>
          <a:chOff x="10170133" y="2359416"/>
          <a:chExt cx="4803174" cy="3000865"/>
        </a:xfrm>
      </xdr:grpSpPr>
      <xdr:sp macro="" textlink="">
        <xdr:nvSpPr>
          <xdr:cNvPr id="10" name="Rectangle 9">
            <a:extLst>
              <a:ext uri="{FF2B5EF4-FFF2-40B4-BE49-F238E27FC236}">
                <a16:creationId xmlns:a16="http://schemas.microsoft.com/office/drawing/2014/main" id="{B0716D84-8D36-82A6-1BF1-27F46E2EF65C}"/>
              </a:ext>
            </a:extLst>
          </xdr:cNvPr>
          <xdr:cNvSpPr/>
        </xdr:nvSpPr>
        <xdr:spPr>
          <a:xfrm>
            <a:off x="10170133" y="2359416"/>
            <a:ext cx="4803174" cy="3000865"/>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1" name="Group 10">
            <a:extLst>
              <a:ext uri="{FF2B5EF4-FFF2-40B4-BE49-F238E27FC236}">
                <a16:creationId xmlns:a16="http://schemas.microsoft.com/office/drawing/2014/main" id="{B002A568-51AB-619C-503F-6FC6B3DC0BA2}"/>
              </a:ext>
            </a:extLst>
          </xdr:cNvPr>
          <xdr:cNvGrpSpPr/>
        </xdr:nvGrpSpPr>
        <xdr:grpSpPr>
          <a:xfrm>
            <a:off x="10252073" y="2419567"/>
            <a:ext cx="4708525" cy="2893796"/>
            <a:chOff x="22637753" y="3615726"/>
            <a:chExt cx="4702175" cy="2901543"/>
          </a:xfrm>
        </xdr:grpSpPr>
        <xdr:graphicFrame macro="">
          <xdr:nvGraphicFramePr>
            <xdr:cNvPr id="12" name="Chart 11">
              <a:extLst>
                <a:ext uri="{FF2B5EF4-FFF2-40B4-BE49-F238E27FC236}">
                  <a16:creationId xmlns:a16="http://schemas.microsoft.com/office/drawing/2014/main" id="{27137975-8CA3-27F2-6F9C-80893BF2F53A}"/>
                </a:ext>
              </a:extLst>
            </xdr:cNvPr>
            <xdr:cNvGraphicFramePr/>
          </xdr:nvGraphicFramePr>
          <xdr:xfrm>
            <a:off x="22742525" y="3759998"/>
            <a:ext cx="4572000" cy="2757271"/>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13" name="Chart 12" hidden="1">
              <a:extLst>
                <a:ext uri="{FF2B5EF4-FFF2-40B4-BE49-F238E27FC236}">
                  <a16:creationId xmlns:a16="http://schemas.microsoft.com/office/drawing/2014/main" id="{A3B99194-65B0-B4D2-DB3C-6A9A90411162}"/>
                </a:ext>
              </a:extLst>
            </xdr:cNvPr>
            <xdr:cNvGraphicFramePr/>
          </xdr:nvGraphicFramePr>
          <xdr:xfrm>
            <a:off x="22637753" y="3615726"/>
            <a:ext cx="4702175" cy="2758466"/>
          </xdr:xfrm>
          <a:graphic>
            <a:graphicData uri="http://schemas.openxmlformats.org/drawingml/2006/chart">
              <c:chart xmlns:c="http://schemas.openxmlformats.org/drawingml/2006/chart" xmlns:r="http://schemas.openxmlformats.org/officeDocument/2006/relationships" r:id="rId3"/>
            </a:graphicData>
          </a:graphic>
        </xdr:graphicFrame>
      </xdr:grpSp>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2</xdr:col>
      <xdr:colOff>15875</xdr:colOff>
      <xdr:row>6</xdr:row>
      <xdr:rowOff>34925</xdr:rowOff>
    </xdr:from>
    <xdr:to>
      <xdr:col>8</xdr:col>
      <xdr:colOff>9525</xdr:colOff>
      <xdr:row>24</xdr:row>
      <xdr:rowOff>142875</xdr:rowOff>
    </xdr:to>
    <xdr:graphicFrame macro="">
      <xdr:nvGraphicFramePr>
        <xdr:cNvPr id="2" name="Chart 1">
          <a:extLst>
            <a:ext uri="{FF2B5EF4-FFF2-40B4-BE49-F238E27FC236}">
              <a16:creationId xmlns:a16="http://schemas.microsoft.com/office/drawing/2014/main" id="{3A966D2F-312B-1BCA-6552-43F1752448AF}"/>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28575</xdr:colOff>
      <xdr:row>6</xdr:row>
      <xdr:rowOff>25400</xdr:rowOff>
    </xdr:from>
    <xdr:to>
      <xdr:col>13</xdr:col>
      <xdr:colOff>819151</xdr:colOff>
      <xdr:row>27</xdr:row>
      <xdr:rowOff>152401</xdr:rowOff>
    </xdr:to>
    <xdr:graphicFrame macro="">
      <xdr:nvGraphicFramePr>
        <xdr:cNvPr id="5" name="Chart 4">
          <a:extLst>
            <a:ext uri="{FF2B5EF4-FFF2-40B4-BE49-F238E27FC236}">
              <a16:creationId xmlns:a16="http://schemas.microsoft.com/office/drawing/2014/main" id="{F2421953-DB0C-47C3-D78B-36952100A2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twoCellAnchor>
</xdr:wsDr>
</file>

<file path=xl/drawings/drawing3.xml><?xml version="1.0" encoding="utf-8"?>
<xdr:wsDr xmlns:xdr="http://schemas.openxmlformats.org/drawingml/2006/spreadsheetDrawing" xmlns:a="http://schemas.openxmlformats.org/drawingml/2006/main">
  <xdr:twoCellAnchor editAs="absolute">
    <xdr:from>
      <xdr:col>11</xdr:col>
      <xdr:colOff>0</xdr:colOff>
      <xdr:row>1</xdr:row>
      <xdr:rowOff>0</xdr:rowOff>
    </xdr:from>
    <xdr:to>
      <xdr:col>18</xdr:col>
      <xdr:colOff>244475</xdr:colOff>
      <xdr:row>18</xdr:row>
      <xdr:rowOff>158750</xdr:rowOff>
    </xdr:to>
    <xdr:graphicFrame macro="">
      <xdr:nvGraphicFramePr>
        <xdr:cNvPr id="2" name="Chart 1">
          <a:extLst>
            <a:ext uri="{FF2B5EF4-FFF2-40B4-BE49-F238E27FC236}">
              <a16:creationId xmlns:a16="http://schemas.microsoft.com/office/drawing/2014/main" id="{6EA9BCCB-EC84-BFAC-492F-EB48528AD5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11</xdr:col>
      <xdr:colOff>368300</xdr:colOff>
      <xdr:row>21</xdr:row>
      <xdr:rowOff>0</xdr:rowOff>
    </xdr:from>
    <xdr:to>
      <xdr:col>17</xdr:col>
      <xdr:colOff>292100</xdr:colOff>
      <xdr:row>29</xdr:row>
      <xdr:rowOff>892175</xdr:rowOff>
    </xdr:to>
    <xdr:graphicFrame macro="">
      <xdr:nvGraphicFramePr>
        <xdr:cNvPr id="4" name="Chart 3">
          <a:extLst>
            <a:ext uri="{FF2B5EF4-FFF2-40B4-BE49-F238E27FC236}">
              <a16:creationId xmlns:a16="http://schemas.microsoft.com/office/drawing/2014/main" id="{10BD8EE3-F2F3-47EC-91BA-5C8A88A753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9c87cb5629484221848bcec948dcdc7e</v>
    <v>No module named 'test_module'</v>
    <v>ModuleNotFoundError</v>
    <v>18</v>
    <v>1</v>
  </rv>
  <rv s="0">
    <v>9c87cb5629484221848bcec948dcdc7e</v>
    <v>No module named 'create_histogram'</v>
    <v>ModuleNotFoundError</v>
    <v>18</v>
    <v>1</v>
  </rv>
</rvData>
</file>

<file path=xl/richData/rdrichvaluestructure.xml><?xml version="1.0" encoding="utf-8"?>
<rvStructures xmlns="http://schemas.microsoft.com/office/spreadsheetml/2017/richdata" count="1">
  <s t="_error">
    <k n="correlationId" t="s"/>
    <k n="errorMessage" t="s"/>
    <k n="errorName" t="s"/>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C63F37-886B-4FBD-812E-8468A962E702}" name="RAW" displayName="RAW" ref="A1:W733" totalsRowShown="0" headerRowDxfId="73" headerRowBorderDxfId="72" tableBorderDxfId="71" totalsRowBorderDxfId="70">
  <autoFilter ref="A1:W733" xr:uid="{23C63F37-886B-4FBD-812E-8468A962E702}"/>
  <tableColumns count="23">
    <tableColumn id="1" xr3:uid="{88440F09-2754-4068-8DC4-7BDBA941F7FB}" name="DATE" dataDxfId="69" totalsRowDxfId="68"/>
    <tableColumn id="2" xr3:uid="{F0E09FE6-4520-4D23-A621-3A44E6D2C2E8}" name="AM/PM" dataDxfId="67" totalsRowDxfId="66"/>
    <tableColumn id="3" xr3:uid="{8AD5ECA2-F049-4118-96F0-DE1BD24562C1}" name="MONTH" dataDxfId="65" totalsRowDxfId="64"/>
    <tableColumn id="4" xr3:uid="{4B47C58E-C805-4629-907D-99F666260DA8}" name="DOW" dataDxfId="63" totalsRowDxfId="62"/>
    <tableColumn id="5" xr3:uid="{0C504011-43E1-4D4F-9E2C-3CB9C458CDC5}" name="SALES" dataDxfId="61" totalsRowDxfId="60"/>
    <tableColumn id="6" xr3:uid="{09AE2A93-F8D9-4C7A-836E-1FF5C99DFD93}" name="CC TIPS" dataDxfId="59" totalsRowDxfId="58"/>
    <tableColumn id="7" xr3:uid="{7EC08173-40ED-49F7-B00B-F9723C69F921}" name="CASH" dataDxfId="57" totalsRowDxfId="56"/>
    <tableColumn id="8" xr3:uid="{BCB77223-50D7-4FAD-B7BD-D85EF3E5054C}" name="TIPOUT" dataDxfId="55" totalsRowDxfId="54"/>
    <tableColumn id="9" xr3:uid="{36317BD8-1E84-47DA-B469-A1C6894DF7DA}" name="WITHELD" dataDxfId="53" totalsRowDxfId="52"/>
    <tableColumn id="10" xr3:uid="{D24F2A4C-8742-4A01-A273-B9B2A1283E59}" name="CASH CLAIMED" dataDxfId="51" totalsRowDxfId="50"/>
    <tableColumn id="11" xr3:uid="{0E6A3451-DB0B-4ADA-B782-167B00CF7313}" name="NET CC TIPS" dataDxfId="49" totalsRowDxfId="48"/>
    <tableColumn id="12" xr3:uid="{CA15CD58-4C43-487F-8A57-BEEC77F7BD52}" name="HOURS" dataDxfId="47" totalsRowDxfId="46"/>
    <tableColumn id="13" xr3:uid="{2B1EE35B-DFBD-45BF-AEE2-99A435F45F8E}" name="MINUTES" dataDxfId="45" totalsRowDxfId="44"/>
    <tableColumn id="14" xr3:uid="{33BC8EE4-3292-400B-B742-6EBBAA143B16}" name="CONVERTED" dataDxfId="43" totalsRowDxfId="42"/>
    <tableColumn id="15" xr3:uid="{324F8E1C-CB1B-4053-9259-687D8E84C78F}" name="HOURLY PAY" dataDxfId="41" totalsRowDxfId="40"/>
    <tableColumn id="16" xr3:uid="{C9013A70-7ADF-4CC3-8296-67BB146CB702}" name="GROSS" dataDxfId="39" totalsRowDxfId="38"/>
    <tableColumn id="17" xr3:uid="{8898EDDA-1611-4B8C-A9C9-4D3B8EE82753}" name="ACTUAL GROSS" dataDxfId="37" totalsRowDxfId="36"/>
    <tableColumn id="18" xr3:uid="{D68318D5-4991-463E-BBDA-771588306F96}" name="Shift Count" dataDxfId="35"/>
    <tableColumn id="19" xr3:uid="{C50AD391-7D25-4D71-8DBE-C1BC1E14AC13}" name="AM SHIFTS" dataDxfId="34" totalsRowDxfId="33"/>
    <tableColumn id="20" xr3:uid="{90E2C597-3855-4422-BE77-F52B2F5D1849}" name="PM SHIFTS FOLLOWING AN AM SHIFT" dataDxfId="32" totalsRowDxfId="31"/>
    <tableColumn id="21" xr3:uid="{1048FEDA-0246-4469-8AD3-EF8A2074F9CE}" name="SINGLE/DODBLUBLE" dataDxfId="30" totalsRowDxfId="29"/>
    <tableColumn id="22" xr3:uid="{2D0DE5B9-2F7E-4AA1-83B2-24D1B03F916F}" name="Tips per Hour" dataDxfId="28">
      <calculatedColumnFormula>IFERROR(RAW[[#This Row],[ACTUAL GROSS]]/RAW[[#This Row],[CONVERTED]],0)</calculatedColumnFormula>
    </tableColumn>
    <tableColumn id="23" xr3:uid="{E9AF602F-D5BF-4921-A3E5-08A7551F1D48}" name="Sales per Hour" dataDxfId="27">
      <calculatedColumnFormula>IFERROR(RAW[[#This Row],[SALES]]/RAW[[#This Row],[HOURLY PAY]],0)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41701F-FBCB-46D6-A038-6D595C67B18C}" name="Table3" displayName="Table3" ref="B6:H40" totalsRowShown="0" tableBorderDxfId="26">
  <autoFilter ref="B6:H40" xr:uid="{9E41701F-FBCB-46D6-A038-6D595C67B18C}"/>
  <tableColumns count="7">
    <tableColumn id="1" xr3:uid="{67C7FE44-C1C6-499F-9437-439F3CEA2B76}" name="Date" dataDxfId="25"/>
    <tableColumn id="2" xr3:uid="{FC245A68-DF35-40ED-9182-61EA65B05861}" name="Holiday Name" dataDxfId="24"/>
    <tableColumn id="3" xr3:uid="{7EC5C457-3864-4651-B548-63F6A0881723}" name="Day" dataDxfId="23"/>
    <tableColumn id="4" xr3:uid="{911350DD-D077-4555-A11B-AD68D73497ED}" name="start" dataDxfId="22">
      <calculatedColumnFormula>Table3[[#This Row],[Date]]-Sheet1!$F$29</calculatedColumnFormula>
    </tableColumn>
    <tableColumn id="5" xr3:uid="{EF53B126-3912-4C89-80E4-AC270CD2D9A5}" name="end" dataDxfId="21">
      <calculatedColumnFormula>Table3[[#This Row],[Date]]+Sheet1!$F$29</calculatedColumnFormula>
    </tableColumn>
    <tableColumn id="6" xr3:uid="{A0C0CEF0-9DCD-4552-9C2B-EA4A97AE273C}" name="start2" dataDxfId="20">
      <calculatedColumnFormula>Table3[[#This Row],[Date]]-TIPS!$L$51</calculatedColumnFormula>
    </tableColumn>
    <tableColumn id="7" xr3:uid="{9E4D9CEB-E2B4-4439-92B9-196AA4DFADA8}" name="end2">
      <calculatedColumnFormula>Table3[[#This Row],[Date]]+TIPS!$L$51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5CB21-46AE-460D-B077-A930DD2DC7B4}">
  <sheetPr codeName="Sheet2"/>
  <dimension ref="B1:AB344"/>
  <sheetViews>
    <sheetView workbookViewId="0">
      <selection activeCell="R56" sqref="R56"/>
    </sheetView>
  </sheetViews>
  <sheetFormatPr defaultRowHeight="14.5" x14ac:dyDescent="0.35"/>
  <cols>
    <col min="1" max="1" width="5.54296875" customWidth="1"/>
    <col min="2" max="2" width="19" customWidth="1"/>
    <col min="3" max="3" width="12.08984375" style="36" customWidth="1"/>
    <col min="4" max="4" width="13.08984375" bestFit="1" customWidth="1"/>
    <col min="5" max="5" width="11.81640625" bestFit="1" customWidth="1"/>
    <col min="6" max="6" width="12.81640625" bestFit="1" customWidth="1"/>
    <col min="7" max="7" width="12.54296875" bestFit="1" customWidth="1"/>
    <col min="8" max="8" width="16.6328125" customWidth="1"/>
    <col min="9" max="9" width="18.08984375" bestFit="1" customWidth="1"/>
    <col min="10" max="10" width="19.81640625" customWidth="1"/>
    <col min="11" max="11" width="18.08984375" style="22" bestFit="1" customWidth="1"/>
    <col min="12" max="12" width="11.81640625" bestFit="1" customWidth="1"/>
    <col min="13" max="13" width="13.08984375" bestFit="1" customWidth="1"/>
    <col min="14" max="14" width="11.81640625" customWidth="1"/>
    <col min="15" max="15" width="13.453125" bestFit="1" customWidth="1"/>
    <col min="16" max="16" width="14.453125" bestFit="1" customWidth="1"/>
    <col min="17" max="17" width="12.90625" bestFit="1" customWidth="1"/>
    <col min="18" max="18" width="10.90625" style="138" bestFit="1" customWidth="1"/>
    <col min="19" max="19" width="12.6328125" style="138" customWidth="1"/>
    <col min="20" max="20" width="13.08984375" style="138" bestFit="1" customWidth="1"/>
    <col min="21" max="21" width="11.6328125" style="138" customWidth="1"/>
    <col min="22" max="22" width="10.36328125" style="138" bestFit="1" customWidth="1"/>
    <col min="23" max="23" width="14.6328125" style="138" customWidth="1"/>
    <col min="24" max="26" width="11.81640625" bestFit="1" customWidth="1"/>
  </cols>
  <sheetData>
    <row r="1" spans="2:28" ht="15" thickBot="1" x14ac:dyDescent="0.4"/>
    <row r="2" spans="2:28" x14ac:dyDescent="0.35">
      <c r="B2" s="325" t="s">
        <v>174</v>
      </c>
      <c r="C2" s="326"/>
      <c r="D2" s="326"/>
      <c r="E2" s="326"/>
      <c r="F2" s="326"/>
      <c r="G2" s="326"/>
      <c r="H2" s="326"/>
      <c r="I2" s="326"/>
      <c r="J2" s="326"/>
      <c r="K2" s="326"/>
      <c r="L2" s="326"/>
      <c r="M2" s="326"/>
      <c r="N2" s="326"/>
      <c r="O2" s="326"/>
      <c r="P2" s="326"/>
      <c r="Q2" s="327"/>
    </row>
    <row r="3" spans="2:28" x14ac:dyDescent="0.35">
      <c r="B3" s="328"/>
      <c r="C3" s="329"/>
      <c r="D3" s="329"/>
      <c r="E3" s="329"/>
      <c r="F3" s="329"/>
      <c r="G3" s="329"/>
      <c r="H3" s="329"/>
      <c r="I3" s="329"/>
      <c r="J3" s="329"/>
      <c r="K3" s="329"/>
      <c r="L3" s="329"/>
      <c r="M3" s="329"/>
      <c r="N3" s="329"/>
      <c r="O3" s="329"/>
      <c r="P3" s="329"/>
      <c r="Q3" s="330"/>
    </row>
    <row r="4" spans="2:28" ht="25.5" customHeight="1" thickBot="1" x14ac:dyDescent="0.4">
      <c r="B4" s="331"/>
      <c r="C4" s="332"/>
      <c r="D4" s="332"/>
      <c r="E4" s="332"/>
      <c r="F4" s="332"/>
      <c r="G4" s="332"/>
      <c r="H4" s="332"/>
      <c r="I4" s="332"/>
      <c r="J4" s="332"/>
      <c r="K4" s="332"/>
      <c r="L4" s="332"/>
      <c r="M4" s="332"/>
      <c r="N4" s="332"/>
      <c r="O4" s="332"/>
      <c r="P4" s="332"/>
      <c r="Q4" s="333"/>
      <c r="R4" s="113"/>
      <c r="S4" s="113"/>
      <c r="T4" s="113"/>
      <c r="U4" s="113"/>
      <c r="V4" s="113"/>
      <c r="W4" s="113"/>
      <c r="X4" s="113"/>
      <c r="Y4" s="113"/>
      <c r="Z4" s="113"/>
      <c r="AA4" s="113"/>
      <c r="AB4" s="113"/>
    </row>
    <row r="5" spans="2:28" ht="15" thickBot="1" x14ac:dyDescent="0.4">
      <c r="B5" s="195" t="s">
        <v>71</v>
      </c>
      <c r="C5" s="334" t="str" cm="1">
        <f t="array" ref="C5">_xlfn.SWITCH($B$6,"Entire Year","Distribution Data for "&amp;$B$6&amp;" "&amp;B9&amp;" Shifts",
"Day of Week","Distribution Data for "&amp;$B$7&amp;"DAY"&amp;" "&amp;$B$9&amp;" Shifts",
"Month of Year","Distribution Data for "&amp;$B$7&amp;" "&amp;$B$9&amp;" Shifts")</f>
        <v>Distribution Data for Entire Year ALL Shifts</v>
      </c>
      <c r="D5" s="335"/>
      <c r="E5" s="335"/>
      <c r="F5" s="335"/>
      <c r="G5" s="335"/>
      <c r="H5" s="336"/>
      <c r="I5" s="334" t="s">
        <v>120</v>
      </c>
      <c r="J5" s="335"/>
      <c r="K5" s="335"/>
      <c r="L5" s="335"/>
      <c r="M5" s="335"/>
      <c r="N5" s="336"/>
      <c r="O5" s="340" t="s">
        <v>169</v>
      </c>
      <c r="P5" s="341"/>
      <c r="Q5" s="342"/>
      <c r="R5" s="113"/>
      <c r="S5" s="113"/>
      <c r="T5" s="113"/>
      <c r="U5" s="113"/>
      <c r="V5" s="113"/>
      <c r="W5" s="113"/>
      <c r="X5" s="113"/>
      <c r="Y5" s="113"/>
      <c r="Z5" s="113"/>
      <c r="AA5" s="113"/>
      <c r="AB5" s="113"/>
    </row>
    <row r="6" spans="2:28" ht="15" thickBot="1" x14ac:dyDescent="0.4">
      <c r="B6" s="173" t="s">
        <v>69</v>
      </c>
      <c r="C6" s="337"/>
      <c r="D6" s="338"/>
      <c r="E6" s="338"/>
      <c r="F6" s="338"/>
      <c r="G6" s="338"/>
      <c r="H6" s="339"/>
      <c r="I6" s="337"/>
      <c r="J6" s="338"/>
      <c r="K6" s="338"/>
      <c r="L6" s="338"/>
      <c r="M6" s="338"/>
      <c r="N6" s="339"/>
      <c r="O6" s="343"/>
      <c r="P6" s="344"/>
      <c r="Q6" s="345"/>
      <c r="R6" s="113"/>
      <c r="S6" s="113"/>
      <c r="T6" s="113"/>
      <c r="U6" s="113"/>
      <c r="V6" s="113"/>
      <c r="W6" s="113"/>
      <c r="X6" s="113"/>
      <c r="Y6" s="113"/>
      <c r="Z6" s="113"/>
      <c r="AA6" s="113"/>
      <c r="AB6" s="113"/>
    </row>
    <row r="7" spans="2:28" ht="15" thickBot="1" x14ac:dyDescent="0.4">
      <c r="B7" s="205" t="s">
        <v>39</v>
      </c>
      <c r="O7" s="181" t="s">
        <v>172</v>
      </c>
      <c r="P7" s="182" t="s">
        <v>171</v>
      </c>
      <c r="Q7" s="183" t="s">
        <v>170</v>
      </c>
      <c r="R7" s="113"/>
      <c r="S7" s="113"/>
      <c r="T7" s="113"/>
      <c r="U7" s="113"/>
      <c r="V7" s="113"/>
      <c r="W7" s="113"/>
      <c r="X7" s="113"/>
      <c r="Y7" s="113"/>
      <c r="Z7" s="113"/>
      <c r="AA7" s="113"/>
      <c r="AB7" s="113"/>
    </row>
    <row r="8" spans="2:28" ht="15" thickBot="1" x14ac:dyDescent="0.4">
      <c r="B8" s="129" t="s">
        <v>72</v>
      </c>
      <c r="O8" s="178" cm="1">
        <f t="array" ref="O8:O17">SalesNormDIST</f>
        <v>9.7548753935064436</v>
      </c>
      <c r="P8" s="179" cm="1">
        <f t="array" ref="P8:P17">FreqTIPS</f>
        <v>11</v>
      </c>
      <c r="Q8" s="180">
        <f>IFERROR((P8-O8)/O8,"")</f>
        <v>0.12764126206290674</v>
      </c>
      <c r="R8" s="113"/>
      <c r="S8" s="113"/>
      <c r="T8" s="113"/>
      <c r="U8" s="113"/>
      <c r="V8" s="113"/>
      <c r="W8" s="113"/>
      <c r="X8" s="113"/>
      <c r="Y8" s="113"/>
      <c r="Z8" s="113"/>
      <c r="AA8" s="113"/>
      <c r="AB8" s="113"/>
    </row>
    <row r="9" spans="2:28" ht="16.5" customHeight="1" thickBot="1" x14ac:dyDescent="0.65">
      <c r="B9" s="173" t="s">
        <v>70</v>
      </c>
      <c r="C9" s="91"/>
      <c r="D9" s="91"/>
      <c r="E9" s="91"/>
      <c r="F9" s="91"/>
      <c r="G9" s="91"/>
      <c r="H9" s="91"/>
      <c r="I9" s="91"/>
      <c r="J9" s="91"/>
      <c r="K9" s="91"/>
      <c r="L9" s="91"/>
      <c r="M9" s="91"/>
      <c r="O9" s="175">
        <v>21.976587801551261</v>
      </c>
      <c r="P9" s="84">
        <v>28</v>
      </c>
      <c r="Q9" s="180">
        <f t="shared" ref="Q9:Q28" si="0">IFERROR((P9-O9)/O9,"")</f>
        <v>0.2740831403328029</v>
      </c>
      <c r="R9" s="113"/>
      <c r="S9" s="113"/>
      <c r="T9" s="113"/>
      <c r="U9" s="113"/>
      <c r="V9" s="113"/>
      <c r="W9" s="113"/>
      <c r="X9" s="113"/>
      <c r="Y9" s="113"/>
      <c r="Z9" s="113"/>
      <c r="AA9" s="113"/>
      <c r="AB9" s="113"/>
    </row>
    <row r="10" spans="2:28" ht="15" customHeight="1" thickBot="1" x14ac:dyDescent="0.65">
      <c r="B10" s="184"/>
      <c r="C10"/>
      <c r="D10" s="22"/>
      <c r="I10" s="91"/>
      <c r="J10" s="91"/>
      <c r="K10" s="91"/>
      <c r="L10" s="91"/>
      <c r="M10" s="91"/>
      <c r="O10" s="175">
        <v>38.701148367100444</v>
      </c>
      <c r="P10" s="84">
        <v>42</v>
      </c>
      <c r="Q10" s="180">
        <f t="shared" si="0"/>
        <v>8.5239114912256317E-2</v>
      </c>
      <c r="R10" s="113"/>
      <c r="S10" s="113"/>
      <c r="T10" s="113"/>
      <c r="U10" s="113"/>
      <c r="V10" s="113"/>
      <c r="W10" s="113"/>
      <c r="X10" s="113"/>
      <c r="Y10" s="113"/>
      <c r="Z10" s="113"/>
      <c r="AA10" s="113"/>
      <c r="AB10" s="113"/>
    </row>
    <row r="11" spans="2:28" ht="15" thickBot="1" x14ac:dyDescent="0.4">
      <c r="B11" s="184"/>
      <c r="C11"/>
      <c r="D11" s="22"/>
      <c r="O11" s="175">
        <v>53.2736550522173</v>
      </c>
      <c r="P11" s="84">
        <v>46</v>
      </c>
      <c r="Q11" s="180">
        <f t="shared" si="0"/>
        <v>-0.13653380916116745</v>
      </c>
      <c r="R11" s="113"/>
      <c r="S11" s="113"/>
      <c r="T11" s="113"/>
      <c r="U11" s="206"/>
      <c r="V11" s="113"/>
      <c r="W11" s="113"/>
      <c r="X11" s="113"/>
      <c r="Y11" s="113"/>
      <c r="Z11" s="113"/>
      <c r="AA11" s="113"/>
      <c r="AB11" s="113"/>
    </row>
    <row r="12" spans="2:28" ht="15" thickBot="1" x14ac:dyDescent="0.4">
      <c r="B12" s="130" t="s">
        <v>73</v>
      </c>
      <c r="C12"/>
      <c r="D12" s="22"/>
      <c r="O12" s="175">
        <v>57.322640808338718</v>
      </c>
      <c r="P12" s="84">
        <v>55</v>
      </c>
      <c r="Q12" s="180">
        <f t="shared" si="0"/>
        <v>-4.0518733533310002E-2</v>
      </c>
      <c r="R12" s="113" t="s">
        <v>122</v>
      </c>
      <c r="S12" s="113" t="s">
        <v>123</v>
      </c>
      <c r="T12" s="113"/>
      <c r="U12" s="206"/>
      <c r="V12" s="113"/>
      <c r="W12" s="113"/>
      <c r="X12" s="113"/>
      <c r="Y12" s="113"/>
      <c r="Z12" s="113"/>
      <c r="AA12" s="113"/>
      <c r="AB12" s="113"/>
    </row>
    <row r="13" spans="2:28" x14ac:dyDescent="0.35">
      <c r="B13" s="141" t="s">
        <v>74</v>
      </c>
      <c r="C13"/>
      <c r="D13" s="22"/>
      <c r="O13" s="175">
        <v>48.213086867885188</v>
      </c>
      <c r="P13" s="84">
        <v>53</v>
      </c>
      <c r="Q13" s="180">
        <f t="shared" si="0"/>
        <v>9.9286592979039925E-2</v>
      </c>
      <c r="R13" s="206">
        <f>$B$18</f>
        <v>167.56209252920962</v>
      </c>
      <c r="S13" s="113">
        <v>0</v>
      </c>
      <c r="T13" s="113"/>
      <c r="U13" s="206"/>
      <c r="V13" s="113"/>
      <c r="W13" s="113"/>
      <c r="X13" s="113"/>
      <c r="Y13" s="113"/>
      <c r="Z13" s="113"/>
      <c r="AA13" s="113"/>
      <c r="AB13" s="113"/>
    </row>
    <row r="14" spans="2:28" x14ac:dyDescent="0.35">
      <c r="B14" s="140">
        <f>COUNTA(_xlfn.CHOOSECOLS(_xlfn.ANCHORARRAY($C$42),2))</f>
        <v>291</v>
      </c>
      <c r="C14"/>
      <c r="D14" s="22"/>
      <c r="O14" s="175">
        <v>31.697772192343564</v>
      </c>
      <c r="P14" s="84">
        <v>31</v>
      </c>
      <c r="Q14" s="180">
        <f t="shared" si="0"/>
        <v>-2.2013288129823432E-2</v>
      </c>
      <c r="R14" s="206">
        <f>$B$18</f>
        <v>167.56209252920962</v>
      </c>
      <c r="S14" s="113">
        <f>MAX(FreqDIST,SalesNormDIST)</f>
        <v>57.322640808338718</v>
      </c>
      <c r="T14" s="206"/>
      <c r="U14" s="113"/>
      <c r="V14" s="113"/>
      <c r="W14" s="113"/>
      <c r="X14" s="113"/>
      <c r="Y14" s="113"/>
      <c r="Z14" s="113"/>
      <c r="AA14" s="113"/>
      <c r="AB14" s="113"/>
    </row>
    <row r="15" spans="2:28" x14ac:dyDescent="0.35">
      <c r="B15" s="140" t="s">
        <v>75</v>
      </c>
      <c r="C15"/>
      <c r="D15" s="22"/>
      <c r="O15" s="175">
        <v>16.289869099967788</v>
      </c>
      <c r="P15" s="84">
        <v>11</v>
      </c>
      <c r="Q15" s="180">
        <f t="shared" si="0"/>
        <v>-0.32473367757008242</v>
      </c>
      <c r="R15" s="113"/>
      <c r="S15" s="206"/>
      <c r="T15" s="113"/>
      <c r="U15" s="113"/>
      <c r="V15" s="113"/>
      <c r="W15" s="113"/>
      <c r="X15" s="113"/>
      <c r="Y15" s="113"/>
      <c r="Z15" s="113"/>
      <c r="AA15" s="113"/>
      <c r="AB15" s="113"/>
    </row>
    <row r="16" spans="2:28" x14ac:dyDescent="0.35">
      <c r="B16" s="142">
        <f>SUM(_xlfn.CHOOSECOLS(_xlfn.ANCHORARRAY($C$42),5))</f>
        <v>48760.568926</v>
      </c>
      <c r="C16"/>
      <c r="D16" s="22"/>
      <c r="O16" s="175">
        <v>6.5438223714311388</v>
      </c>
      <c r="P16" s="84">
        <v>9</v>
      </c>
      <c r="Q16" s="180">
        <f t="shared" si="0"/>
        <v>0.37534295540966728</v>
      </c>
      <c r="R16" s="113">
        <f>MIN(BinMidDIST)</f>
        <v>30.715003399999997</v>
      </c>
      <c r="S16" s="113"/>
      <c r="T16" s="113"/>
      <c r="U16" s="113"/>
      <c r="V16" s="113"/>
      <c r="W16" s="113"/>
      <c r="X16" s="113"/>
      <c r="Y16" s="113"/>
      <c r="Z16" s="113"/>
      <c r="AA16" s="113"/>
      <c r="AB16" s="113"/>
    </row>
    <row r="17" spans="2:28" x14ac:dyDescent="0.35">
      <c r="B17" s="140" t="s">
        <v>76</v>
      </c>
      <c r="C17"/>
      <c r="D17" s="22"/>
      <c r="O17" s="175">
        <v>2.0548042855771134</v>
      </c>
      <c r="P17" s="84">
        <v>5</v>
      </c>
      <c r="Q17" s="180">
        <f t="shared" si="0"/>
        <v>1.433321769423747</v>
      </c>
      <c r="R17" s="113">
        <f>MAX(BinMidDIST)</f>
        <v>355.04896459999998</v>
      </c>
      <c r="S17" s="113"/>
      <c r="T17" s="113"/>
      <c r="U17" s="113"/>
      <c r="V17" s="113"/>
      <c r="W17" s="113"/>
      <c r="X17" s="113"/>
      <c r="Y17" s="113"/>
      <c r="Z17" s="113"/>
      <c r="AA17" s="113"/>
      <c r="AB17" s="113"/>
    </row>
    <row r="18" spans="2:28" x14ac:dyDescent="0.35">
      <c r="B18" s="143">
        <f>AVERAGE(_xlfn.CHOOSECOLS(_xlfn.ANCHORARRAY($C$42),5))</f>
        <v>167.56209252920962</v>
      </c>
      <c r="C18"/>
      <c r="D18" s="22"/>
      <c r="K18"/>
      <c r="O18" s="176"/>
      <c r="P18" s="80"/>
      <c r="Q18" s="180" t="str">
        <f t="shared" si="0"/>
        <v/>
      </c>
      <c r="R18" s="113"/>
      <c r="S18" s="113"/>
      <c r="T18" s="113"/>
      <c r="U18" s="113"/>
      <c r="V18" s="113"/>
      <c r="W18" s="113"/>
      <c r="X18" s="113"/>
      <c r="Y18" s="113"/>
      <c r="Z18" s="113"/>
      <c r="AA18" s="113"/>
      <c r="AB18" s="113"/>
    </row>
    <row r="19" spans="2:28" x14ac:dyDescent="0.35">
      <c r="B19" s="140" t="s">
        <v>77</v>
      </c>
      <c r="C19"/>
      <c r="D19" s="22"/>
      <c r="K19"/>
      <c r="O19" s="176"/>
      <c r="P19" s="80"/>
      <c r="Q19" s="180" t="str">
        <f t="shared" si="0"/>
        <v/>
      </c>
      <c r="R19" s="113"/>
      <c r="S19" s="113"/>
      <c r="T19" s="113"/>
      <c r="U19" s="113"/>
      <c r="V19" s="113"/>
      <c r="W19" s="113"/>
      <c r="X19" s="113"/>
      <c r="Y19" s="113"/>
      <c r="Z19" s="113"/>
      <c r="AA19" s="113"/>
      <c r="AB19" s="113"/>
    </row>
    <row r="20" spans="2:28" x14ac:dyDescent="0.35">
      <c r="B20" s="142">
        <f>MEDIAN(_xlfn.CHOOSECOLS(_xlfn.ANCHORARRAY($C$42),5))</f>
        <v>167.970966</v>
      </c>
      <c r="C20"/>
      <c r="D20" s="22"/>
      <c r="K20"/>
      <c r="O20" s="176"/>
      <c r="P20" s="80"/>
      <c r="Q20" s="180" t="str">
        <f t="shared" si="0"/>
        <v/>
      </c>
      <c r="R20" s="113"/>
      <c r="S20" s="113"/>
      <c r="T20" s="113"/>
      <c r="U20" s="113"/>
      <c r="V20" s="113"/>
      <c r="W20" s="113"/>
      <c r="X20" s="113"/>
      <c r="Y20" s="113"/>
      <c r="Z20" s="113"/>
      <c r="AA20" s="113"/>
      <c r="AB20" s="113"/>
    </row>
    <row r="21" spans="2:28" x14ac:dyDescent="0.35">
      <c r="B21" s="140" t="s">
        <v>78</v>
      </c>
      <c r="C21"/>
      <c r="D21" s="22"/>
      <c r="K21"/>
      <c r="O21" s="176"/>
      <c r="P21" s="80"/>
      <c r="Q21" s="180" t="str">
        <f t="shared" si="0"/>
        <v/>
      </c>
      <c r="R21" s="113"/>
      <c r="S21" s="113"/>
      <c r="T21" s="113"/>
      <c r="U21" s="113"/>
      <c r="V21" s="113"/>
      <c r="W21" s="113"/>
      <c r="X21" s="113"/>
      <c r="Y21" s="113"/>
      <c r="Z21" s="113"/>
      <c r="AA21" s="113"/>
      <c r="AB21" s="113"/>
    </row>
    <row r="22" spans="2:28" x14ac:dyDescent="0.35">
      <c r="B22" s="144">
        <f>IFERROR(_xlfn.MODE.SNGL(_xlfn.CHOOSECOLS(_xlfn.ANCHORARRAY(C42),5)),"NON_MODAL")</f>
        <v>123.7079</v>
      </c>
      <c r="C22"/>
      <c r="D22" s="22"/>
      <c r="K22"/>
      <c r="O22" s="176"/>
      <c r="P22" s="80"/>
      <c r="Q22" s="180" t="str">
        <f t="shared" si="0"/>
        <v/>
      </c>
      <c r="R22" s="113"/>
      <c r="S22" s="113"/>
      <c r="T22" s="113"/>
      <c r="U22" s="113"/>
      <c r="V22" s="113"/>
      <c r="W22" s="113"/>
      <c r="X22" s="113"/>
      <c r="Y22" s="113"/>
      <c r="Z22" s="113"/>
      <c r="AA22" s="113"/>
      <c r="AB22" s="113"/>
    </row>
    <row r="23" spans="2:28" x14ac:dyDescent="0.35">
      <c r="B23" s="140" t="s">
        <v>79</v>
      </c>
      <c r="C23"/>
      <c r="D23" s="22"/>
      <c r="K23"/>
      <c r="O23" s="177"/>
      <c r="P23" s="80"/>
      <c r="Q23" s="180" t="str">
        <f t="shared" si="0"/>
        <v/>
      </c>
      <c r="R23" s="113"/>
      <c r="S23" s="113"/>
      <c r="T23" s="113"/>
      <c r="U23" s="113"/>
      <c r="V23" s="113"/>
      <c r="W23" s="113"/>
      <c r="X23" s="113"/>
      <c r="Y23" s="113"/>
      <c r="Z23" s="113"/>
      <c r="AA23" s="113"/>
      <c r="AB23" s="113"/>
    </row>
    <row r="24" spans="2:28" x14ac:dyDescent="0.35">
      <c r="B24" s="145">
        <f>MIN(_xlfn.CHOOSECOLS(_xlfn.ANCHORARRAY($C$42),5))</f>
        <v>12.697699999999999</v>
      </c>
      <c r="C24"/>
      <c r="D24" s="22"/>
      <c r="K24"/>
      <c r="O24" s="176"/>
      <c r="P24" s="80"/>
      <c r="Q24" s="180" t="str">
        <f t="shared" si="0"/>
        <v/>
      </c>
      <c r="R24" s="113"/>
      <c r="S24" s="113"/>
      <c r="T24" s="113"/>
      <c r="U24" s="113"/>
      <c r="V24" s="113"/>
      <c r="W24" s="113"/>
      <c r="X24" s="113"/>
      <c r="Y24" s="113"/>
      <c r="Z24" s="113"/>
      <c r="AA24" s="113"/>
      <c r="AB24" s="113"/>
    </row>
    <row r="25" spans="2:28" x14ac:dyDescent="0.35">
      <c r="B25" s="146" cm="1">
        <f t="array" ref="B25">_xlfn.XLOOKUP(MIN(_xlfn.CHOOSECOLS(_xlfn.ANCHORARRAY($C$42),5)),_xlfn.CHOOSECOLS(_xlfn.ANCHORARRAY($C$42),5),_xlfn.CHOOSECOLS(_xlfn.ANCHORARRAY($C$42),1))</f>
        <v>45334</v>
      </c>
      <c r="C25"/>
      <c r="D25" s="22"/>
      <c r="K25"/>
      <c r="O25" s="176"/>
      <c r="P25" s="80"/>
      <c r="Q25" s="180" t="str">
        <f t="shared" si="0"/>
        <v/>
      </c>
      <c r="R25" s="113"/>
      <c r="S25" s="113"/>
      <c r="T25" s="113"/>
      <c r="U25" s="113"/>
      <c r="V25" s="113"/>
      <c r="W25" s="113"/>
      <c r="X25" s="113"/>
      <c r="Y25" s="113"/>
      <c r="Z25" s="113"/>
      <c r="AA25" s="113"/>
      <c r="AB25" s="113"/>
    </row>
    <row r="26" spans="2:28" x14ac:dyDescent="0.35">
      <c r="B26" s="140" t="s">
        <v>80</v>
      </c>
      <c r="C26"/>
      <c r="D26" s="22"/>
      <c r="K26"/>
      <c r="O26" s="176"/>
      <c r="P26" s="80"/>
      <c r="Q26" s="180" t="str">
        <f t="shared" si="0"/>
        <v/>
      </c>
      <c r="R26" s="113"/>
      <c r="S26" s="113"/>
      <c r="T26" s="113"/>
      <c r="U26" s="113"/>
      <c r="V26" s="113"/>
      <c r="W26" s="113"/>
      <c r="X26" s="113"/>
      <c r="Y26" s="113"/>
      <c r="Z26" s="113"/>
      <c r="AA26" s="113"/>
      <c r="AB26" s="113"/>
    </row>
    <row r="27" spans="2:28" x14ac:dyDescent="0.35">
      <c r="B27" s="147">
        <f>MAX(_xlfn.CHOOSECOLS(_xlfn.ANCHORARRAY($C$42),5))</f>
        <v>373.043768</v>
      </c>
      <c r="C27"/>
      <c r="D27" s="22"/>
      <c r="K27"/>
      <c r="O27" s="176"/>
      <c r="P27" s="80"/>
      <c r="Q27" s="180" t="str">
        <f t="shared" si="0"/>
        <v/>
      </c>
      <c r="R27" s="113"/>
      <c r="S27" s="113"/>
      <c r="T27" s="113"/>
      <c r="U27" s="113"/>
      <c r="V27" s="113"/>
      <c r="W27" s="113"/>
      <c r="X27" s="113"/>
      <c r="Y27" s="113"/>
      <c r="Z27" s="113"/>
      <c r="AA27" s="113"/>
      <c r="AB27" s="113"/>
    </row>
    <row r="28" spans="2:28" ht="15" thickBot="1" x14ac:dyDescent="0.4">
      <c r="B28" s="146" cm="1">
        <f t="array" ref="B28">_xlfn.XLOOKUP(MAX(_xlfn.CHOOSECOLS(_xlfn.ANCHORARRAY($C$42),5)),_xlfn.CHOOSECOLS(_xlfn.ANCHORARRAY($C$42),5),_xlfn.CHOOSECOLS(_xlfn.ANCHORARRAY($C$42),1))</f>
        <v>45336</v>
      </c>
      <c r="C28"/>
      <c r="D28" s="22"/>
      <c r="K28"/>
      <c r="O28" s="107"/>
      <c r="P28" s="109"/>
      <c r="Q28" s="180" t="str">
        <f t="shared" si="0"/>
        <v/>
      </c>
      <c r="R28" s="113"/>
      <c r="S28" s="113"/>
      <c r="T28" s="113"/>
      <c r="U28" s="113"/>
      <c r="V28" s="113"/>
      <c r="W28" s="113" t="s">
        <v>185</v>
      </c>
      <c r="X28" s="113" cm="1">
        <f t="array" ref="X28:X37">_xlfn.TAKE($J$30:$J$48,$H$36)</f>
        <v>12.697699999999999</v>
      </c>
      <c r="Y28" s="113"/>
      <c r="Z28" s="113"/>
      <c r="AA28" s="113"/>
      <c r="AB28" s="113"/>
    </row>
    <row r="29" spans="2:28" ht="15" thickBot="1" x14ac:dyDescent="0.4">
      <c r="B29" s="140" t="s">
        <v>81</v>
      </c>
      <c r="C29" s="346" t="s">
        <v>110</v>
      </c>
      <c r="D29" s="347"/>
      <c r="E29" s="347"/>
      <c r="F29" s="348"/>
      <c r="G29" s="103" t="s">
        <v>74</v>
      </c>
      <c r="H29" s="105">
        <f>$B$14</f>
        <v>291</v>
      </c>
      <c r="I29" s="116"/>
      <c r="J29" s="117" t="s">
        <v>96</v>
      </c>
      <c r="K29" s="117" t="s">
        <v>97</v>
      </c>
      <c r="L29" s="117" t="s">
        <v>99</v>
      </c>
      <c r="M29" s="117" t="s">
        <v>98</v>
      </c>
      <c r="N29" s="117" t="s">
        <v>109</v>
      </c>
      <c r="O29" s="174" t="s">
        <v>114</v>
      </c>
      <c r="P29" s="202" t="s">
        <v>115</v>
      </c>
      <c r="Q29" s="202" t="s">
        <v>116</v>
      </c>
      <c r="R29" s="113" t="s">
        <v>100</v>
      </c>
      <c r="S29" s="113"/>
      <c r="T29" s="113"/>
      <c r="U29" s="113"/>
      <c r="V29" s="113"/>
      <c r="W29" s="113"/>
      <c r="X29" s="113">
        <v>48.732306799999996</v>
      </c>
      <c r="Y29" s="113"/>
      <c r="Z29" s="113"/>
      <c r="AA29" s="113"/>
      <c r="AB29" s="113"/>
    </row>
    <row r="30" spans="2:28" ht="15" thickBot="1" x14ac:dyDescent="0.4">
      <c r="B30" s="142">
        <f>B27-B24</f>
        <v>360.346068</v>
      </c>
      <c r="C30" s="349"/>
      <c r="D30" s="350"/>
      <c r="E30" s="350"/>
      <c r="F30" s="351"/>
      <c r="G30" s="94" t="s">
        <v>92</v>
      </c>
      <c r="H30" s="88">
        <f>ROUNDUP(1+(3.3*(LOG10($H$29))),0)</f>
        <v>10</v>
      </c>
      <c r="I30" s="118">
        <v>1</v>
      </c>
      <c r="J30" s="119">
        <f>$H$31</f>
        <v>12.697699999999999</v>
      </c>
      <c r="K30" s="119">
        <f>$J$30+$H$34</f>
        <v>48.732306799999996</v>
      </c>
      <c r="L30" s="120" t="str">
        <f>IF(_xlfn.CONCAT(J30," - ",K30)="X - X",0,_xlfn.CONCAT(ROUND(J30,0)," - ",ROUND(K30,0)))</f>
        <v>13 - 49</v>
      </c>
      <c r="M30" s="120" cm="1">
        <f t="array" ref="M30:M39">FreqTIPS</f>
        <v>11</v>
      </c>
      <c r="N30" s="121">
        <f t="shared" ref="N30:N48" si="1">IF(($L30)=0,"X",($M30/$B$14))</f>
        <v>3.7800687285223365E-2</v>
      </c>
      <c r="O30" s="119">
        <f>IFERROR((J30+K30)/2,"X")</f>
        <v>30.715003399999997</v>
      </c>
      <c r="P30" s="17">
        <f>IFERROR(_xlfn.NORM.DIST(O30,$B$18,$B$34,FALSE)*$H$34*$B$14,"X")</f>
        <v>9.7548753935064436</v>
      </c>
      <c r="Q30" s="123">
        <f>IFERROR(P30/$B$14,"X")</f>
        <v>3.3521908568750668E-2</v>
      </c>
      <c r="R30" s="113"/>
      <c r="S30" s="207">
        <f>IF(O30="X","X",0)</f>
        <v>0</v>
      </c>
      <c r="T30" s="113"/>
      <c r="U30" s="113"/>
      <c r="V30" s="113"/>
      <c r="W30" s="113"/>
      <c r="X30" s="113">
        <v>84.766913599999995</v>
      </c>
      <c r="Y30" s="113"/>
      <c r="Z30" s="113"/>
      <c r="AA30" s="113"/>
      <c r="AB30" s="113"/>
    </row>
    <row r="31" spans="2:28" x14ac:dyDescent="0.35">
      <c r="B31" s="140" t="s">
        <v>82</v>
      </c>
      <c r="C31" s="128"/>
      <c r="D31" s="322" t="s">
        <v>106</v>
      </c>
      <c r="E31" s="323"/>
      <c r="F31" s="324"/>
      <c r="G31" s="94" t="s">
        <v>79</v>
      </c>
      <c r="H31" s="89">
        <f>$B$24</f>
        <v>12.697699999999999</v>
      </c>
      <c r="I31" s="95">
        <v>2</v>
      </c>
      <c r="J31" s="81">
        <f t="shared" ref="J31:J48" si="2">IFERROR(IF(J30+$H$34&gt;$H$32-1,"X",J30+$H$34),"X")</f>
        <v>48.732306799999996</v>
      </c>
      <c r="K31" s="81">
        <f t="shared" ref="K31:K48" si="3">IFERROR(IF(K30+$H$34&gt;$H$32+0.1,"X",K30+$H$34+0.005),"X")</f>
        <v>84.771913599999991</v>
      </c>
      <c r="L31" s="80" t="str">
        <f t="shared" ref="L31:L48" si="4">IF(_xlfn.CONCAT(J31," - ",K31)="X - X",0,_xlfn.CONCAT(ROUND(J31,0)," - ",ROUND(K31,0)))</f>
        <v>49 - 85</v>
      </c>
      <c r="M31" s="80">
        <v>28</v>
      </c>
      <c r="N31" s="86">
        <f t="shared" si="1"/>
        <v>9.6219931271477668E-2</v>
      </c>
      <c r="O31" s="81">
        <f t="shared" ref="O31:O48" si="5">IFERROR((J31+K31)/2,"X")</f>
        <v>66.75211019999999</v>
      </c>
      <c r="P31" s="17">
        <f t="shared" ref="P31:P48" si="6">IFERROR(_xlfn.NORM.DIST(O31,$B$18,$B$34,FALSE)*$H$34*$B$14,"X")</f>
        <v>21.976587801551261</v>
      </c>
      <c r="Q31" s="106">
        <f t="shared" ref="Q31:Q48" si="7">IFERROR(P31/$B$14,"X")</f>
        <v>7.5520920280244888E-2</v>
      </c>
      <c r="R31" s="113" t="s">
        <v>102</v>
      </c>
      <c r="S31" s="207">
        <f t="shared" ref="S31:S48" si="8">IF(O31="X","X",0)</f>
        <v>0</v>
      </c>
      <c r="T31" s="113"/>
      <c r="U31" s="113"/>
      <c r="V31" s="113"/>
      <c r="W31" s="113"/>
      <c r="X31" s="113">
        <v>120.80152039999999</v>
      </c>
      <c r="Y31" s="113"/>
      <c r="Z31" s="113"/>
      <c r="AA31" s="113"/>
      <c r="AB31" s="113"/>
    </row>
    <row r="32" spans="2:28" x14ac:dyDescent="0.35">
      <c r="B32" s="142">
        <f>IF($B$6="Entire Year",_xlfn.VAR.P(_xlfn.CHOOSECOLS(_xlfn.ANCHORARRAY($C$42),5)),_xlfn.VAR.S(_xlfn.CHOOSECOLS(_xlfn.ANCHORARRAY($C$42),5)))</f>
        <v>5272.3236855648865</v>
      </c>
      <c r="C32" s="95"/>
      <c r="D32" s="80">
        <v>1</v>
      </c>
      <c r="E32" s="80">
        <v>2</v>
      </c>
      <c r="F32" s="96">
        <v>3</v>
      </c>
      <c r="G32" s="94" t="s">
        <v>80</v>
      </c>
      <c r="H32" s="89">
        <f>$B$27</f>
        <v>373.043768</v>
      </c>
      <c r="I32" s="95">
        <v>3</v>
      </c>
      <c r="J32" s="81">
        <f t="shared" si="2"/>
        <v>84.766913599999995</v>
      </c>
      <c r="K32" s="81">
        <f t="shared" si="3"/>
        <v>120.81152039999998</v>
      </c>
      <c r="L32" s="80" t="str">
        <f t="shared" si="4"/>
        <v>85 - 121</v>
      </c>
      <c r="M32" s="80">
        <v>42</v>
      </c>
      <c r="N32" s="86">
        <f t="shared" si="1"/>
        <v>0.14432989690721648</v>
      </c>
      <c r="O32" s="81">
        <f t="shared" si="5"/>
        <v>102.78921699999998</v>
      </c>
      <c r="P32" s="17">
        <f t="shared" si="6"/>
        <v>38.701148367100444</v>
      </c>
      <c r="Q32" s="106">
        <f t="shared" si="7"/>
        <v>0.13299363700034517</v>
      </c>
      <c r="R32" s="113" t="s">
        <v>103</v>
      </c>
      <c r="S32" s="207">
        <f t="shared" si="8"/>
        <v>0</v>
      </c>
      <c r="T32" s="113"/>
      <c r="U32" s="113"/>
      <c r="V32" s="113"/>
      <c r="W32" s="113"/>
      <c r="X32" s="113">
        <v>156.83612719999999</v>
      </c>
      <c r="Y32" s="113"/>
      <c r="Z32" s="113"/>
      <c r="AA32" s="113"/>
      <c r="AB32" s="113"/>
    </row>
    <row r="33" spans="2:28" x14ac:dyDescent="0.35">
      <c r="B33" s="140" t="s">
        <v>83</v>
      </c>
      <c r="C33" s="97" t="s">
        <v>104</v>
      </c>
      <c r="D33" s="81">
        <f>$B$18-(D32*$B$34)</f>
        <v>94.951324143488165</v>
      </c>
      <c r="E33" s="81">
        <f>$B$18-(E32*$B$34)</f>
        <v>22.340555757766708</v>
      </c>
      <c r="F33" s="98">
        <f>$B$18-(F32*$B$34)</f>
        <v>-50.270212627954749</v>
      </c>
      <c r="G33" s="94" t="s">
        <v>81</v>
      </c>
      <c r="H33" s="89">
        <f>$B$30</f>
        <v>360.346068</v>
      </c>
      <c r="I33" s="95">
        <v>4</v>
      </c>
      <c r="J33" s="81">
        <f t="shared" si="2"/>
        <v>120.80152039999999</v>
      </c>
      <c r="K33" s="81">
        <f t="shared" si="3"/>
        <v>156.85112719999998</v>
      </c>
      <c r="L33" s="80" t="str">
        <f t="shared" si="4"/>
        <v>121 - 157</v>
      </c>
      <c r="M33" s="80">
        <v>46</v>
      </c>
      <c r="N33" s="86">
        <f t="shared" si="1"/>
        <v>0.15807560137457044</v>
      </c>
      <c r="O33" s="81">
        <f t="shared" si="5"/>
        <v>138.82632379999998</v>
      </c>
      <c r="P33" s="17">
        <f t="shared" si="6"/>
        <v>53.2736550522173</v>
      </c>
      <c r="Q33" s="106">
        <f t="shared" si="7"/>
        <v>0.18307097956088419</v>
      </c>
      <c r="R33" s="113" t="s">
        <v>111</v>
      </c>
      <c r="S33" s="207">
        <f t="shared" si="8"/>
        <v>0</v>
      </c>
      <c r="T33" s="113"/>
      <c r="U33" s="113"/>
      <c r="V33" s="113"/>
      <c r="W33" s="113"/>
      <c r="X33" s="113">
        <v>192.870734</v>
      </c>
      <c r="Y33" s="113"/>
      <c r="Z33" s="113"/>
      <c r="AA33" s="113"/>
      <c r="AB33" s="113"/>
    </row>
    <row r="34" spans="2:28" ht="15" thickBot="1" x14ac:dyDescent="0.4">
      <c r="B34" s="148">
        <f>IF($B$6="Entire Year",_xlfn.STDEV.P(_xlfn.CHOOSECOLS(_xlfn.ANCHORARRAY($C$42),5)),_xlfn.STDEV.S(_xlfn.CHOOSECOLS(_xlfn.ANCHORARRAY($C$42),5)))</f>
        <v>72.610768385721457</v>
      </c>
      <c r="C34" s="97" t="s">
        <v>105</v>
      </c>
      <c r="D34" s="81">
        <f>$B$18+(D32*$B$34)</f>
        <v>240.17286091493108</v>
      </c>
      <c r="E34" s="81">
        <f>$B$18+(E32*$B$34)</f>
        <v>312.78362930065254</v>
      </c>
      <c r="F34" s="98">
        <f>$B$18+(F32*$B$34)</f>
        <v>385.39439768637396</v>
      </c>
      <c r="G34" s="94" t="s">
        <v>93</v>
      </c>
      <c r="H34" s="164">
        <f>$H$33/$H$36</f>
        <v>36.034606799999999</v>
      </c>
      <c r="I34" s="95">
        <v>5</v>
      </c>
      <c r="J34" s="81">
        <f t="shared" si="2"/>
        <v>156.83612719999999</v>
      </c>
      <c r="K34" s="81">
        <f t="shared" si="3"/>
        <v>192.89073399999998</v>
      </c>
      <c r="L34" s="80" t="str">
        <f t="shared" si="4"/>
        <v>157 - 193</v>
      </c>
      <c r="M34" s="80">
        <v>55</v>
      </c>
      <c r="N34" s="86">
        <f t="shared" si="1"/>
        <v>0.18900343642611683</v>
      </c>
      <c r="O34" s="81">
        <f t="shared" si="5"/>
        <v>174.86343059999999</v>
      </c>
      <c r="P34" s="17">
        <f t="shared" si="6"/>
        <v>57.322640808338718</v>
      </c>
      <c r="Q34" s="106">
        <f t="shared" si="7"/>
        <v>0.19698501995992687</v>
      </c>
      <c r="R34" s="113" t="s">
        <v>117</v>
      </c>
      <c r="S34" s="207">
        <f t="shared" si="8"/>
        <v>0</v>
      </c>
      <c r="T34" s="113"/>
      <c r="U34" s="113"/>
      <c r="V34" s="113"/>
      <c r="W34" s="113"/>
      <c r="X34" s="113">
        <v>228.9053408</v>
      </c>
      <c r="Y34" s="113"/>
      <c r="Z34" s="113"/>
      <c r="AA34" s="113"/>
      <c r="AB34" s="113"/>
    </row>
    <row r="35" spans="2:28" ht="15" thickBot="1" x14ac:dyDescent="0.4">
      <c r="B35" s="140" t="s">
        <v>84</v>
      </c>
      <c r="C35" s="97" t="s">
        <v>107</v>
      </c>
      <c r="D35" s="87">
        <v>0.68</v>
      </c>
      <c r="E35" s="87">
        <v>0.95</v>
      </c>
      <c r="F35" s="99">
        <v>0.997</v>
      </c>
      <c r="G35" s="163" t="s">
        <v>94</v>
      </c>
      <c r="H35" s="166">
        <v>0</v>
      </c>
      <c r="I35" s="95">
        <v>6</v>
      </c>
      <c r="J35" s="81">
        <f t="shared" si="2"/>
        <v>192.870734</v>
      </c>
      <c r="K35" s="81">
        <f t="shared" si="3"/>
        <v>228.93034079999998</v>
      </c>
      <c r="L35" s="80" t="str">
        <f t="shared" si="4"/>
        <v>193 - 229</v>
      </c>
      <c r="M35" s="80">
        <v>53</v>
      </c>
      <c r="N35" s="86">
        <f t="shared" si="1"/>
        <v>0.18213058419243985</v>
      </c>
      <c r="O35" s="81">
        <f t="shared" si="5"/>
        <v>210.90053739999999</v>
      </c>
      <c r="P35" s="17">
        <f t="shared" si="6"/>
        <v>48.213086867885188</v>
      </c>
      <c r="Q35" s="106">
        <f t="shared" si="7"/>
        <v>0.1656807108862034</v>
      </c>
      <c r="R35" s="113" t="s">
        <v>118</v>
      </c>
      <c r="S35" s="207">
        <f t="shared" si="8"/>
        <v>0</v>
      </c>
      <c r="T35" s="113"/>
      <c r="U35" s="113"/>
      <c r="V35" s="113"/>
      <c r="W35" s="113"/>
      <c r="X35" s="113">
        <v>264.93994759999998</v>
      </c>
      <c r="Y35" s="113"/>
      <c r="Z35" s="113"/>
      <c r="AA35" s="113"/>
      <c r="AB35" s="113"/>
    </row>
    <row r="36" spans="2:28" ht="15" thickBot="1" x14ac:dyDescent="0.4">
      <c r="B36" s="142">
        <f>_xlfn.QUARTILE.EXC(_xlfn.CHOOSECOLS(_xlfn.ANCHORARRAY($C$42),5),1)</f>
        <v>109.82080000000001</v>
      </c>
      <c r="C36" s="100" t="s">
        <v>108</v>
      </c>
      <c r="D36" s="85" cm="1">
        <f t="array" ref="D36">COUNT(_xlfn._xlws.FILTER(_xlfn.CHOOSECOLS(TIPS,5),(_xlfn.CHOOSECOLS(TIPS,5)&gt;=D33)*(_xlfn.CHOOSECOLS(TIPS,5)&lt;=D34)))/COUNT(_xlfn.CHOOSECOLS(TIPS,5))</f>
        <v>0.68041237113402064</v>
      </c>
      <c r="E36" s="85" cm="1">
        <f t="array" ref="E36">COUNT(_xlfn._xlws.FILTER(_xlfn.CHOOSECOLS(TIPS,5),(_xlfn.CHOOSECOLS(TIPS,5)&gt;=E33)*(_xlfn.CHOOSECOLS(TIPS,5)&lt;=E34)))/COUNT(_xlfn.CHOOSECOLS(TIPS,5))</f>
        <v>0.9553264604810997</v>
      </c>
      <c r="F36" s="85" cm="1">
        <f t="array" ref="F36">COUNT(_xlfn._xlws.FILTER(_xlfn.CHOOSECOLS(TIPS,5),(_xlfn.CHOOSECOLS(TIPS,5)&gt;=F33)*(_xlfn.CHOOSECOLS(TIPS,5)&lt;=F34)))/COUNT(_xlfn.CHOOSECOLS(TIPS,5))</f>
        <v>1</v>
      </c>
      <c r="G36" s="104" t="s">
        <v>95</v>
      </c>
      <c r="H36" s="165">
        <f>$H$30+$H$35</f>
        <v>10</v>
      </c>
      <c r="I36" s="95">
        <v>7</v>
      </c>
      <c r="J36" s="81">
        <f t="shared" si="2"/>
        <v>228.9053408</v>
      </c>
      <c r="K36" s="81">
        <f t="shared" si="3"/>
        <v>264.96994759999995</v>
      </c>
      <c r="L36" s="80" t="str">
        <f t="shared" si="4"/>
        <v>229 - 265</v>
      </c>
      <c r="M36" s="80">
        <v>31</v>
      </c>
      <c r="N36" s="86">
        <f t="shared" si="1"/>
        <v>0.10652920962199312</v>
      </c>
      <c r="O36" s="81">
        <f t="shared" si="5"/>
        <v>246.93764419999997</v>
      </c>
      <c r="P36" s="17">
        <f t="shared" si="6"/>
        <v>31.697772192343564</v>
      </c>
      <c r="Q36" s="106">
        <f t="shared" si="7"/>
        <v>0.1089270522073662</v>
      </c>
      <c r="R36" s="113" t="s">
        <v>119</v>
      </c>
      <c r="S36" s="207">
        <f t="shared" si="8"/>
        <v>0</v>
      </c>
      <c r="T36" s="113"/>
      <c r="U36" s="113"/>
      <c r="V36" s="113"/>
      <c r="W36" s="113"/>
      <c r="X36" s="113">
        <v>300.97455439999999</v>
      </c>
      <c r="Y36" s="113"/>
      <c r="Z36" s="113"/>
      <c r="AA36" s="113"/>
      <c r="AB36" s="113"/>
    </row>
    <row r="37" spans="2:28" x14ac:dyDescent="0.35">
      <c r="B37" s="142">
        <f>_xlfn.QUARTILE.EXC(_xlfn.CHOOSECOLS(_xlfn.ANCHORARRAY($C$42),5),2)</f>
        <v>167.970966</v>
      </c>
      <c r="C37" s="95"/>
      <c r="D37" s="80" t="str">
        <f>IF(AND(ROUND(D$36,2)*100&gt;=(D$35*100)-3,ROUND(D$36,2)*100&lt;=(D$35*100)+3.2),"Within Limits","Outside Limits")</f>
        <v>Within Limits</v>
      </c>
      <c r="E37" s="80" t="str">
        <f>IF(AND(ROUND(E$36,2)*100&gt;=(E$35*100)-3,ROUND(E$36,2)*100&lt;=(E$35*100)+3.2),"Within Limits","Outside Limits")</f>
        <v>Within Limits</v>
      </c>
      <c r="F37" s="96" t="str">
        <f>IF(AND(ROUND(F$36,2)*100&gt;=(F$35*100)-3,ROUND(F$36,2)*100&lt;=(F$35*100)+3.2),"Within Limits","Outside Limits")</f>
        <v>Within Limits</v>
      </c>
      <c r="G37" s="131"/>
      <c r="H37" s="132"/>
      <c r="I37" s="95">
        <v>8</v>
      </c>
      <c r="J37" s="81">
        <f t="shared" si="2"/>
        <v>264.93994759999998</v>
      </c>
      <c r="K37" s="81">
        <f t="shared" si="3"/>
        <v>301.00955439999996</v>
      </c>
      <c r="L37" s="80" t="str">
        <f t="shared" si="4"/>
        <v>265 - 301</v>
      </c>
      <c r="M37" s="80">
        <v>11</v>
      </c>
      <c r="N37" s="86">
        <f t="shared" si="1"/>
        <v>3.7800687285223365E-2</v>
      </c>
      <c r="O37" s="81">
        <f t="shared" si="5"/>
        <v>282.97475099999997</v>
      </c>
      <c r="P37" s="17">
        <f t="shared" si="6"/>
        <v>16.289869099967788</v>
      </c>
      <c r="Q37" s="106">
        <f t="shared" si="7"/>
        <v>5.5978931615009581E-2</v>
      </c>
      <c r="R37" s="113" t="s">
        <v>182</v>
      </c>
      <c r="S37" s="207">
        <f t="shared" si="8"/>
        <v>0</v>
      </c>
      <c r="T37" s="113"/>
      <c r="U37" s="113"/>
      <c r="V37" s="113"/>
      <c r="W37" s="113"/>
      <c r="X37" s="113">
        <v>337.00916119999999</v>
      </c>
      <c r="Y37" s="113"/>
      <c r="Z37" s="113"/>
      <c r="AA37" s="113"/>
      <c r="AB37" s="113"/>
    </row>
    <row r="38" spans="2:28" x14ac:dyDescent="0.35">
      <c r="B38" s="142">
        <f>_xlfn.QUARTILE.EXC(_xlfn.CHOOSECOLS(_xlfn.ANCHORARRAY($C$42),5),3)</f>
        <v>213.52000400000003</v>
      </c>
      <c r="C38" s="305" t="str">
        <f>IF(AND($D$37="Within Limits",$E$37="Within Limits",$F$37="Within Limits"),"The data appears to be normally Distributed","The data does not appear to be normally distributed")</f>
        <v>The data appears to be normally Distributed</v>
      </c>
      <c r="D38" s="306"/>
      <c r="E38" s="306"/>
      <c r="F38" s="307"/>
      <c r="G38" s="131"/>
      <c r="H38" s="132"/>
      <c r="I38" s="95">
        <v>9</v>
      </c>
      <c r="J38" s="81">
        <f t="shared" si="2"/>
        <v>300.97455439999999</v>
      </c>
      <c r="K38" s="81">
        <f t="shared" si="3"/>
        <v>337.04916119999996</v>
      </c>
      <c r="L38" s="80" t="str">
        <f t="shared" si="4"/>
        <v>301 - 337</v>
      </c>
      <c r="M38" s="80">
        <v>9</v>
      </c>
      <c r="N38" s="86">
        <f t="shared" si="1"/>
        <v>3.0927835051546393E-2</v>
      </c>
      <c r="O38" s="81">
        <f t="shared" si="5"/>
        <v>319.01185779999997</v>
      </c>
      <c r="P38" s="17">
        <f t="shared" si="6"/>
        <v>6.5438223714311388</v>
      </c>
      <c r="Q38" s="106">
        <f t="shared" si="7"/>
        <v>2.2487362101137935E-2</v>
      </c>
      <c r="R38" s="113" t="s">
        <v>183</v>
      </c>
      <c r="S38" s="207">
        <f t="shared" si="8"/>
        <v>0</v>
      </c>
      <c r="T38" s="113"/>
      <c r="U38" s="113"/>
      <c r="V38" s="113"/>
      <c r="W38" s="113"/>
      <c r="X38" s="113"/>
      <c r="Y38" s="113"/>
      <c r="Z38" s="113"/>
      <c r="AA38" s="113"/>
      <c r="AB38" s="113"/>
    </row>
    <row r="39" spans="2:28" ht="15" thickBot="1" x14ac:dyDescent="0.4">
      <c r="B39" s="144">
        <f>MAX(_xlfn.CHOOSECOLS(_xlfn.ANCHORARRAY($C$42),5))</f>
        <v>373.043768</v>
      </c>
      <c r="C39" s="308" t="s">
        <v>113</v>
      </c>
      <c r="D39" s="309"/>
      <c r="E39" s="309"/>
      <c r="F39" s="310"/>
      <c r="G39" s="131"/>
      <c r="H39" s="132"/>
      <c r="I39" s="95">
        <v>10</v>
      </c>
      <c r="J39" s="81">
        <f t="shared" si="2"/>
        <v>337.00916119999999</v>
      </c>
      <c r="K39" s="81">
        <f t="shared" si="3"/>
        <v>373.08876799999996</v>
      </c>
      <c r="L39" s="80" t="str">
        <f t="shared" si="4"/>
        <v>337 - 373</v>
      </c>
      <c r="M39" s="80">
        <v>5</v>
      </c>
      <c r="N39" s="86">
        <f t="shared" si="1"/>
        <v>1.7182130584192441E-2</v>
      </c>
      <c r="O39" s="81">
        <f t="shared" si="5"/>
        <v>355.04896459999998</v>
      </c>
      <c r="P39" s="17">
        <f t="shared" si="6"/>
        <v>2.0548042855771134</v>
      </c>
      <c r="Q39" s="106">
        <f t="shared" si="7"/>
        <v>7.0611831119488429E-3</v>
      </c>
      <c r="R39" s="113" t="s">
        <v>184</v>
      </c>
      <c r="S39" s="207">
        <f t="shared" si="8"/>
        <v>0</v>
      </c>
      <c r="T39" s="113"/>
      <c r="U39" s="113"/>
      <c r="V39" s="113"/>
      <c r="W39" s="113">
        <f>COUNT(_xlfn.CHOOSECOLS(TIPS,5))</f>
        <v>291</v>
      </c>
      <c r="X39" s="113"/>
      <c r="Y39" s="113"/>
      <c r="Z39" s="113"/>
      <c r="AA39" s="113"/>
      <c r="AB39" s="113"/>
    </row>
    <row r="40" spans="2:28" x14ac:dyDescent="0.35">
      <c r="B40" s="140" t="s">
        <v>85</v>
      </c>
      <c r="C40" s="311" t="s">
        <v>91</v>
      </c>
      <c r="D40" s="312"/>
      <c r="E40" s="312"/>
      <c r="F40" s="312"/>
      <c r="G40" s="312"/>
      <c r="H40" s="312"/>
      <c r="I40" s="95">
        <v>11</v>
      </c>
      <c r="J40" s="81" t="str">
        <f t="shared" si="2"/>
        <v>X</v>
      </c>
      <c r="K40" s="81" t="str">
        <f t="shared" si="3"/>
        <v>X</v>
      </c>
      <c r="L40" s="80">
        <f t="shared" si="4"/>
        <v>0</v>
      </c>
      <c r="M40" s="80"/>
      <c r="N40" s="86" t="str">
        <f t="shared" si="1"/>
        <v>X</v>
      </c>
      <c r="O40" s="81" t="str">
        <f t="shared" si="5"/>
        <v>X</v>
      </c>
      <c r="P40" s="17" t="str">
        <f t="shared" si="6"/>
        <v>X</v>
      </c>
      <c r="Q40" s="101" t="str">
        <f t="shared" si="7"/>
        <v>X</v>
      </c>
      <c r="R40" s="113"/>
      <c r="S40" s="207" t="str">
        <f t="shared" si="8"/>
        <v>X</v>
      </c>
      <c r="T40" s="113"/>
      <c r="U40" s="113"/>
      <c r="V40" s="113"/>
      <c r="W40" s="113"/>
      <c r="X40" s="113"/>
      <c r="Y40" s="113"/>
      <c r="Z40" s="113"/>
      <c r="AA40" s="113"/>
      <c r="AB40" s="113"/>
    </row>
    <row r="41" spans="2:28" ht="16.5" customHeight="1" thickBot="1" x14ac:dyDescent="0.4">
      <c r="B41" s="142">
        <f>$B$38-$B$36</f>
        <v>103.69920400000002</v>
      </c>
      <c r="C41" s="313"/>
      <c r="D41" s="314"/>
      <c r="E41" s="314"/>
      <c r="F41" s="314"/>
      <c r="G41" s="314"/>
      <c r="H41" s="314"/>
      <c r="I41" s="95">
        <v>12</v>
      </c>
      <c r="J41" s="81" t="str">
        <f t="shared" si="2"/>
        <v>X</v>
      </c>
      <c r="K41" s="81" t="str">
        <f t="shared" si="3"/>
        <v>X</v>
      </c>
      <c r="L41" s="80">
        <f t="shared" si="4"/>
        <v>0</v>
      </c>
      <c r="M41" s="80"/>
      <c r="N41" s="86" t="str">
        <f t="shared" si="1"/>
        <v>X</v>
      </c>
      <c r="O41" s="81" t="str">
        <f t="shared" si="5"/>
        <v>X</v>
      </c>
      <c r="P41" s="17" t="str">
        <f t="shared" si="6"/>
        <v>X</v>
      </c>
      <c r="Q41" s="101" t="str">
        <f t="shared" si="7"/>
        <v>X</v>
      </c>
      <c r="R41" s="208">
        <f>SUM(P30:P36)</f>
        <v>260.9397664829429</v>
      </c>
      <c r="S41" s="207" t="str">
        <f t="shared" si="8"/>
        <v>X</v>
      </c>
      <c r="T41" s="113"/>
      <c r="U41" s="209" cm="1">
        <f t="array" ref="U41:U50">BinMidTIPS</f>
        <v>30.715003399999997</v>
      </c>
      <c r="V41" s="113" t="str" cm="1">
        <f t="array" ref="V41:V50">TIPS!BinLabDIST</f>
        <v>13 - 49</v>
      </c>
      <c r="W41" s="113"/>
      <c r="X41" s="113"/>
      <c r="Y41" s="206"/>
      <c r="Z41" s="113"/>
      <c r="AA41" s="113"/>
      <c r="AB41" s="113"/>
    </row>
    <row r="42" spans="2:28" x14ac:dyDescent="0.35">
      <c r="B42" s="140" t="s">
        <v>86</v>
      </c>
      <c r="C42" s="124" cm="1">
        <f t="array" ref="C42:H332">_xlfn.CHOOSECOLS(_xlfn._xlws.FILTER(RAW[],(RAW[Shift Count]&lt;&gt;0)*(_xlfn.SWITCH($B$6,
"Month of Year",(RAW[MONTH]=$B$7),
"Day of Week",(RAW[DOW]=$B$7),
"Entire Year",(RAW[Shift Count]=1))*(_xlfn.SWITCH($B$9,
"AM",(RAW[AM/PM]=$B$9),
"PM",(RAW[AM/PM]=$B$9),
"DOUBLE",(RAW[SINGLE/DODBLUBLE]="DOUBLE"),
"ALL",(RAW[MINUTES]&gt;0))))),1,2,3,4,17,21)</f>
        <v>45093</v>
      </c>
      <c r="D42" s="120" t="str">
        <v>PM</v>
      </c>
      <c r="E42" s="120" t="str">
        <v>June</v>
      </c>
      <c r="F42" s="120" t="str">
        <v>FRI</v>
      </c>
      <c r="G42" s="119">
        <v>124.41805200000002</v>
      </c>
      <c r="H42" s="125" t="str">
        <v>SINGLE</v>
      </c>
      <c r="I42" s="90">
        <v>13</v>
      </c>
      <c r="J42" s="81" t="str">
        <f t="shared" si="2"/>
        <v>X</v>
      </c>
      <c r="K42" s="81" t="str">
        <f t="shared" si="3"/>
        <v>X</v>
      </c>
      <c r="L42" s="80">
        <f t="shared" si="4"/>
        <v>0</v>
      </c>
      <c r="M42" s="80"/>
      <c r="N42" s="86" t="str">
        <f t="shared" si="1"/>
        <v>X</v>
      </c>
      <c r="O42" s="81" t="str">
        <f t="shared" si="5"/>
        <v>X</v>
      </c>
      <c r="P42" s="17" t="str">
        <f t="shared" si="6"/>
        <v>X</v>
      </c>
      <c r="Q42" s="101" t="str">
        <f t="shared" si="7"/>
        <v>X</v>
      </c>
      <c r="R42" s="113"/>
      <c r="S42" s="207" t="str">
        <f t="shared" si="8"/>
        <v>X</v>
      </c>
      <c r="T42" s="113"/>
      <c r="U42" s="113">
        <v>66.75211019999999</v>
      </c>
      <c r="V42" s="113" t="str">
        <v>49 - 85</v>
      </c>
      <c r="W42" s="113"/>
      <c r="X42" s="113"/>
      <c r="Y42" s="206"/>
      <c r="Z42" s="113"/>
      <c r="AA42" s="113"/>
      <c r="AB42" s="113"/>
    </row>
    <row r="43" spans="2:28" x14ac:dyDescent="0.35">
      <c r="B43" s="142">
        <f>B34/SQRT(B14)</f>
        <v>4.2565186255320597</v>
      </c>
      <c r="C43" s="126">
        <v>45094</v>
      </c>
      <c r="D43" s="80" t="str">
        <v>PM</v>
      </c>
      <c r="E43" s="80" t="str">
        <v>June</v>
      </c>
      <c r="F43" s="80" t="str">
        <v>SAT</v>
      </c>
      <c r="G43" s="81">
        <v>294.42299999999994</v>
      </c>
      <c r="H43" s="98" t="str">
        <v>SINGLE</v>
      </c>
      <c r="I43" s="90">
        <v>14</v>
      </c>
      <c r="J43" s="81" t="str">
        <f t="shared" si="2"/>
        <v>X</v>
      </c>
      <c r="K43" s="81" t="str">
        <f t="shared" si="3"/>
        <v>X</v>
      </c>
      <c r="L43" s="80">
        <f t="shared" si="4"/>
        <v>0</v>
      </c>
      <c r="M43" s="80"/>
      <c r="N43" s="86" t="str">
        <f t="shared" si="1"/>
        <v>X</v>
      </c>
      <c r="O43" s="81" t="str">
        <f t="shared" si="5"/>
        <v>X</v>
      </c>
      <c r="P43" s="17" t="str">
        <f t="shared" si="6"/>
        <v>X</v>
      </c>
      <c r="Q43" s="101" t="str">
        <f t="shared" si="7"/>
        <v>X</v>
      </c>
      <c r="R43" s="113"/>
      <c r="S43" s="207" t="str">
        <f t="shared" si="8"/>
        <v>X</v>
      </c>
      <c r="T43" s="113"/>
      <c r="U43" s="113">
        <v>102.78921699999998</v>
      </c>
      <c r="V43" s="113" t="str">
        <v>85 - 121</v>
      </c>
      <c r="W43" s="113"/>
      <c r="X43" s="113"/>
      <c r="Y43" s="206"/>
      <c r="Z43" s="113"/>
      <c r="AA43" s="113"/>
      <c r="AB43" s="113"/>
    </row>
    <row r="44" spans="2:28" x14ac:dyDescent="0.35">
      <c r="B44" s="140" t="s">
        <v>87</v>
      </c>
      <c r="C44" s="126">
        <v>45095</v>
      </c>
      <c r="D44" s="80" t="str">
        <v>PM</v>
      </c>
      <c r="E44" s="80" t="str">
        <v>June</v>
      </c>
      <c r="F44" s="80" t="str">
        <v>SUN</v>
      </c>
      <c r="G44" s="81">
        <v>158.63176000000001</v>
      </c>
      <c r="H44" s="98" t="str">
        <v>SINGLE</v>
      </c>
      <c r="I44" s="90">
        <v>15</v>
      </c>
      <c r="J44" s="81" t="str">
        <f t="shared" si="2"/>
        <v>X</v>
      </c>
      <c r="K44" s="81" t="str">
        <f t="shared" si="3"/>
        <v>X</v>
      </c>
      <c r="L44" s="80">
        <f t="shared" si="4"/>
        <v>0</v>
      </c>
      <c r="M44" s="80"/>
      <c r="N44" s="86" t="str">
        <f t="shared" si="1"/>
        <v>X</v>
      </c>
      <c r="O44" s="81" t="str">
        <f t="shared" si="5"/>
        <v>X</v>
      </c>
      <c r="P44" s="17" t="str">
        <f t="shared" si="6"/>
        <v>X</v>
      </c>
      <c r="Q44" s="101" t="str">
        <f t="shared" si="7"/>
        <v>X</v>
      </c>
      <c r="R44" s="113"/>
      <c r="S44" s="207" t="str">
        <f t="shared" si="8"/>
        <v>X</v>
      </c>
      <c r="T44" s="113"/>
      <c r="U44" s="113">
        <v>138.82632379999998</v>
      </c>
      <c r="V44" s="113" t="str">
        <v>121 - 157</v>
      </c>
      <c r="W44" s="113"/>
      <c r="X44" s="113"/>
      <c r="Y44" s="206"/>
      <c r="Z44" s="113"/>
      <c r="AA44" s="113"/>
      <c r="AB44" s="113"/>
    </row>
    <row r="45" spans="2:28" x14ac:dyDescent="0.35">
      <c r="B45" s="140">
        <f>SKEW(_xlfn.CHOOSECOLS(_xlfn.ANCHORARRAY($C$42),5))</f>
        <v>0.26407858941587309</v>
      </c>
      <c r="C45" s="126">
        <v>45097</v>
      </c>
      <c r="D45" s="80" t="str">
        <v>PM</v>
      </c>
      <c r="E45" s="80" t="str">
        <v>June</v>
      </c>
      <c r="F45" s="80" t="str">
        <v>TUE</v>
      </c>
      <c r="G45" s="81">
        <v>80.306155999999987</v>
      </c>
      <c r="H45" s="98" t="str">
        <v>SINGLE</v>
      </c>
      <c r="I45" s="90">
        <v>16</v>
      </c>
      <c r="J45" s="81" t="str">
        <f t="shared" si="2"/>
        <v>X</v>
      </c>
      <c r="K45" s="81" t="str">
        <f t="shared" si="3"/>
        <v>X</v>
      </c>
      <c r="L45" s="80">
        <f t="shared" si="4"/>
        <v>0</v>
      </c>
      <c r="M45" s="80"/>
      <c r="N45" s="86" t="str">
        <f t="shared" si="1"/>
        <v>X</v>
      </c>
      <c r="O45" s="81" t="str">
        <f t="shared" si="5"/>
        <v>X</v>
      </c>
      <c r="P45" s="17" t="str">
        <f t="shared" si="6"/>
        <v>X</v>
      </c>
      <c r="Q45" s="101" t="str">
        <f t="shared" si="7"/>
        <v>X</v>
      </c>
      <c r="R45" s="113"/>
      <c r="S45" s="207" t="str">
        <f t="shared" si="8"/>
        <v>X</v>
      </c>
      <c r="T45" s="113"/>
      <c r="U45" s="113">
        <v>174.86343059999999</v>
      </c>
      <c r="V45" s="113" t="str">
        <v>157 - 193</v>
      </c>
      <c r="W45" s="113"/>
      <c r="X45" s="113"/>
      <c r="Y45" s="206"/>
      <c r="Z45" s="113"/>
      <c r="AA45" s="113"/>
      <c r="AB45" s="113"/>
    </row>
    <row r="46" spans="2:28" x14ac:dyDescent="0.35">
      <c r="B46" s="140" t="s">
        <v>88</v>
      </c>
      <c r="C46" s="126">
        <v>45098</v>
      </c>
      <c r="D46" s="80" t="str">
        <v>PM</v>
      </c>
      <c r="E46" s="80" t="str">
        <v>June</v>
      </c>
      <c r="F46" s="80" t="str">
        <v>WED</v>
      </c>
      <c r="G46" s="81">
        <v>164.05465600000002</v>
      </c>
      <c r="H46" s="98" t="str">
        <v>SINGLE</v>
      </c>
      <c r="I46" s="90">
        <v>17</v>
      </c>
      <c r="J46" s="81" t="str">
        <f t="shared" si="2"/>
        <v>X</v>
      </c>
      <c r="K46" s="81" t="str">
        <f t="shared" si="3"/>
        <v>X</v>
      </c>
      <c r="L46" s="80">
        <f t="shared" si="4"/>
        <v>0</v>
      </c>
      <c r="M46" s="80"/>
      <c r="N46" s="86" t="str">
        <f t="shared" si="1"/>
        <v>X</v>
      </c>
      <c r="O46" s="81" t="str">
        <f t="shared" si="5"/>
        <v>X</v>
      </c>
      <c r="P46" s="17" t="str">
        <f t="shared" si="6"/>
        <v>X</v>
      </c>
      <c r="Q46" s="101" t="str">
        <f t="shared" si="7"/>
        <v>X</v>
      </c>
      <c r="R46" s="113"/>
      <c r="S46" s="207" t="str">
        <f t="shared" si="8"/>
        <v>X</v>
      </c>
      <c r="T46" s="113"/>
      <c r="U46" s="113">
        <v>210.90053739999999</v>
      </c>
      <c r="V46" s="113" t="str">
        <v>193 - 229</v>
      </c>
      <c r="W46" s="113"/>
      <c r="X46" s="113"/>
      <c r="Y46" s="206"/>
      <c r="Z46" s="113"/>
      <c r="AA46" s="113"/>
      <c r="AB46" s="113"/>
    </row>
    <row r="47" spans="2:28" x14ac:dyDescent="0.35">
      <c r="B47" s="140">
        <f>KURT(_xlfn.CHOOSECOLS(_xlfn.ANCHORARRAY($C$42),5))</f>
        <v>-0.27384751101746074</v>
      </c>
      <c r="C47" s="126">
        <v>45100</v>
      </c>
      <c r="D47" s="80" t="str">
        <v>PM</v>
      </c>
      <c r="E47" s="80" t="str">
        <v>June</v>
      </c>
      <c r="F47" s="80" t="str">
        <v>FRI</v>
      </c>
      <c r="G47" s="81">
        <v>212.73854399999999</v>
      </c>
      <c r="H47" s="98" t="str">
        <v>SINGLE</v>
      </c>
      <c r="I47" s="90">
        <v>18</v>
      </c>
      <c r="J47" s="81" t="str">
        <f t="shared" si="2"/>
        <v>X</v>
      </c>
      <c r="K47" s="81" t="str">
        <f t="shared" si="3"/>
        <v>X</v>
      </c>
      <c r="L47" s="80">
        <f t="shared" si="4"/>
        <v>0</v>
      </c>
      <c r="M47" s="80"/>
      <c r="N47" s="86" t="str">
        <f t="shared" si="1"/>
        <v>X</v>
      </c>
      <c r="O47" s="81" t="str">
        <f t="shared" si="5"/>
        <v>X</v>
      </c>
      <c r="P47" s="17" t="str">
        <f t="shared" si="6"/>
        <v>X</v>
      </c>
      <c r="Q47" s="101" t="str">
        <f t="shared" si="7"/>
        <v>X</v>
      </c>
      <c r="R47" s="113"/>
      <c r="S47" s="207" t="str">
        <f t="shared" si="8"/>
        <v>X</v>
      </c>
      <c r="T47" s="113"/>
      <c r="U47" s="113">
        <v>246.93764419999997</v>
      </c>
      <c r="V47" s="113" t="str">
        <v>229 - 265</v>
      </c>
      <c r="W47" s="113"/>
      <c r="X47" s="113"/>
      <c r="Y47" s="206"/>
      <c r="Z47" s="113"/>
      <c r="AA47" s="113"/>
      <c r="AB47" s="113"/>
    </row>
    <row r="48" spans="2:28" ht="15" thickBot="1" x14ac:dyDescent="0.4">
      <c r="B48" s="140" t="s">
        <v>89</v>
      </c>
      <c r="C48" s="126">
        <v>45102</v>
      </c>
      <c r="D48" s="80" t="str">
        <v>PM</v>
      </c>
      <c r="E48" s="80" t="str">
        <v>June</v>
      </c>
      <c r="F48" s="80" t="str">
        <v>SUN</v>
      </c>
      <c r="G48" s="81">
        <v>230.30097999999998</v>
      </c>
      <c r="H48" s="98" t="str">
        <v>SINGLE</v>
      </c>
      <c r="I48" s="114">
        <v>19</v>
      </c>
      <c r="J48" s="108" t="str">
        <f t="shared" si="2"/>
        <v>X</v>
      </c>
      <c r="K48" s="108" t="str">
        <f t="shared" si="3"/>
        <v>X</v>
      </c>
      <c r="L48" s="109">
        <f t="shared" si="4"/>
        <v>0</v>
      </c>
      <c r="M48" s="109"/>
      <c r="N48" s="110" t="str">
        <f t="shared" si="1"/>
        <v>X</v>
      </c>
      <c r="O48" s="108" t="str">
        <f t="shared" si="5"/>
        <v>X</v>
      </c>
      <c r="P48" s="17" t="str">
        <f t="shared" si="6"/>
        <v>X</v>
      </c>
      <c r="Q48" s="112" t="str">
        <f t="shared" si="7"/>
        <v>X</v>
      </c>
      <c r="R48" s="113"/>
      <c r="S48" s="207" t="str">
        <f t="shared" si="8"/>
        <v>X</v>
      </c>
      <c r="T48" s="113"/>
      <c r="U48" s="113">
        <v>282.97475099999997</v>
      </c>
      <c r="V48" s="113" t="str">
        <v>265 - 301</v>
      </c>
      <c r="W48" s="113"/>
      <c r="X48" s="113"/>
      <c r="Y48" s="206"/>
      <c r="Z48" s="113"/>
      <c r="AA48" s="113"/>
      <c r="AB48" s="113"/>
    </row>
    <row r="49" spans="2:28" ht="14.5" customHeight="1" x14ac:dyDescent="0.35">
      <c r="B49" s="142">
        <f>_xlfn.PERCENTILE.INC(_xlfn.CHOOSECOLS(_xlfn.ANCHORARRAY($C$42),5),0.1)</f>
        <v>71.073899999999995</v>
      </c>
      <c r="C49" s="126">
        <v>45103</v>
      </c>
      <c r="D49" s="80" t="str">
        <v>PM</v>
      </c>
      <c r="E49" s="80" t="str">
        <v>June</v>
      </c>
      <c r="F49" s="80" t="str">
        <v>MON</v>
      </c>
      <c r="G49" s="81">
        <v>141.32609200000002</v>
      </c>
      <c r="H49" s="96" t="str">
        <v>SINGLE</v>
      </c>
      <c r="I49" s="311" t="s">
        <v>161</v>
      </c>
      <c r="J49" s="312"/>
      <c r="K49" s="312"/>
      <c r="L49" s="312"/>
      <c r="M49" s="312"/>
      <c r="N49" s="312"/>
      <c r="O49" s="312"/>
      <c r="P49" s="315"/>
      <c r="Q49" s="316"/>
      <c r="R49" s="113"/>
      <c r="S49" s="113"/>
      <c r="T49" s="113"/>
      <c r="U49" s="113">
        <v>319.01185779999997</v>
      </c>
      <c r="V49" s="113" t="str">
        <v>301 - 337</v>
      </c>
      <c r="W49" s="113" t="s">
        <v>186</v>
      </c>
      <c r="X49" s="113" cm="1">
        <f t="array" ref="X49:X58">_xlfn.TAKE($K$30:$K$48,$H$36)</f>
        <v>48.732306799999996</v>
      </c>
      <c r="Y49" s="206"/>
      <c r="Z49" s="113"/>
      <c r="AA49" s="113"/>
      <c r="AB49" s="113"/>
    </row>
    <row r="50" spans="2:28" ht="15" customHeight="1" thickBot="1" x14ac:dyDescent="0.4">
      <c r="B50" s="140" t="s">
        <v>90</v>
      </c>
      <c r="C50" s="126">
        <v>45104</v>
      </c>
      <c r="D50" s="80" t="str">
        <v>PM</v>
      </c>
      <c r="E50" s="80" t="str">
        <v>June</v>
      </c>
      <c r="F50" s="80" t="str">
        <v>TUE</v>
      </c>
      <c r="G50" s="81">
        <v>237.84255200000001</v>
      </c>
      <c r="H50" s="96" t="str">
        <v>SINGLE</v>
      </c>
      <c r="I50" s="317"/>
      <c r="J50" s="315"/>
      <c r="K50" s="315"/>
      <c r="L50" s="315"/>
      <c r="M50" s="315"/>
      <c r="N50" s="315"/>
      <c r="O50" s="315"/>
      <c r="P50" s="315"/>
      <c r="Q50" s="318"/>
      <c r="R50" s="113"/>
      <c r="S50" s="113"/>
      <c r="T50" s="113"/>
      <c r="U50" s="113">
        <v>355.04896459999998</v>
      </c>
      <c r="V50" s="113" t="str">
        <v>337 - 373</v>
      </c>
      <c r="W50" s="113"/>
      <c r="X50" s="113">
        <v>84.771913599999991</v>
      </c>
      <c r="Y50" s="206"/>
      <c r="Z50" s="113"/>
      <c r="AA50" s="113"/>
      <c r="AB50" s="113"/>
    </row>
    <row r="51" spans="2:28" ht="15" thickBot="1" x14ac:dyDescent="0.4">
      <c r="B51" s="149">
        <f>_xlfn.PERCENTILE.INC(_xlfn.CHOOSECOLS(_xlfn.ANCHORARRAY($C$42),5),0.9)</f>
        <v>258.35831999999999</v>
      </c>
      <c r="C51" s="126">
        <v>45105</v>
      </c>
      <c r="D51" s="80" t="str">
        <v>PM</v>
      </c>
      <c r="E51" s="80" t="str">
        <v>June</v>
      </c>
      <c r="F51" s="80" t="str">
        <v>WED</v>
      </c>
      <c r="G51" s="81">
        <v>191.79007999999999</v>
      </c>
      <c r="H51" s="102" t="str">
        <v>SINGLE</v>
      </c>
      <c r="I51" s="167" t="s">
        <v>106</v>
      </c>
      <c r="J51" s="169">
        <v>1</v>
      </c>
      <c r="K51" s="170" t="s">
        <v>162</v>
      </c>
      <c r="L51" s="173">
        <v>3</v>
      </c>
      <c r="M51" s="171" t="s">
        <v>76</v>
      </c>
      <c r="N51" s="151">
        <f>$B$18</f>
        <v>167.56209252920962</v>
      </c>
      <c r="O51" s="120" t="s">
        <v>79</v>
      </c>
      <c r="P51" s="153">
        <f>$B$24</f>
        <v>12.697699999999999</v>
      </c>
      <c r="Q51" s="185"/>
      <c r="R51" s="113"/>
      <c r="S51" s="113"/>
      <c r="T51" s="113"/>
      <c r="U51" s="113"/>
      <c r="V51" s="113"/>
      <c r="W51" s="113"/>
      <c r="X51" s="113">
        <v>120.81152039999998</v>
      </c>
      <c r="Y51" s="206"/>
      <c r="Z51" s="113"/>
      <c r="AA51" s="113"/>
      <c r="AB51" s="113"/>
    </row>
    <row r="52" spans="2:28" ht="15" thickBot="1" x14ac:dyDescent="0.4">
      <c r="C52" s="126">
        <v>45107</v>
      </c>
      <c r="D52" s="80" t="str">
        <v>PM</v>
      </c>
      <c r="E52" s="80" t="str">
        <v>June</v>
      </c>
      <c r="F52" s="80" t="str">
        <v>FRI</v>
      </c>
      <c r="G52" s="81">
        <v>165.05888400000001</v>
      </c>
      <c r="H52" s="102" t="str">
        <v>SINGLE</v>
      </c>
      <c r="I52" s="107" t="s">
        <v>104</v>
      </c>
      <c r="J52" s="168">
        <f>N51-(J51*N52)</f>
        <v>94.951324143488165</v>
      </c>
      <c r="K52" s="109" t="s">
        <v>105</v>
      </c>
      <c r="L52" s="201">
        <f>N51+(J51*N52)</f>
        <v>240.17286091493108</v>
      </c>
      <c r="M52" s="109" t="s">
        <v>124</v>
      </c>
      <c r="N52" s="154">
        <f>$B$34</f>
        <v>72.610768385721457</v>
      </c>
      <c r="O52" s="109" t="s">
        <v>80</v>
      </c>
      <c r="P52" s="155">
        <f>$B$27</f>
        <v>373.043768</v>
      </c>
      <c r="Q52" s="186"/>
      <c r="R52" s="113"/>
      <c r="S52" s="113"/>
      <c r="T52" s="113"/>
      <c r="U52" s="113"/>
      <c r="V52" s="113"/>
      <c r="W52" s="113"/>
      <c r="X52" s="113">
        <v>156.85112719999998</v>
      </c>
      <c r="Y52" s="206"/>
      <c r="Z52" s="113"/>
      <c r="AA52" s="113"/>
      <c r="AB52" s="113"/>
    </row>
    <row r="53" spans="2:28" ht="58.5" thickBot="1" x14ac:dyDescent="0.4">
      <c r="C53" s="126">
        <v>45108</v>
      </c>
      <c r="D53" s="80" t="str">
        <v>PM</v>
      </c>
      <c r="E53" s="80" t="str">
        <v>July</v>
      </c>
      <c r="F53" s="80" t="str">
        <v>SAT</v>
      </c>
      <c r="G53" s="81">
        <v>221.20686000000001</v>
      </c>
      <c r="H53" s="102" t="str">
        <v>SINGLE</v>
      </c>
      <c r="I53" s="162" t="s">
        <v>168</v>
      </c>
      <c r="J53" s="161" t="s">
        <v>163</v>
      </c>
      <c r="K53" s="158" t="s">
        <v>126</v>
      </c>
      <c r="L53" s="159" t="s">
        <v>68</v>
      </c>
      <c r="M53" s="159" t="s">
        <v>164</v>
      </c>
      <c r="N53" s="159" t="s">
        <v>165</v>
      </c>
      <c r="O53" s="157" t="s">
        <v>166</v>
      </c>
      <c r="P53" s="160" t="s">
        <v>167</v>
      </c>
      <c r="Q53" s="187"/>
      <c r="R53" s="113"/>
      <c r="S53" s="113"/>
      <c r="T53" s="113"/>
      <c r="U53" s="113"/>
      <c r="V53" s="113"/>
      <c r="W53" s="113"/>
      <c r="X53" s="113">
        <v>192.89073399999998</v>
      </c>
      <c r="Y53" s="206"/>
      <c r="Z53" s="113"/>
      <c r="AA53" s="113"/>
      <c r="AB53" s="113"/>
    </row>
    <row r="54" spans="2:28" ht="29" x14ac:dyDescent="0.35">
      <c r="C54" s="126">
        <v>45109</v>
      </c>
      <c r="D54" s="80" t="str">
        <v>PM</v>
      </c>
      <c r="E54" s="80" t="str">
        <v>July</v>
      </c>
      <c r="F54" s="80" t="str">
        <v>SUN</v>
      </c>
      <c r="G54" s="81">
        <v>184.44623999999999</v>
      </c>
      <c r="H54" s="102" t="str">
        <v>SINGLE</v>
      </c>
      <c r="I54" s="319" t="s">
        <v>173</v>
      </c>
      <c r="J54" s="193" t="str" cm="1">
        <f t="array" ref="J54">_xlfn.TEXTJOIN(", ", TRUE, IFERROR(_xlfn._xlws.FILTER(Table3[Holiday Name], (TIPS!K54 &gt;= Table3[start2]) * (TIPS!K54&lt;= Table3[end2])), "."))</f>
        <v>Father's Day, Juneteenth</v>
      </c>
      <c r="K54" s="115" cm="1">
        <f t="array" ref="K54:P146">_xlfn._xlws.FILTER(_xlfn.CHOOSECOLS(_xlfn._xlws.FILTER(RAW[],(RAW[Shift Count]&lt;&gt;0)*(_xlfn.SWITCH($B$6,
"Month of Year",(RAW[MONTH]=$B$7),
"Day of Week",(RAW[DOW]=$B$7),
"Entire Year",(RAW[Shift Count]=1))*(_xlfn.SWITCH($B$9,
"AM",(RAW[AM/PM]=$B$9),
"PM",(RAW[AM/PM]=$B$9),
"DOUBLE",(RAW[SINGLE/DODBLUBLE]="DOUBLE"),
"ALL",(RAW[MINUTES]&gt;0))))),1,2,3,4,17,21),(_xlfn.CHOOSECOLS(_xlfn.CHOOSECOLS(_xlfn._xlws.FILTER(RAW[],(RAW[Shift Count]&lt;&gt;0)*(_xlfn.SWITCH($B$6,
"Month of Year",(RAW[MONTH]=$B$7),
"Day of Week",(RAW[DOW]=$B$7),
"Entire Year",(RAW[Shift Count]=1))*(_xlfn.SWITCH($B$9,
"AM",(RAW[AM/PM]=$B$9),
"PM",(RAW[AM/PM]=$B$9),
"DOUBLE",(RAW[SINGLE/DODBLUBLE]="DOUBLE"),
"ALL",(RAW[MINUTES]&gt;0))))),1,2,3,4,17,21),5)&lt;$J$52)+(_xlfn.CHOOSECOLS(_xlfn.CHOOSECOLS(_xlfn._xlws.FILTER(RAW[],(RAW[Shift Count]&lt;&gt;0)*(_xlfn.SWITCH($B$6,
"Month of Year",(RAW[MONTH]=$B$7),
"Day of Week",(RAW[DOW]=$B$7),
"Entire Year",(RAW[Shift Count]=1))*(_xlfn.SWITCH($B$9,
"AM",(RAW[AM/PM]=$B$9),
"PM",(RAW[AM/PM]=$B$9),
"DOUBLE",(RAW[SINGLE/DODBLUBLE]="DOUBLE"),
"ALL",(RAW[MINUTES]&gt;0))))),1,2,3,4,17,21),5)&gt;L52))</f>
        <v>45094</v>
      </c>
      <c r="L54" s="92" t="str">
        <v>PM</v>
      </c>
      <c r="M54" s="92" t="str">
        <v>June</v>
      </c>
      <c r="N54" s="92" t="str">
        <v>SAT</v>
      </c>
      <c r="O54" s="93">
        <v>294.42299999999994</v>
      </c>
      <c r="P54" s="156" t="str">
        <v>SINGLE</v>
      </c>
      <c r="Q54" s="188"/>
      <c r="R54" s="210"/>
      <c r="S54" s="113"/>
      <c r="T54" s="113"/>
      <c r="U54" s="113"/>
      <c r="V54" s="113"/>
      <c r="W54" s="113"/>
      <c r="X54" s="113">
        <v>228.93034079999998</v>
      </c>
      <c r="Y54" s="206"/>
      <c r="Z54" s="113"/>
      <c r="AA54" s="113"/>
      <c r="AB54" s="113"/>
    </row>
    <row r="55" spans="2:28" ht="29" x14ac:dyDescent="0.35">
      <c r="C55" s="126">
        <v>45112</v>
      </c>
      <c r="D55" s="80" t="str">
        <v>PM</v>
      </c>
      <c r="E55" s="80" t="str">
        <v>July</v>
      </c>
      <c r="F55" s="80" t="str">
        <v>WED</v>
      </c>
      <c r="G55" s="81">
        <v>203.96432799999999</v>
      </c>
      <c r="H55" s="102" t="str">
        <v>SINGLE</v>
      </c>
      <c r="I55" s="320"/>
      <c r="J55" s="193" t="str" cm="1">
        <f t="array" ref="J55">_xlfn.TEXTJOIN(", ", TRUE, IFERROR(_xlfn._xlws.FILTER(Table3[Holiday Name], (TIPS!K55 &gt;= Table3[start2]) * (TIPS!K55&lt;= Table3[end2])), "."))</f>
        <v>Father's Day, Juneteenth</v>
      </c>
      <c r="K55" s="57">
        <v>45097</v>
      </c>
      <c r="L55" s="80" t="str">
        <v>PM</v>
      </c>
      <c r="M55" s="80" t="str">
        <v>June</v>
      </c>
      <c r="N55" s="80" t="str">
        <v>TUE</v>
      </c>
      <c r="O55" s="81">
        <v>80.306155999999987</v>
      </c>
      <c r="P55" s="102" t="str">
        <v>SINGLE</v>
      </c>
      <c r="Q55" s="189"/>
      <c r="R55" s="210"/>
      <c r="S55" s="113"/>
      <c r="T55" s="113"/>
      <c r="U55" s="113"/>
      <c r="V55" s="113"/>
      <c r="W55" s="113"/>
      <c r="X55" s="113">
        <v>264.96994759999995</v>
      </c>
      <c r="Y55" s="206"/>
      <c r="Z55" s="113"/>
      <c r="AA55" s="113"/>
      <c r="AB55" s="113"/>
    </row>
    <row r="56" spans="2:28" x14ac:dyDescent="0.35">
      <c r="C56" s="126">
        <v>45113</v>
      </c>
      <c r="D56" s="80" t="str">
        <v>PM</v>
      </c>
      <c r="E56" s="80" t="str">
        <v>July</v>
      </c>
      <c r="F56" s="80" t="str">
        <v>THU</v>
      </c>
      <c r="G56" s="81">
        <v>191.58984399999997</v>
      </c>
      <c r="H56" s="102" t="str">
        <v>SINGLE</v>
      </c>
      <c r="I56" s="320"/>
      <c r="J56" s="193" t="str" cm="1">
        <f t="array" ref="J56">_xlfn.TEXTJOIN(", ", TRUE, IFERROR(_xlfn._xlws.FILTER(Table3[Holiday Name], (TIPS!K56 &gt;= Table3[start2]) * (TIPS!K56&lt;= Table3[end2])), "."))</f>
        <v>.</v>
      </c>
      <c r="K56" s="57">
        <v>45128</v>
      </c>
      <c r="L56" s="80" t="str">
        <v>PM</v>
      </c>
      <c r="M56" s="80" t="str">
        <v>July</v>
      </c>
      <c r="N56" s="80" t="str">
        <v>FRI</v>
      </c>
      <c r="O56" s="81">
        <v>241.94436000000002</v>
      </c>
      <c r="P56" s="102" t="str">
        <v>SINGLE</v>
      </c>
      <c r="Q56" s="189"/>
      <c r="R56" s="210"/>
      <c r="S56" s="113"/>
      <c r="T56" s="113"/>
      <c r="U56" s="113"/>
      <c r="V56" s="113"/>
      <c r="W56" s="113"/>
      <c r="X56" s="113">
        <v>301.00955439999996</v>
      </c>
      <c r="Y56" s="206"/>
      <c r="Z56" s="113"/>
      <c r="AA56" s="113"/>
      <c r="AB56" s="113"/>
    </row>
    <row r="57" spans="2:28" x14ac:dyDescent="0.35">
      <c r="C57" s="126">
        <v>45114</v>
      </c>
      <c r="D57" s="80" t="str">
        <v>PM</v>
      </c>
      <c r="E57" s="80" t="str">
        <v>July</v>
      </c>
      <c r="F57" s="80" t="str">
        <v>FRI</v>
      </c>
      <c r="G57" s="81">
        <v>167.95578399999999</v>
      </c>
      <c r="H57" s="102" t="str">
        <v>SINGLE</v>
      </c>
      <c r="I57" s="320"/>
      <c r="J57" s="193" t="str" cm="1">
        <f t="array" ref="J57">_xlfn.TEXTJOIN(", ", TRUE, IFERROR(_xlfn._xlws.FILTER(Table3[Holiday Name], (TIPS!K57 &gt;= Table3[start2]) * (TIPS!K57&lt;= Table3[end2])), "."))</f>
        <v>.</v>
      </c>
      <c r="K57" s="57">
        <v>45129</v>
      </c>
      <c r="L57" s="80" t="str">
        <v>PM</v>
      </c>
      <c r="M57" s="80" t="str">
        <v>July</v>
      </c>
      <c r="N57" s="80" t="str">
        <v>SAT</v>
      </c>
      <c r="O57" s="81">
        <v>333.681308</v>
      </c>
      <c r="P57" s="102" t="str">
        <v>SINGLE</v>
      </c>
      <c r="Q57" s="189"/>
      <c r="R57" s="210"/>
      <c r="S57" s="113"/>
      <c r="T57" s="113"/>
      <c r="U57" s="113"/>
      <c r="V57" s="113"/>
      <c r="W57" s="113"/>
      <c r="X57" s="113">
        <v>337.04916119999996</v>
      </c>
      <c r="Y57" s="206"/>
      <c r="Z57" s="113"/>
      <c r="AA57" s="113"/>
      <c r="AB57" s="113"/>
    </row>
    <row r="58" spans="2:28" x14ac:dyDescent="0.35">
      <c r="C58" s="126">
        <v>45115</v>
      </c>
      <c r="D58" s="80" t="str">
        <v>PM</v>
      </c>
      <c r="E58" s="80" t="str">
        <v>July</v>
      </c>
      <c r="F58" s="80" t="str">
        <v>SAT</v>
      </c>
      <c r="G58" s="81">
        <v>238.67122000000001</v>
      </c>
      <c r="H58" s="102" t="str">
        <v>SINGLE</v>
      </c>
      <c r="I58" s="320"/>
      <c r="J58" s="193" t="str" cm="1">
        <f t="array" ref="J58">_xlfn.TEXTJOIN(", ", TRUE, IFERROR(_xlfn._xlws.FILTER(Table3[Holiday Name], (TIPS!K58 &gt;= Table3[start2]) * (TIPS!K58&lt;= Table3[end2])), "."))</f>
        <v>.</v>
      </c>
      <c r="K58" s="57">
        <v>45140</v>
      </c>
      <c r="L58" s="80" t="str">
        <v>PM</v>
      </c>
      <c r="M58" s="80" t="str">
        <v>August</v>
      </c>
      <c r="N58" s="80" t="str">
        <v>WED</v>
      </c>
      <c r="O58" s="81">
        <v>94.560599999999994</v>
      </c>
      <c r="P58" s="102" t="str">
        <v>DOUBLE</v>
      </c>
      <c r="Q58" s="189"/>
      <c r="R58" s="210"/>
      <c r="S58" s="113"/>
      <c r="T58" s="113"/>
      <c r="U58" s="113"/>
      <c r="V58" s="113"/>
      <c r="W58" s="113"/>
      <c r="X58" s="113">
        <v>373.08876799999996</v>
      </c>
      <c r="Y58" s="206"/>
      <c r="Z58" s="113"/>
      <c r="AA58" s="113"/>
      <c r="AB58" s="113"/>
    </row>
    <row r="59" spans="2:28" x14ac:dyDescent="0.35">
      <c r="C59" s="126">
        <v>45117</v>
      </c>
      <c r="D59" s="80" t="str">
        <v>PM</v>
      </c>
      <c r="E59" s="80" t="str">
        <v>July</v>
      </c>
      <c r="F59" s="80" t="str">
        <v>MON</v>
      </c>
      <c r="G59" s="81">
        <v>190.56170799999998</v>
      </c>
      <c r="H59" s="102" t="str">
        <v>SINGLE</v>
      </c>
      <c r="I59" s="320"/>
      <c r="J59" s="193" t="str" cm="1">
        <f t="array" ref="J59">_xlfn.TEXTJOIN(", ", TRUE, IFERROR(_xlfn._xlws.FILTER(Table3[Holiday Name], (TIPS!K59 &gt;= Table3[start2]) * (TIPS!K59&lt;= Table3[end2])), "."))</f>
        <v>.</v>
      </c>
      <c r="K59" s="57">
        <v>45143</v>
      </c>
      <c r="L59" s="80" t="str">
        <v>PM</v>
      </c>
      <c r="M59" s="80" t="str">
        <v>August</v>
      </c>
      <c r="N59" s="80" t="str">
        <v>SAT</v>
      </c>
      <c r="O59" s="81">
        <v>266.82144400000004</v>
      </c>
      <c r="P59" s="102" t="str">
        <v>SINGLE</v>
      </c>
      <c r="Q59" s="189"/>
      <c r="R59" s="210"/>
      <c r="S59" s="113"/>
      <c r="T59" s="113"/>
      <c r="U59" s="113"/>
      <c r="V59" s="113"/>
      <c r="W59" s="113"/>
      <c r="X59" s="113"/>
      <c r="Y59" s="206"/>
      <c r="Z59" s="113"/>
      <c r="AA59" s="113"/>
      <c r="AB59" s="113"/>
    </row>
    <row r="60" spans="2:28" x14ac:dyDescent="0.35">
      <c r="C60" s="126">
        <v>45118</v>
      </c>
      <c r="D60" s="80" t="str">
        <v>PM</v>
      </c>
      <c r="E60" s="80" t="str">
        <v>July</v>
      </c>
      <c r="F60" s="80" t="str">
        <v>TUE</v>
      </c>
      <c r="G60" s="81">
        <v>175.82314799999997</v>
      </c>
      <c r="H60" s="102" t="str">
        <v>SINGLE</v>
      </c>
      <c r="I60" s="320"/>
      <c r="J60" s="193" t="str" cm="1">
        <f t="array" ref="J60">_xlfn.TEXTJOIN(", ", TRUE, IFERROR(_xlfn._xlws.FILTER(Table3[Holiday Name], (TIPS!K60 &gt;= Table3[start2]) * (TIPS!K60&lt;= Table3[end2])), "."))</f>
        <v>.</v>
      </c>
      <c r="K60" s="57">
        <v>45145</v>
      </c>
      <c r="L60" s="80" t="str">
        <v>AM</v>
      </c>
      <c r="M60" s="80" t="str">
        <v>August</v>
      </c>
      <c r="N60" s="80" t="str">
        <v>MON</v>
      </c>
      <c r="O60" s="81">
        <v>85.479011999999997</v>
      </c>
      <c r="P60" s="102" t="str">
        <v>DOUBLE</v>
      </c>
      <c r="Q60" s="189"/>
      <c r="R60" s="210"/>
      <c r="S60" s="113"/>
      <c r="T60" s="113"/>
      <c r="U60" s="113"/>
      <c r="V60" s="113"/>
      <c r="W60" s="113"/>
      <c r="X60" s="113"/>
      <c r="Y60" s="206"/>
      <c r="Z60" s="113"/>
      <c r="AA60" s="113"/>
      <c r="AB60" s="113"/>
    </row>
    <row r="61" spans="2:28" x14ac:dyDescent="0.35">
      <c r="C61" s="126">
        <v>45119</v>
      </c>
      <c r="D61" s="82" t="str">
        <v>PM</v>
      </c>
      <c r="E61" s="80" t="str">
        <v>July</v>
      </c>
      <c r="F61" s="80" t="str">
        <v>WED</v>
      </c>
      <c r="G61" s="81">
        <v>147.38756000000001</v>
      </c>
      <c r="H61" s="102" t="str">
        <v>SINGLE</v>
      </c>
      <c r="I61" s="320"/>
      <c r="J61" s="193" t="str" cm="1">
        <f t="array" ref="J61">_xlfn.TEXTJOIN(", ", TRUE, IFERROR(_xlfn._xlws.FILTER(Table3[Holiday Name], (TIPS!K61 &gt;= Table3[start2]) * (TIPS!K61&lt;= Table3[end2])), "."))</f>
        <v>.</v>
      </c>
      <c r="K61" s="57">
        <v>45150</v>
      </c>
      <c r="L61" s="80" t="str">
        <v>PM</v>
      </c>
      <c r="M61" s="80" t="str">
        <v>August</v>
      </c>
      <c r="N61" s="80" t="str">
        <v>SAT</v>
      </c>
      <c r="O61" s="81">
        <v>308.20174799999995</v>
      </c>
      <c r="P61" s="102" t="str">
        <v>SINGLE</v>
      </c>
      <c r="Q61" s="189"/>
      <c r="R61" s="210"/>
      <c r="S61" s="113"/>
      <c r="T61" s="113"/>
      <c r="U61" s="113"/>
      <c r="V61" s="113"/>
      <c r="W61" s="113"/>
      <c r="X61" s="113"/>
      <c r="Y61" s="206"/>
      <c r="Z61" s="113"/>
      <c r="AA61" s="113"/>
      <c r="AB61" s="113"/>
    </row>
    <row r="62" spans="2:28" x14ac:dyDescent="0.35">
      <c r="C62" s="126">
        <v>45121</v>
      </c>
      <c r="D62" s="80" t="str">
        <v>PM</v>
      </c>
      <c r="E62" s="80" t="str">
        <v>July</v>
      </c>
      <c r="F62" s="80" t="str">
        <v>FRI</v>
      </c>
      <c r="G62" s="81">
        <v>203.24042800000001</v>
      </c>
      <c r="H62" s="102" t="str">
        <v>SINGLE</v>
      </c>
      <c r="I62" s="320"/>
      <c r="J62" s="193" t="str" cm="1">
        <f t="array" ref="J62">_xlfn.TEXTJOIN(", ", TRUE, IFERROR(_xlfn._xlws.FILTER(Table3[Holiday Name], (TIPS!K62 &gt;= Table3[start2]) * (TIPS!K62&lt;= Table3[end2])), "."))</f>
        <v>.</v>
      </c>
      <c r="K62" s="57">
        <v>45153</v>
      </c>
      <c r="L62" s="80" t="str">
        <v>AM</v>
      </c>
      <c r="M62" s="80" t="str">
        <v>August</v>
      </c>
      <c r="N62" s="80" t="str">
        <v>TUE</v>
      </c>
      <c r="O62" s="81">
        <v>52.001628000000004</v>
      </c>
      <c r="P62" s="102" t="str">
        <v>DOUBLE</v>
      </c>
      <c r="Q62" s="189"/>
      <c r="R62" s="210"/>
      <c r="S62" s="113"/>
      <c r="T62" s="113"/>
      <c r="U62" s="113"/>
      <c r="V62" s="113"/>
      <c r="W62" s="113"/>
      <c r="X62" s="113"/>
      <c r="Y62" s="113"/>
      <c r="Z62" s="113"/>
      <c r="AA62" s="113"/>
      <c r="AB62" s="113"/>
    </row>
    <row r="63" spans="2:28" x14ac:dyDescent="0.35">
      <c r="C63" s="126">
        <v>45122</v>
      </c>
      <c r="D63" s="80" t="str">
        <v>PM</v>
      </c>
      <c r="E63" s="80" t="str">
        <v>July</v>
      </c>
      <c r="F63" s="80" t="str">
        <v>SAT</v>
      </c>
      <c r="G63" s="81">
        <v>116.77434399999999</v>
      </c>
      <c r="H63" s="102" t="str">
        <v>SINGLE</v>
      </c>
      <c r="I63" s="320"/>
      <c r="J63" s="193" t="str" cm="1">
        <f t="array" ref="J63">_xlfn.TEXTJOIN(", ", TRUE, IFERROR(_xlfn._xlws.FILTER(Table3[Holiday Name], (TIPS!K63 &gt;= Table3[start2]) * (TIPS!K63&lt;= Table3[end2])), "."))</f>
        <v>.</v>
      </c>
      <c r="K63" s="57">
        <v>45154</v>
      </c>
      <c r="L63" s="80" t="str">
        <v>PM</v>
      </c>
      <c r="M63" s="80" t="str">
        <v>August</v>
      </c>
      <c r="N63" s="80" t="str">
        <v>WED</v>
      </c>
      <c r="O63" s="81">
        <v>292.53746799999999</v>
      </c>
      <c r="P63" s="102" t="str">
        <v>DOUBLE</v>
      </c>
      <c r="Q63" s="189"/>
      <c r="R63" s="210"/>
      <c r="S63" s="113"/>
      <c r="T63" s="113"/>
      <c r="U63" s="113"/>
      <c r="V63" s="113"/>
      <c r="W63" s="113"/>
      <c r="X63" s="113"/>
      <c r="Y63" s="113"/>
      <c r="Z63" s="113"/>
      <c r="AA63" s="113"/>
      <c r="AB63" s="113"/>
    </row>
    <row r="64" spans="2:28" x14ac:dyDescent="0.35">
      <c r="C64" s="126">
        <v>45125</v>
      </c>
      <c r="D64" s="80" t="str">
        <v>PM</v>
      </c>
      <c r="E64" s="80" t="str">
        <v>July</v>
      </c>
      <c r="F64" s="80" t="str">
        <v>TUE</v>
      </c>
      <c r="G64" s="81">
        <v>124.95961999999999</v>
      </c>
      <c r="H64" s="102" t="str">
        <v>SINGLE</v>
      </c>
      <c r="I64" s="320"/>
      <c r="J64" s="193" t="str" cm="1">
        <f t="array" ref="J64">_xlfn.TEXTJOIN(", ", TRUE, IFERROR(_xlfn._xlws.FILTER(Table3[Holiday Name], (TIPS!K64 &gt;= Table3[start2]) * (TIPS!K64&lt;= Table3[end2])), "."))</f>
        <v>.</v>
      </c>
      <c r="K64" s="57">
        <v>45157</v>
      </c>
      <c r="L64" s="80" t="str">
        <v>PM</v>
      </c>
      <c r="M64" s="80" t="str">
        <v>August</v>
      </c>
      <c r="N64" s="80" t="str">
        <v>SAT</v>
      </c>
      <c r="O64" s="81">
        <v>316.70870400000001</v>
      </c>
      <c r="P64" s="102" t="str">
        <v>SINGLE</v>
      </c>
      <c r="Q64" s="189"/>
      <c r="R64" s="210"/>
      <c r="S64" s="113"/>
      <c r="T64" s="113"/>
      <c r="U64" s="113"/>
      <c r="V64" s="113"/>
      <c r="W64" s="113"/>
      <c r="X64" s="113"/>
      <c r="Y64" s="113"/>
      <c r="Z64" s="113"/>
      <c r="AA64" s="113"/>
      <c r="AB64" s="113"/>
    </row>
    <row r="65" spans="3:28" x14ac:dyDescent="0.35">
      <c r="C65" s="126">
        <v>45126</v>
      </c>
      <c r="D65" s="80" t="str">
        <v>PM</v>
      </c>
      <c r="E65" s="80" t="str">
        <v>July</v>
      </c>
      <c r="F65" s="80" t="str">
        <v>WED</v>
      </c>
      <c r="G65" s="81">
        <v>165.92441199999999</v>
      </c>
      <c r="H65" s="102" t="str">
        <v>SINGLE</v>
      </c>
      <c r="I65" s="320"/>
      <c r="J65" s="193" t="str" cm="1">
        <f t="array" ref="J65">_xlfn.TEXTJOIN(", ", TRUE, IFERROR(_xlfn._xlws.FILTER(Table3[Holiday Name], (TIPS!K65 &gt;= Table3[start2]) * (TIPS!K65&lt;= Table3[end2])), "."))</f>
        <v>.</v>
      </c>
      <c r="K65" s="57">
        <v>45160</v>
      </c>
      <c r="L65" s="80" t="str">
        <v>PM</v>
      </c>
      <c r="M65" s="80" t="str">
        <v>August</v>
      </c>
      <c r="N65" s="80" t="str">
        <v>TUE</v>
      </c>
      <c r="O65" s="81">
        <v>65.265259999999998</v>
      </c>
      <c r="P65" s="102" t="str">
        <v>DOUBLE</v>
      </c>
      <c r="Q65" s="189"/>
      <c r="R65" s="210"/>
      <c r="S65" s="113"/>
      <c r="T65" s="113"/>
      <c r="U65" s="113"/>
      <c r="V65" s="113"/>
      <c r="W65" s="113"/>
      <c r="X65" s="113"/>
      <c r="Y65" s="113"/>
      <c r="Z65" s="113"/>
      <c r="AA65" s="113"/>
      <c r="AB65" s="113"/>
    </row>
    <row r="66" spans="3:28" x14ac:dyDescent="0.35">
      <c r="C66" s="126">
        <v>45128</v>
      </c>
      <c r="D66" s="80" t="str">
        <v>PM</v>
      </c>
      <c r="E66" s="80" t="str">
        <v>July</v>
      </c>
      <c r="F66" s="80" t="str">
        <v>FRI</v>
      </c>
      <c r="G66" s="81">
        <v>241.94436000000002</v>
      </c>
      <c r="H66" s="102" t="str">
        <v>SINGLE</v>
      </c>
      <c r="I66" s="320"/>
      <c r="J66" s="193" t="str" cm="1">
        <f t="array" ref="J66">_xlfn.TEXTJOIN(", ", TRUE, IFERROR(_xlfn._xlws.FILTER(Table3[Holiday Name], (TIPS!K66 &gt;= Table3[start2]) * (TIPS!K66&lt;= Table3[end2])), "."))</f>
        <v>.</v>
      </c>
      <c r="K66" s="57">
        <v>45161</v>
      </c>
      <c r="L66" s="80" t="str">
        <v>AM</v>
      </c>
      <c r="M66" s="80" t="str">
        <v>August</v>
      </c>
      <c r="N66" s="80" t="str">
        <v>WED</v>
      </c>
      <c r="O66" s="81">
        <v>82.299660000000003</v>
      </c>
      <c r="P66" s="102" t="str">
        <v>DOUBLE</v>
      </c>
      <c r="Q66" s="189"/>
      <c r="R66" s="210"/>
      <c r="S66" s="113"/>
      <c r="T66" s="113"/>
      <c r="U66" s="113"/>
      <c r="V66" s="113"/>
      <c r="W66" s="113"/>
      <c r="X66" s="113"/>
      <c r="Y66" s="113"/>
      <c r="Z66" s="113"/>
      <c r="AA66" s="113"/>
      <c r="AB66" s="113"/>
    </row>
    <row r="67" spans="3:28" x14ac:dyDescent="0.35">
      <c r="C67" s="126">
        <v>45129</v>
      </c>
      <c r="D67" s="80" t="str">
        <v>PM</v>
      </c>
      <c r="E67" s="80" t="str">
        <v>July</v>
      </c>
      <c r="F67" s="80" t="str">
        <v>SAT</v>
      </c>
      <c r="G67" s="81">
        <v>333.681308</v>
      </c>
      <c r="H67" s="102" t="str">
        <v>SINGLE</v>
      </c>
      <c r="I67" s="320"/>
      <c r="J67" s="193" t="str" cm="1">
        <f t="array" ref="J67">_xlfn.TEXTJOIN(", ", TRUE, IFERROR(_xlfn._xlws.FILTER(Table3[Holiday Name], (TIPS!K67 &gt;= Table3[start2]) * (TIPS!K67&lt;= Table3[end2])), "."))</f>
        <v>.</v>
      </c>
      <c r="K67" s="57">
        <v>45164</v>
      </c>
      <c r="L67" s="80" t="str">
        <v>AM</v>
      </c>
      <c r="M67" s="80" t="str">
        <v>August</v>
      </c>
      <c r="N67" s="80" t="str">
        <v>SAT</v>
      </c>
      <c r="O67" s="81">
        <v>90.991011999999998</v>
      </c>
      <c r="P67" s="102" t="str">
        <v>DOUBLE</v>
      </c>
      <c r="Q67" s="189"/>
      <c r="R67" s="210"/>
      <c r="S67" s="113"/>
      <c r="T67" s="113"/>
      <c r="U67" s="113"/>
      <c r="V67" s="113"/>
      <c r="W67" s="113"/>
      <c r="X67" s="113"/>
      <c r="Y67" s="113"/>
      <c r="Z67" s="113"/>
      <c r="AA67" s="113"/>
      <c r="AB67" s="113"/>
    </row>
    <row r="68" spans="3:28" x14ac:dyDescent="0.35">
      <c r="C68" s="126">
        <v>45131</v>
      </c>
      <c r="D68" s="80" t="str">
        <v>PM</v>
      </c>
      <c r="E68" s="80" t="str">
        <v>July</v>
      </c>
      <c r="F68" s="80" t="str">
        <v>MON</v>
      </c>
      <c r="G68" s="81">
        <v>170.00901999999999</v>
      </c>
      <c r="H68" s="102" t="str">
        <v>SINGLE</v>
      </c>
      <c r="I68" s="320"/>
      <c r="J68" s="193" t="str" cm="1">
        <f t="array" ref="J68">_xlfn.TEXTJOIN(", ", TRUE, IFERROR(_xlfn._xlws.FILTER(Table3[Holiday Name], (TIPS!K68 &gt;= Table3[start2]) * (TIPS!K68&lt;= Table3[end2])), "."))</f>
        <v>.</v>
      </c>
      <c r="K68" s="57">
        <v>45166</v>
      </c>
      <c r="L68" s="80" t="str">
        <v>AM</v>
      </c>
      <c r="M68" s="80" t="str">
        <v>August</v>
      </c>
      <c r="N68" s="80" t="str">
        <v>MON</v>
      </c>
      <c r="O68" s="81">
        <v>52.754260000000002</v>
      </c>
      <c r="P68" s="102" t="str">
        <v>DOUBLE</v>
      </c>
      <c r="Q68" s="189"/>
      <c r="R68" s="210"/>
      <c r="S68" s="113"/>
      <c r="T68" s="113"/>
      <c r="U68" s="113"/>
      <c r="V68" s="113"/>
      <c r="W68" s="113"/>
      <c r="X68" s="113"/>
      <c r="Y68" s="113"/>
      <c r="Z68" s="113"/>
      <c r="AA68" s="113"/>
      <c r="AB68" s="113"/>
    </row>
    <row r="69" spans="3:28" x14ac:dyDescent="0.35">
      <c r="C69" s="126">
        <v>45132</v>
      </c>
      <c r="D69" s="80" t="str">
        <v>PM</v>
      </c>
      <c r="E69" s="80" t="str">
        <v>July</v>
      </c>
      <c r="F69" s="80" t="str">
        <v>TUE</v>
      </c>
      <c r="G69" s="81">
        <v>151.1086</v>
      </c>
      <c r="H69" s="102" t="str">
        <v>SINGLE</v>
      </c>
      <c r="I69" s="320"/>
      <c r="J69" s="193" t="str" cm="1">
        <f t="array" ref="J69">_xlfn.TEXTJOIN(", ", TRUE, IFERROR(_xlfn._xlws.FILTER(Table3[Holiday Name], (TIPS!K69 &gt;= Table3[start2]) * (TIPS!K69&lt;= Table3[end2])), "."))</f>
        <v>.</v>
      </c>
      <c r="K69" s="57">
        <v>45166</v>
      </c>
      <c r="L69" s="80" t="str">
        <v>PM</v>
      </c>
      <c r="M69" s="80" t="str">
        <v>August</v>
      </c>
      <c r="N69" s="80" t="str">
        <v>MON</v>
      </c>
      <c r="O69" s="81">
        <v>25.844839999999998</v>
      </c>
      <c r="P69" s="102" t="str">
        <v>DOUBLE</v>
      </c>
      <c r="Q69" s="189"/>
      <c r="R69" s="210"/>
      <c r="S69" s="113"/>
      <c r="T69" s="113"/>
      <c r="U69" s="113"/>
      <c r="V69" s="113"/>
      <c r="W69" s="113" t="s">
        <v>184</v>
      </c>
      <c r="X69" s="113" cm="1">
        <f t="array" ref="X69:X78">BinMidTIPS</f>
        <v>30.715003399999997</v>
      </c>
      <c r="Y69" s="113"/>
      <c r="Z69" s="113"/>
      <c r="AA69" s="113"/>
      <c r="AB69" s="113"/>
    </row>
    <row r="70" spans="3:28" x14ac:dyDescent="0.35">
      <c r="C70" s="126">
        <v>45133</v>
      </c>
      <c r="D70" s="80" t="str">
        <v>PM</v>
      </c>
      <c r="E70" s="80" t="str">
        <v>July</v>
      </c>
      <c r="F70" s="80" t="str">
        <v>WED</v>
      </c>
      <c r="G70" s="81">
        <v>185.11517599999999</v>
      </c>
      <c r="H70" s="102" t="str">
        <v>SINGLE</v>
      </c>
      <c r="I70" s="320"/>
      <c r="J70" s="193" t="str" cm="1">
        <f t="array" ref="J70">_xlfn.TEXTJOIN(", ", TRUE, IFERROR(_xlfn._xlws.FILTER(Table3[Holiday Name], (TIPS!K70 &gt;= Table3[start2]) * (TIPS!K70&lt;= Table3[end2])), "."))</f>
        <v>Labor Day</v>
      </c>
      <c r="K70" s="57">
        <v>45171</v>
      </c>
      <c r="L70" s="80" t="str">
        <v>PM</v>
      </c>
      <c r="M70" s="80" t="str">
        <v>September</v>
      </c>
      <c r="N70" s="80" t="str">
        <v>SAT</v>
      </c>
      <c r="O70" s="81">
        <v>318.34183999999999</v>
      </c>
      <c r="P70" s="102" t="str">
        <v>SINGLE</v>
      </c>
      <c r="Q70" s="189"/>
      <c r="R70" s="210"/>
      <c r="S70" s="113"/>
      <c r="T70" s="113"/>
      <c r="U70" s="113"/>
      <c r="V70" s="113"/>
      <c r="W70" s="113"/>
      <c r="X70" s="113">
        <v>66.75211019999999</v>
      </c>
      <c r="Y70" s="113"/>
      <c r="Z70" s="113"/>
      <c r="AA70" s="113"/>
      <c r="AB70" s="113"/>
    </row>
    <row r="71" spans="3:28" x14ac:dyDescent="0.35">
      <c r="C71" s="126">
        <v>45135</v>
      </c>
      <c r="D71" s="80" t="str">
        <v>PM</v>
      </c>
      <c r="E71" s="80" t="str">
        <v>July</v>
      </c>
      <c r="F71" s="80" t="str">
        <v>FRI</v>
      </c>
      <c r="G71" s="81">
        <v>238.50191599999999</v>
      </c>
      <c r="H71" s="102" t="str">
        <v>SINGLE</v>
      </c>
      <c r="I71" s="320"/>
      <c r="J71" s="193" t="str" cm="1">
        <f t="array" ref="J71">_xlfn.TEXTJOIN(", ", TRUE, IFERROR(_xlfn._xlws.FILTER(Table3[Holiday Name], (TIPS!K71 &gt;= Table3[start2]) * (TIPS!K71&lt;= Table3[end2])), "."))</f>
        <v>Labor Day</v>
      </c>
      <c r="K71" s="57">
        <v>45175</v>
      </c>
      <c r="L71" s="80" t="str">
        <v>AM</v>
      </c>
      <c r="M71" s="80" t="str">
        <v>September</v>
      </c>
      <c r="N71" s="80" t="str">
        <v>WED</v>
      </c>
      <c r="O71" s="81">
        <v>42.626280000000001</v>
      </c>
      <c r="P71" s="102" t="str">
        <v>SINGLE</v>
      </c>
      <c r="Q71" s="189"/>
      <c r="R71" s="210"/>
      <c r="S71" s="113"/>
      <c r="T71" s="113"/>
      <c r="U71" s="113"/>
      <c r="V71" s="113"/>
      <c r="W71" s="113"/>
      <c r="X71" s="113">
        <v>102.78921699999998</v>
      </c>
      <c r="Y71" s="113"/>
      <c r="Z71" s="113"/>
      <c r="AA71" s="113"/>
      <c r="AB71" s="113"/>
    </row>
    <row r="72" spans="3:28" x14ac:dyDescent="0.35">
      <c r="C72" s="126">
        <v>45136</v>
      </c>
      <c r="D72" s="80" t="str">
        <v>PM</v>
      </c>
      <c r="E72" s="80" t="str">
        <v>July</v>
      </c>
      <c r="F72" s="80" t="str">
        <v>SAT</v>
      </c>
      <c r="G72" s="81">
        <v>172.51180399999998</v>
      </c>
      <c r="H72" s="102" t="str">
        <v>SINGLE</v>
      </c>
      <c r="I72" s="320"/>
      <c r="J72" s="193" t="str" cm="1">
        <f t="array" ref="J72">_xlfn.TEXTJOIN(", ", TRUE, IFERROR(_xlfn._xlws.FILTER(Table3[Holiday Name], (TIPS!K72 &gt;= Table3[start2]) * (TIPS!K72&lt;= Table3[end2])), "."))</f>
        <v>.</v>
      </c>
      <c r="K72" s="57">
        <v>45180</v>
      </c>
      <c r="L72" s="80" t="str">
        <v>AM</v>
      </c>
      <c r="M72" s="80" t="str">
        <v>September</v>
      </c>
      <c r="N72" s="80" t="str">
        <v>MON</v>
      </c>
      <c r="O72" s="81">
        <v>68.743099999999998</v>
      </c>
      <c r="P72" s="102" t="str">
        <v>DOUBLE</v>
      </c>
      <c r="Q72" s="189"/>
      <c r="R72" s="210"/>
      <c r="S72" s="113"/>
      <c r="T72" s="113"/>
      <c r="U72" s="113"/>
      <c r="V72" s="113"/>
      <c r="W72" s="113"/>
      <c r="X72" s="113">
        <v>138.82632379999998</v>
      </c>
      <c r="Y72" s="113"/>
      <c r="Z72" s="113"/>
      <c r="AA72" s="113"/>
      <c r="AB72" s="113"/>
    </row>
    <row r="73" spans="3:28" x14ac:dyDescent="0.35">
      <c r="C73" s="126">
        <v>45137</v>
      </c>
      <c r="D73" s="80" t="str">
        <v>AM</v>
      </c>
      <c r="E73" s="80" t="str">
        <v>July</v>
      </c>
      <c r="F73" s="80" t="str">
        <v>SUN</v>
      </c>
      <c r="G73" s="81">
        <v>129.63104000000001</v>
      </c>
      <c r="H73" s="102" t="str">
        <v>SINGLE</v>
      </c>
      <c r="I73" s="320"/>
      <c r="J73" s="193" t="str" cm="1">
        <f t="array" ref="J73">_xlfn.TEXTJOIN(", ", TRUE, IFERROR(_xlfn._xlws.FILTER(Table3[Holiday Name], (TIPS!K73 &gt;= Table3[start2]) * (TIPS!K73&lt;= Table3[end2])), "."))</f>
        <v>.</v>
      </c>
      <c r="K73" s="57">
        <v>45180</v>
      </c>
      <c r="L73" s="80" t="str">
        <v>PM</v>
      </c>
      <c r="M73" s="80" t="str">
        <v>September</v>
      </c>
      <c r="N73" s="80" t="str">
        <v>MON</v>
      </c>
      <c r="O73" s="81">
        <v>76.038240000000002</v>
      </c>
      <c r="P73" s="102" t="str">
        <v>DOUBLE</v>
      </c>
      <c r="Q73" s="189"/>
      <c r="R73" s="210"/>
      <c r="S73" s="113"/>
      <c r="T73" s="113"/>
      <c r="U73" s="113"/>
      <c r="V73" s="113"/>
      <c r="W73" s="113"/>
      <c r="X73" s="113">
        <v>174.86343059999999</v>
      </c>
      <c r="Y73" s="113"/>
      <c r="Z73" s="113"/>
      <c r="AA73" s="113"/>
      <c r="AB73" s="113"/>
    </row>
    <row r="74" spans="3:28" x14ac:dyDescent="0.35">
      <c r="C74" s="126">
        <v>45138</v>
      </c>
      <c r="D74" s="80" t="str">
        <v>PM</v>
      </c>
      <c r="E74" s="80" t="str">
        <v>July</v>
      </c>
      <c r="F74" s="80" t="str">
        <v>MON</v>
      </c>
      <c r="G74" s="81">
        <v>206.59433999999999</v>
      </c>
      <c r="H74" s="102" t="str">
        <v>SINGLE</v>
      </c>
      <c r="I74" s="320"/>
      <c r="J74" s="193" t="str" cm="1">
        <f t="array" ref="J74">_xlfn.TEXTJOIN(", ", TRUE, IFERROR(_xlfn._xlws.FILTER(Table3[Holiday Name], (TIPS!K74 &gt;= Table3[start2]) * (TIPS!K74&lt;= Table3[end2])), "."))</f>
        <v>.</v>
      </c>
      <c r="K74" s="57">
        <v>45187</v>
      </c>
      <c r="L74" s="80" t="str">
        <v>AM</v>
      </c>
      <c r="M74" s="80" t="str">
        <v>September</v>
      </c>
      <c r="N74" s="80" t="str">
        <v>MON</v>
      </c>
      <c r="O74" s="81">
        <v>58.22184</v>
      </c>
      <c r="P74" s="102" t="str">
        <v>DOUBLE</v>
      </c>
      <c r="Q74" s="189"/>
      <c r="R74" s="210"/>
      <c r="S74" s="113"/>
      <c r="T74" s="113"/>
      <c r="U74" s="113"/>
      <c r="V74" s="113"/>
      <c r="W74" s="113"/>
      <c r="X74" s="113">
        <v>210.90053739999999</v>
      </c>
      <c r="Y74" s="113"/>
      <c r="Z74" s="113"/>
      <c r="AA74" s="113"/>
      <c r="AB74" s="113"/>
    </row>
    <row r="75" spans="3:28" x14ac:dyDescent="0.35">
      <c r="C75" s="126">
        <v>45139</v>
      </c>
      <c r="D75" s="80" t="str">
        <v>PM</v>
      </c>
      <c r="E75" s="80" t="str">
        <v>August</v>
      </c>
      <c r="F75" s="80" t="str">
        <v>TUE</v>
      </c>
      <c r="G75" s="81">
        <v>138.13836000000001</v>
      </c>
      <c r="H75" s="102" t="str">
        <v>SINGLE</v>
      </c>
      <c r="I75" s="320"/>
      <c r="J75" s="193" t="str" cm="1">
        <f t="array" ref="J75">_xlfn.TEXTJOIN(", ", TRUE, IFERROR(_xlfn._xlws.FILTER(Table3[Holiday Name], (TIPS!K75 &gt;= Table3[start2]) * (TIPS!K75&lt;= Table3[end2])), "."))</f>
        <v>.</v>
      </c>
      <c r="K75" s="57">
        <v>45187</v>
      </c>
      <c r="L75" s="80" t="str">
        <v>PM</v>
      </c>
      <c r="M75" s="80" t="str">
        <v>September</v>
      </c>
      <c r="N75" s="80" t="str">
        <v>MON</v>
      </c>
      <c r="O75" s="81">
        <v>85.087944000000007</v>
      </c>
      <c r="P75" s="102" t="str">
        <v>DOUBLE</v>
      </c>
      <c r="Q75" s="189"/>
      <c r="R75" s="210"/>
      <c r="S75" s="113"/>
      <c r="T75" s="113"/>
      <c r="U75" s="113"/>
      <c r="V75" s="113"/>
      <c r="W75" s="113"/>
      <c r="X75" s="113">
        <v>246.93764419999997</v>
      </c>
      <c r="Y75" s="113"/>
      <c r="Z75" s="113"/>
      <c r="AA75" s="113"/>
      <c r="AB75" s="113"/>
    </row>
    <row r="76" spans="3:28" x14ac:dyDescent="0.35">
      <c r="C76" s="126">
        <v>45140</v>
      </c>
      <c r="D76" s="80" t="str">
        <v>AM</v>
      </c>
      <c r="E76" s="80" t="str">
        <v>August</v>
      </c>
      <c r="F76" s="80" t="str">
        <v>WED</v>
      </c>
      <c r="G76" s="81">
        <v>114.396716</v>
      </c>
      <c r="H76" s="102" t="str">
        <v>DOUBLE</v>
      </c>
      <c r="I76" s="320"/>
      <c r="J76" s="193" t="str" cm="1">
        <f t="array" ref="J76">_xlfn.TEXTJOIN(", ", TRUE, IFERROR(_xlfn._xlws.FILTER(Table3[Holiday Name], (TIPS!K76 &gt;= Table3[start2]) * (TIPS!K76&lt;= Table3[end2])), "."))</f>
        <v>.</v>
      </c>
      <c r="K76" s="57">
        <v>45203</v>
      </c>
      <c r="L76" s="80" t="str">
        <v>AM</v>
      </c>
      <c r="M76" s="80" t="str">
        <v>October</v>
      </c>
      <c r="N76" s="80" t="str">
        <v>WED</v>
      </c>
      <c r="O76" s="81">
        <v>48.305231999999997</v>
      </c>
      <c r="P76" s="102" t="str">
        <v>SINGLE</v>
      </c>
      <c r="Q76" s="189"/>
      <c r="R76" s="210"/>
      <c r="S76" s="113"/>
      <c r="T76" s="113"/>
      <c r="U76" s="113"/>
      <c r="V76" s="113"/>
      <c r="W76" s="113"/>
      <c r="X76" s="113">
        <v>282.97475099999997</v>
      </c>
      <c r="Y76" s="113"/>
      <c r="Z76" s="113"/>
      <c r="AA76" s="113"/>
      <c r="AB76" s="113"/>
    </row>
    <row r="77" spans="3:28" x14ac:dyDescent="0.35">
      <c r="C77" s="126">
        <v>45140</v>
      </c>
      <c r="D77" s="80" t="str">
        <v>PM</v>
      </c>
      <c r="E77" s="80" t="str">
        <v>August</v>
      </c>
      <c r="F77" s="80" t="str">
        <v>WED</v>
      </c>
      <c r="G77" s="81">
        <v>94.560599999999994</v>
      </c>
      <c r="H77" s="102" t="str">
        <v>DOUBLE</v>
      </c>
      <c r="I77" s="320"/>
      <c r="J77" s="193" t="str" cm="1">
        <f t="array" ref="J77">_xlfn.TEXTJOIN(", ", TRUE, IFERROR(_xlfn._xlws.FILTER(Table3[Holiday Name], (TIPS!K77 &gt;= Table3[start2]) * (TIPS!K77&lt;= Table3[end2])), "."))</f>
        <v>Columbus Day</v>
      </c>
      <c r="K77" s="57">
        <v>45207</v>
      </c>
      <c r="L77" s="80" t="str">
        <v>PM</v>
      </c>
      <c r="M77" s="80" t="str">
        <v>October</v>
      </c>
      <c r="N77" s="80" t="str">
        <v>SUN</v>
      </c>
      <c r="O77" s="81">
        <v>249.44045599999998</v>
      </c>
      <c r="P77" s="102" t="str">
        <v>SINGLE</v>
      </c>
      <c r="Q77" s="189"/>
      <c r="R77" s="210"/>
      <c r="S77" s="113"/>
      <c r="T77" s="113"/>
      <c r="U77" s="113"/>
      <c r="V77" s="113"/>
      <c r="W77" s="113"/>
      <c r="X77" s="113">
        <v>319.01185779999997</v>
      </c>
      <c r="Y77" s="113"/>
      <c r="Z77" s="113"/>
      <c r="AA77" s="113"/>
      <c r="AB77" s="113"/>
    </row>
    <row r="78" spans="3:28" x14ac:dyDescent="0.35">
      <c r="C78" s="126">
        <v>45142</v>
      </c>
      <c r="D78" s="80" t="str">
        <v>AM</v>
      </c>
      <c r="E78" s="80" t="str">
        <v>August</v>
      </c>
      <c r="F78" s="80" t="str">
        <v>FRI</v>
      </c>
      <c r="G78" s="81">
        <v>162.478084</v>
      </c>
      <c r="H78" s="102" t="str">
        <v>DOUBLE</v>
      </c>
      <c r="I78" s="320"/>
      <c r="J78" s="193" t="str" cm="1">
        <f t="array" ref="J78">_xlfn.TEXTJOIN(", ", TRUE, IFERROR(_xlfn._xlws.FILTER(Table3[Holiday Name], (TIPS!K78 &gt;= Table3[start2]) * (TIPS!K78&lt;= Table3[end2])), "."))</f>
        <v>Columbus Day</v>
      </c>
      <c r="K78" s="57">
        <v>45210</v>
      </c>
      <c r="L78" s="80" t="str">
        <v>PM</v>
      </c>
      <c r="M78" s="80" t="str">
        <v>October</v>
      </c>
      <c r="N78" s="80" t="str">
        <v>WED</v>
      </c>
      <c r="O78" s="81">
        <v>31.566172000000002</v>
      </c>
      <c r="P78" s="102" t="str">
        <v>SINGLE</v>
      </c>
      <c r="Q78" s="189"/>
      <c r="R78" s="210"/>
      <c r="S78" s="113"/>
      <c r="T78" s="113"/>
      <c r="U78" s="113"/>
      <c r="V78" s="113"/>
      <c r="W78" s="113"/>
      <c r="X78" s="113">
        <v>355.04896459999998</v>
      </c>
      <c r="Y78" s="113"/>
      <c r="Z78" s="113"/>
      <c r="AA78" s="113"/>
      <c r="AB78" s="113"/>
    </row>
    <row r="79" spans="3:28" x14ac:dyDescent="0.35">
      <c r="C79" s="126">
        <v>45142</v>
      </c>
      <c r="D79" s="80" t="str">
        <v>PM</v>
      </c>
      <c r="E79" s="80" t="str">
        <v>August</v>
      </c>
      <c r="F79" s="80" t="str">
        <v>FRI</v>
      </c>
      <c r="G79" s="81">
        <v>180.67177999999998</v>
      </c>
      <c r="H79" s="102" t="str">
        <v>DOUBLE</v>
      </c>
      <c r="I79" s="320"/>
      <c r="J79" s="193" t="str" cm="1">
        <f t="array" ref="J79">_xlfn.TEXTJOIN(", ", TRUE, IFERROR(_xlfn._xlws.FILTER(Table3[Holiday Name], (TIPS!K79 &gt;= Table3[start2]) * (TIPS!K79&lt;= Table3[end2])), "."))</f>
        <v>Columbus Day</v>
      </c>
      <c r="K79" s="57">
        <v>45211</v>
      </c>
      <c r="L79" s="80" t="str">
        <v>PM</v>
      </c>
      <c r="M79" s="80" t="str">
        <v>October</v>
      </c>
      <c r="N79" s="80" t="str">
        <v>THU</v>
      </c>
      <c r="O79" s="81">
        <v>50.00262</v>
      </c>
      <c r="P79" s="102" t="str">
        <v>SINGLE</v>
      </c>
      <c r="Q79" s="189"/>
      <c r="R79" s="113"/>
      <c r="S79" s="113"/>
      <c r="T79" s="113"/>
      <c r="U79" s="113"/>
      <c r="V79" s="113"/>
      <c r="W79" s="113"/>
      <c r="X79" s="113"/>
      <c r="Y79" s="113"/>
      <c r="Z79" s="113"/>
      <c r="AA79" s="113"/>
      <c r="AB79" s="113"/>
    </row>
    <row r="80" spans="3:28" x14ac:dyDescent="0.35">
      <c r="C80" s="126">
        <v>45143</v>
      </c>
      <c r="D80" s="80" t="str">
        <v>PM</v>
      </c>
      <c r="E80" s="80" t="str">
        <v>August</v>
      </c>
      <c r="F80" s="80" t="str">
        <v>SAT</v>
      </c>
      <c r="G80" s="81">
        <v>266.82144400000004</v>
      </c>
      <c r="H80" s="102" t="str">
        <v>SINGLE</v>
      </c>
      <c r="I80" s="320"/>
      <c r="J80" s="193" t="str" cm="1">
        <f t="array" ref="J80">_xlfn.TEXTJOIN(", ", TRUE, IFERROR(_xlfn._xlws.FILTER(Table3[Holiday Name], (TIPS!K80 &gt;= Table3[start2]) * (TIPS!K80&lt;= Table3[end2])), "."))</f>
        <v>.</v>
      </c>
      <c r="K80" s="57">
        <v>45215</v>
      </c>
      <c r="L80" s="80" t="str">
        <v>PM</v>
      </c>
      <c r="M80" s="80" t="str">
        <v>October</v>
      </c>
      <c r="N80" s="80" t="str">
        <v>MON</v>
      </c>
      <c r="O80" s="81">
        <v>242.09894400000002</v>
      </c>
      <c r="P80" s="102" t="str">
        <v>SINGLE</v>
      </c>
      <c r="Q80" s="189"/>
      <c r="R80" s="113"/>
      <c r="S80" s="113"/>
      <c r="T80" s="113"/>
      <c r="U80" s="113"/>
      <c r="V80" s="113"/>
      <c r="W80" s="113"/>
      <c r="X80" s="113"/>
      <c r="Y80" s="113"/>
      <c r="Z80" s="113"/>
      <c r="AA80" s="113"/>
      <c r="AB80" s="113"/>
    </row>
    <row r="81" spans="3:28" x14ac:dyDescent="0.35">
      <c r="C81" s="126">
        <v>45145</v>
      </c>
      <c r="D81" s="80" t="str">
        <v>AM</v>
      </c>
      <c r="E81" s="80" t="str">
        <v>August</v>
      </c>
      <c r="F81" s="80" t="str">
        <v>MON</v>
      </c>
      <c r="G81" s="81">
        <v>85.479011999999997</v>
      </c>
      <c r="H81" s="102" t="str">
        <v>DOUBLE</v>
      </c>
      <c r="I81" s="320"/>
      <c r="J81" s="193" t="str" cm="1">
        <f t="array" ref="J81">_xlfn.TEXTJOIN(", ", TRUE, IFERROR(_xlfn._xlws.FILTER(Table3[Holiday Name], (TIPS!K81 &gt;= Table3[start2]) * (TIPS!K81&lt;= Table3[end2])), "."))</f>
        <v>.</v>
      </c>
      <c r="K81" s="57">
        <v>45216</v>
      </c>
      <c r="L81" s="80" t="str">
        <v>PM</v>
      </c>
      <c r="M81" s="80" t="str">
        <v>October</v>
      </c>
      <c r="N81" s="80" t="str">
        <v>TUE</v>
      </c>
      <c r="O81" s="81">
        <v>39.669471999999999</v>
      </c>
      <c r="P81" s="102" t="str">
        <v>DOUBLE</v>
      </c>
      <c r="Q81" s="189"/>
      <c r="R81" s="113"/>
      <c r="S81" s="113"/>
      <c r="T81" s="113"/>
      <c r="U81" s="113"/>
      <c r="V81" s="113"/>
      <c r="W81" s="113"/>
      <c r="X81" s="113"/>
      <c r="Y81" s="113"/>
      <c r="Z81" s="113"/>
      <c r="AA81" s="113"/>
      <c r="AB81" s="113"/>
    </row>
    <row r="82" spans="3:28" x14ac:dyDescent="0.35">
      <c r="C82" s="126">
        <v>45145</v>
      </c>
      <c r="D82" s="80" t="str">
        <v>PM</v>
      </c>
      <c r="E82" s="80" t="str">
        <v>August</v>
      </c>
      <c r="F82" s="80" t="str">
        <v>MON</v>
      </c>
      <c r="G82" s="81">
        <v>201.50010799999998</v>
      </c>
      <c r="H82" s="102" t="str">
        <v>DOUBLE</v>
      </c>
      <c r="I82" s="320"/>
      <c r="J82" s="193" t="str" cm="1">
        <f t="array" ref="J82">_xlfn.TEXTJOIN(", ", TRUE, IFERROR(_xlfn._xlws.FILTER(Table3[Holiday Name], (TIPS!K82 &gt;= Table3[start2]) * (TIPS!K82&lt;= Table3[end2])), "."))</f>
        <v>.</v>
      </c>
      <c r="K82" s="57">
        <v>45223</v>
      </c>
      <c r="L82" s="80" t="str">
        <v>PM</v>
      </c>
      <c r="M82" s="80" t="str">
        <v>October</v>
      </c>
      <c r="N82" s="80" t="str">
        <v>TUE</v>
      </c>
      <c r="O82" s="81">
        <v>90.058800000000005</v>
      </c>
      <c r="P82" s="102" t="str">
        <v>DOUBLE</v>
      </c>
      <c r="Q82" s="189"/>
      <c r="R82" s="113"/>
      <c r="S82" s="113"/>
      <c r="T82" s="113"/>
      <c r="U82" s="113"/>
      <c r="V82" s="113"/>
      <c r="W82" s="113"/>
      <c r="X82" s="113"/>
      <c r="Y82" s="113"/>
      <c r="Z82" s="113"/>
      <c r="AA82" s="113"/>
      <c r="AB82" s="113"/>
    </row>
    <row r="83" spans="3:28" x14ac:dyDescent="0.35">
      <c r="C83" s="126">
        <v>45146</v>
      </c>
      <c r="D83" s="80" t="str">
        <v>AM</v>
      </c>
      <c r="E83" s="80" t="str">
        <v>August</v>
      </c>
      <c r="F83" s="80" t="str">
        <v>TUE</v>
      </c>
      <c r="G83" s="81">
        <v>125.16169600000001</v>
      </c>
      <c r="H83" s="102" t="str">
        <v>SINGLE</v>
      </c>
      <c r="I83" s="320"/>
      <c r="J83" s="193" t="str" cm="1">
        <f t="array" ref="J83">_xlfn.TEXTJOIN(", ", TRUE, IFERROR(_xlfn._xlws.FILTER(Table3[Holiday Name], (TIPS!K83 &gt;= Table3[start2]) * (TIPS!K83&lt;= Table3[end2])), "."))</f>
        <v>.</v>
      </c>
      <c r="K83" s="57">
        <v>45224</v>
      </c>
      <c r="L83" s="80" t="str">
        <v>AM</v>
      </c>
      <c r="M83" s="80" t="str">
        <v>October</v>
      </c>
      <c r="N83" s="80" t="str">
        <v>WED</v>
      </c>
      <c r="O83" s="81">
        <v>60.758799999999994</v>
      </c>
      <c r="P83" s="102" t="str">
        <v>SINGLE</v>
      </c>
      <c r="Q83" s="189"/>
      <c r="R83" s="113"/>
      <c r="S83" s="113"/>
      <c r="T83" s="113"/>
      <c r="U83" s="113"/>
      <c r="V83" s="113"/>
      <c r="W83" s="113"/>
      <c r="X83" s="113"/>
      <c r="Y83" s="113"/>
      <c r="Z83" s="113"/>
      <c r="AA83" s="113"/>
      <c r="AB83" s="113"/>
    </row>
    <row r="84" spans="3:28" x14ac:dyDescent="0.35">
      <c r="C84" s="126">
        <v>45147</v>
      </c>
      <c r="D84" s="80" t="str">
        <v>PM</v>
      </c>
      <c r="E84" s="80" t="str">
        <v>August</v>
      </c>
      <c r="F84" s="80" t="str">
        <v>WED</v>
      </c>
      <c r="G84" s="81">
        <v>132.90529599999999</v>
      </c>
      <c r="H84" s="102" t="str">
        <v>SINGLE</v>
      </c>
      <c r="I84" s="320"/>
      <c r="J84" s="193" t="str" cm="1">
        <f t="array" ref="J84">_xlfn.TEXTJOIN(", ", TRUE, IFERROR(_xlfn._xlws.FILTER(Table3[Holiday Name], (TIPS!K84 &gt;= Table3[start2]) * (TIPS!K84&lt;= Table3[end2])), "."))</f>
        <v>Halloween</v>
      </c>
      <c r="K84" s="57">
        <v>45230</v>
      </c>
      <c r="L84" s="80" t="str">
        <v>AM</v>
      </c>
      <c r="M84" s="80" t="str">
        <v>October</v>
      </c>
      <c r="N84" s="80" t="str">
        <v>TUE</v>
      </c>
      <c r="O84" s="81">
        <v>71.073899999999995</v>
      </c>
      <c r="P84" s="102" t="str">
        <v>DOUBLE</v>
      </c>
      <c r="Q84" s="189"/>
      <c r="R84" s="113"/>
      <c r="S84" s="113"/>
      <c r="T84" s="113"/>
      <c r="U84" s="113"/>
      <c r="V84" s="113"/>
      <c r="W84" s="113"/>
      <c r="X84" s="113"/>
      <c r="Y84" s="113"/>
      <c r="Z84" s="113"/>
      <c r="AA84" s="113"/>
      <c r="AB84" s="113"/>
    </row>
    <row r="85" spans="3:28" x14ac:dyDescent="0.35">
      <c r="C85" s="126">
        <v>45149</v>
      </c>
      <c r="D85" s="80" t="str">
        <v>PM</v>
      </c>
      <c r="E85" s="80" t="str">
        <v>August</v>
      </c>
      <c r="F85" s="80" t="str">
        <v>FRI</v>
      </c>
      <c r="G85" s="81">
        <v>185.53326000000001</v>
      </c>
      <c r="H85" s="102" t="str">
        <v>SINGLE</v>
      </c>
      <c r="I85" s="320"/>
      <c r="J85" s="193" t="str" cm="1">
        <f t="array" ref="J85">_xlfn.TEXTJOIN(", ", TRUE, IFERROR(_xlfn._xlws.FILTER(Table3[Holiday Name], (TIPS!K85 &gt;= Table3[start2]) * (TIPS!K85&lt;= Table3[end2])), "."))</f>
        <v>Halloween</v>
      </c>
      <c r="K85" s="57">
        <v>45230</v>
      </c>
      <c r="L85" s="80" t="str">
        <v>PM</v>
      </c>
      <c r="M85" s="80" t="str">
        <v>October</v>
      </c>
      <c r="N85" s="80" t="str">
        <v>TUE</v>
      </c>
      <c r="O85" s="81">
        <v>94.832580000000007</v>
      </c>
      <c r="P85" s="102" t="str">
        <v>DOUBLE</v>
      </c>
      <c r="Q85" s="189"/>
      <c r="R85" s="113"/>
      <c r="S85" s="113"/>
      <c r="T85" s="113"/>
      <c r="U85" s="113"/>
      <c r="V85" s="113"/>
      <c r="W85" s="113"/>
      <c r="X85" s="113"/>
      <c r="Y85" s="113"/>
      <c r="Z85" s="113"/>
      <c r="AA85" s="113"/>
      <c r="AB85" s="113"/>
    </row>
    <row r="86" spans="3:28" x14ac:dyDescent="0.35">
      <c r="C86" s="126">
        <v>45150</v>
      </c>
      <c r="D86" s="80" t="str">
        <v>PM</v>
      </c>
      <c r="E86" s="80" t="str">
        <v>August</v>
      </c>
      <c r="F86" s="80" t="str">
        <v>SAT</v>
      </c>
      <c r="G86" s="81">
        <v>308.20174799999995</v>
      </c>
      <c r="H86" s="102" t="str">
        <v>SINGLE</v>
      </c>
      <c r="I86" s="320"/>
      <c r="J86" s="193" t="str" cm="1">
        <f t="array" ref="J86">_xlfn.TEXTJOIN(", ", TRUE, IFERROR(_xlfn._xlws.FILTER(Table3[Holiday Name], (TIPS!K86 &gt;= Table3[start2]) * (TIPS!K86&lt;= Table3[end2])), "."))</f>
        <v>Halloween</v>
      </c>
      <c r="K86" s="57">
        <v>45233</v>
      </c>
      <c r="L86" s="80" t="str">
        <v>PM</v>
      </c>
      <c r="M86" s="80" t="str">
        <v>November</v>
      </c>
      <c r="N86" s="80" t="str">
        <v>FRI</v>
      </c>
      <c r="O86" s="81">
        <v>333.18904399999997</v>
      </c>
      <c r="P86" s="102" t="str">
        <v>SINGLE</v>
      </c>
      <c r="Q86" s="189"/>
      <c r="R86" s="113"/>
      <c r="S86" s="113"/>
      <c r="T86" s="113"/>
      <c r="U86" s="206"/>
      <c r="V86" s="113"/>
      <c r="W86" s="113"/>
      <c r="X86" s="113"/>
      <c r="Y86" s="113"/>
      <c r="Z86" s="113"/>
      <c r="AA86" s="113"/>
      <c r="AB86" s="113"/>
    </row>
    <row r="87" spans="3:28" x14ac:dyDescent="0.35">
      <c r="C87" s="126">
        <v>45152</v>
      </c>
      <c r="D87" s="80" t="str">
        <v>AM</v>
      </c>
      <c r="E87" s="80" t="str">
        <v>August</v>
      </c>
      <c r="F87" s="80" t="str">
        <v>MON</v>
      </c>
      <c r="G87" s="81">
        <v>121.035892</v>
      </c>
      <c r="H87" s="102" t="str">
        <v>SINGLE</v>
      </c>
      <c r="I87" s="320"/>
      <c r="J87" s="193" t="str" cm="1">
        <f t="array" ref="J87">_xlfn.TEXTJOIN(", ", TRUE, IFERROR(_xlfn._xlws.FILTER(Table3[Holiday Name], (TIPS!K87 &gt;= Table3[start2]) * (TIPS!K87&lt;= Table3[end2])), "."))</f>
        <v>Thanksgiving Day</v>
      </c>
      <c r="K87" s="57">
        <v>45250</v>
      </c>
      <c r="L87" s="80" t="str">
        <v>PM</v>
      </c>
      <c r="M87" s="80" t="str">
        <v>November</v>
      </c>
      <c r="N87" s="80" t="str">
        <v>MON</v>
      </c>
      <c r="O87" s="81">
        <v>246.31573199999997</v>
      </c>
      <c r="P87" s="102" t="str">
        <v>SINGLE</v>
      </c>
      <c r="Q87" s="189"/>
      <c r="R87" s="113" t="s">
        <v>122</v>
      </c>
      <c r="S87" s="113" t="s">
        <v>123</v>
      </c>
      <c r="T87" s="113"/>
      <c r="U87" s="206"/>
      <c r="V87" s="113"/>
      <c r="W87" s="113"/>
      <c r="X87" s="113"/>
      <c r="Y87" s="113"/>
      <c r="Z87" s="113"/>
      <c r="AA87" s="113"/>
      <c r="AB87" s="113"/>
    </row>
    <row r="88" spans="3:28" ht="29" x14ac:dyDescent="0.35">
      <c r="C88" s="126">
        <v>45153</v>
      </c>
      <c r="D88" s="80" t="str">
        <v>AM</v>
      </c>
      <c r="E88" s="80" t="str">
        <v>August</v>
      </c>
      <c r="F88" s="80" t="str">
        <v>TUE</v>
      </c>
      <c r="G88" s="81">
        <v>52.001628000000004</v>
      </c>
      <c r="H88" s="102" t="str">
        <v>DOUBLE</v>
      </c>
      <c r="I88" s="320"/>
      <c r="J88" s="193" t="str" cm="1">
        <f t="array" ref="J88">_xlfn.TEXTJOIN(", ", TRUE, IFERROR(_xlfn._xlws.FILTER(Table3[Holiday Name], (TIPS!K88 &gt;= Table3[start2]) * (TIPS!K88&lt;= Table3[end2])), "."))</f>
        <v>Thanksgiving Day, Day after Thanksgiving Day</v>
      </c>
      <c r="K88" s="57">
        <v>45251</v>
      </c>
      <c r="L88" s="80" t="str">
        <v>AM</v>
      </c>
      <c r="M88" s="80" t="str">
        <v>November</v>
      </c>
      <c r="N88" s="80" t="str">
        <v>TUE</v>
      </c>
      <c r="O88" s="81">
        <v>69.237492000000003</v>
      </c>
      <c r="P88" s="102" t="str">
        <v>DOUBLE</v>
      </c>
      <c r="Q88" s="189"/>
      <c r="R88" s="206">
        <f>$B$18</f>
        <v>167.56209252920962</v>
      </c>
      <c r="S88" s="113">
        <v>1</v>
      </c>
      <c r="T88" s="113"/>
      <c r="U88" s="206"/>
      <c r="V88" s="113"/>
      <c r="W88" s="113"/>
      <c r="X88" s="113"/>
      <c r="Y88" s="113"/>
      <c r="Z88" s="113"/>
      <c r="AA88" s="113"/>
      <c r="AB88" s="113"/>
    </row>
    <row r="89" spans="3:28" ht="29" x14ac:dyDescent="0.35">
      <c r="C89" s="126">
        <v>45153</v>
      </c>
      <c r="D89" s="80" t="str">
        <v>PM</v>
      </c>
      <c r="E89" s="80" t="str">
        <v>August</v>
      </c>
      <c r="F89" s="80" t="str">
        <v>TUE</v>
      </c>
      <c r="G89" s="81">
        <v>100.28976399999999</v>
      </c>
      <c r="H89" s="102" t="str">
        <v>DOUBLE</v>
      </c>
      <c r="I89" s="320"/>
      <c r="J89" s="193" t="str" cm="1">
        <f t="array" ref="J89">_xlfn.TEXTJOIN(", ", TRUE, IFERROR(_xlfn._xlws.FILTER(Table3[Holiday Name], (TIPS!K89 &gt;= Table3[start2]) * (TIPS!K89&lt;= Table3[end2])), "."))</f>
        <v>Thanksgiving Day, Day after Thanksgiving Day</v>
      </c>
      <c r="K89" s="57">
        <v>45251</v>
      </c>
      <c r="L89" s="80" t="str">
        <v>PM</v>
      </c>
      <c r="M89" s="80" t="str">
        <v>November</v>
      </c>
      <c r="N89" s="80" t="str">
        <v>TUE</v>
      </c>
      <c r="O89" s="81">
        <v>241.88926000000001</v>
      </c>
      <c r="P89" s="102" t="str">
        <v>DOUBLE</v>
      </c>
      <c r="Q89" s="189"/>
      <c r="R89" s="206">
        <f>$B$18</f>
        <v>167.56209252920962</v>
      </c>
      <c r="S89" s="113">
        <f>MAX(FreqDIST,SalesNormDIST)</f>
        <v>57.322640808338718</v>
      </c>
      <c r="T89" s="206"/>
      <c r="U89" s="113"/>
      <c r="V89" s="113"/>
      <c r="W89" s="113"/>
      <c r="X89" s="113"/>
      <c r="Y89" s="113"/>
      <c r="Z89" s="113"/>
      <c r="AA89" s="113"/>
      <c r="AB89" s="113"/>
    </row>
    <row r="90" spans="3:28" ht="29.5" thickBot="1" x14ac:dyDescent="0.4">
      <c r="C90" s="126">
        <v>45154</v>
      </c>
      <c r="D90" s="80" t="str">
        <v>AM</v>
      </c>
      <c r="E90" s="80" t="str">
        <v>August</v>
      </c>
      <c r="F90" s="80" t="str">
        <v>WED</v>
      </c>
      <c r="G90" s="81">
        <v>133.81860800000001</v>
      </c>
      <c r="H90" s="102" t="str">
        <v>DOUBLE</v>
      </c>
      <c r="I90" s="321"/>
      <c r="J90" s="193" t="str" cm="1">
        <f t="array" ref="J90">_xlfn.TEXTJOIN(", ", TRUE, IFERROR(_xlfn._xlws.FILTER(Table3[Holiday Name], (TIPS!K90 &gt;= Table3[start2]) * (TIPS!K90&lt;= Table3[end2])), "."))</f>
        <v>Thanksgiving Day, Day after Thanksgiving Day</v>
      </c>
      <c r="K90" s="57">
        <v>45252</v>
      </c>
      <c r="L90" s="80" t="str">
        <v>AM</v>
      </c>
      <c r="M90" s="80" t="str">
        <v>November</v>
      </c>
      <c r="N90" s="80" t="str">
        <v>WED</v>
      </c>
      <c r="O90" s="81">
        <v>48.530916000000005</v>
      </c>
      <c r="P90" s="102" t="str">
        <v>SINGLE</v>
      </c>
      <c r="Q90" s="189"/>
      <c r="R90" s="113"/>
      <c r="S90" s="206"/>
      <c r="T90" s="113"/>
      <c r="U90" s="113"/>
      <c r="V90" s="113"/>
      <c r="W90" s="113"/>
      <c r="X90" s="113"/>
      <c r="Y90" s="113"/>
      <c r="Z90" s="113"/>
      <c r="AA90" s="113"/>
      <c r="AB90" s="113"/>
    </row>
    <row r="91" spans="3:28" ht="29" x14ac:dyDescent="0.35">
      <c r="C91" s="126">
        <v>45154</v>
      </c>
      <c r="D91" s="80" t="str">
        <v>PM</v>
      </c>
      <c r="E91" s="80" t="str">
        <v>August</v>
      </c>
      <c r="F91" s="80" t="str">
        <v>WED</v>
      </c>
      <c r="G91" s="81">
        <v>292.53746799999999</v>
      </c>
      <c r="H91" s="102" t="str">
        <v>DOUBLE</v>
      </c>
      <c r="I91" s="128"/>
      <c r="J91" s="193" t="str" cm="1">
        <f t="array" ref="J91">_xlfn.TEXTJOIN(", ", TRUE, IFERROR(_xlfn._xlws.FILTER(Table3[Holiday Name], (TIPS!K91 &gt;= Table3[start2]) * (TIPS!K91&lt;= Table3[end2])), "."))</f>
        <v>Day after Thanksgiving Day</v>
      </c>
      <c r="K91" s="57">
        <v>45257</v>
      </c>
      <c r="L91" s="80" t="str">
        <v>PM</v>
      </c>
      <c r="M91" s="80" t="str">
        <v>November</v>
      </c>
      <c r="N91" s="80" t="str">
        <v>MON</v>
      </c>
      <c r="O91" s="81">
        <v>92.886856000000009</v>
      </c>
      <c r="P91" s="102" t="str">
        <v>SINGLE</v>
      </c>
      <c r="Q91" s="189"/>
      <c r="R91" s="113">
        <f>MIN(BinMidDIST)</f>
        <v>30.715003399999997</v>
      </c>
      <c r="S91" s="113"/>
      <c r="T91" s="113"/>
      <c r="U91" s="113"/>
      <c r="V91" s="113"/>
      <c r="W91" s="113"/>
      <c r="X91" s="113"/>
      <c r="Y91" s="113"/>
      <c r="Z91" s="113"/>
      <c r="AA91" s="113"/>
      <c r="AB91" s="113"/>
    </row>
    <row r="92" spans="3:28" x14ac:dyDescent="0.35">
      <c r="C92" s="126">
        <v>45156</v>
      </c>
      <c r="D92" s="80" t="str">
        <v>PM</v>
      </c>
      <c r="E92" s="80" t="str">
        <v>August</v>
      </c>
      <c r="F92" s="80" t="str">
        <v>FRI</v>
      </c>
      <c r="G92" s="81">
        <v>179.999664</v>
      </c>
      <c r="H92" s="102" t="str">
        <v>SINGLE</v>
      </c>
      <c r="I92" s="95"/>
      <c r="J92" s="193" t="str" cm="1">
        <f t="array" ref="J92">_xlfn.TEXTJOIN(", ", TRUE, IFERROR(_xlfn._xlws.FILTER(Table3[Holiday Name], (TIPS!K92 &gt;= Table3[start2]) * (TIPS!K92&lt;= Table3[end2])), "."))</f>
        <v>.</v>
      </c>
      <c r="K92" s="57">
        <v>45258</v>
      </c>
      <c r="L92" s="80" t="str">
        <v>AM</v>
      </c>
      <c r="M92" s="80" t="str">
        <v>November</v>
      </c>
      <c r="N92" s="80" t="str">
        <v>TUE</v>
      </c>
      <c r="O92" s="81">
        <v>86.225679999999997</v>
      </c>
      <c r="P92" s="102" t="str">
        <v>SINGLE</v>
      </c>
      <c r="Q92" s="189"/>
      <c r="R92" s="113">
        <f>MAX(BinMidDIST)</f>
        <v>355.04896459999998</v>
      </c>
      <c r="S92" s="113"/>
      <c r="T92" s="113"/>
      <c r="U92" s="113"/>
      <c r="V92" s="113"/>
      <c r="W92" s="113"/>
      <c r="X92" s="113"/>
      <c r="Y92" s="113"/>
      <c r="Z92" s="113"/>
      <c r="AA92" s="113"/>
      <c r="AB92" s="113"/>
    </row>
    <row r="93" spans="3:28" x14ac:dyDescent="0.35">
      <c r="C93" s="126">
        <v>45157</v>
      </c>
      <c r="D93" s="80" t="str">
        <v>PM</v>
      </c>
      <c r="E93" s="80" t="str">
        <v>August</v>
      </c>
      <c r="F93" s="80" t="str">
        <v>SAT</v>
      </c>
      <c r="G93" s="81">
        <v>316.70870400000001</v>
      </c>
      <c r="H93" s="102" t="str">
        <v>SINGLE</v>
      </c>
      <c r="I93" s="95"/>
      <c r="J93" s="193" t="str" cm="1">
        <f t="array" ref="J93">_xlfn.TEXTJOIN(", ", TRUE, IFERROR(_xlfn._xlws.FILTER(Table3[Holiday Name], (TIPS!K93 &gt;= Table3[start2]) * (TIPS!K93&lt;= Table3[end2])), "."))</f>
        <v>.</v>
      </c>
      <c r="K93" s="57">
        <v>45260</v>
      </c>
      <c r="L93" s="80" t="str">
        <v>PM</v>
      </c>
      <c r="M93" s="80" t="str">
        <v>November</v>
      </c>
      <c r="N93" s="80" t="str">
        <v>THU</v>
      </c>
      <c r="O93" s="81">
        <v>83.191628000000009</v>
      </c>
      <c r="P93" s="102" t="str">
        <v>SINGLE</v>
      </c>
      <c r="Q93" s="189"/>
      <c r="R93" s="139"/>
    </row>
    <row r="94" spans="3:28" x14ac:dyDescent="0.35">
      <c r="C94" s="126">
        <v>45159</v>
      </c>
      <c r="D94" s="80" t="str">
        <v>AM</v>
      </c>
      <c r="E94" s="80" t="str">
        <v>August</v>
      </c>
      <c r="F94" s="80" t="str">
        <v>MON</v>
      </c>
      <c r="G94" s="81">
        <v>148.91608400000001</v>
      </c>
      <c r="H94" s="102" t="str">
        <v>SINGLE</v>
      </c>
      <c r="I94" s="95"/>
      <c r="J94" s="193" t="str" cm="1">
        <f t="array" ref="J94">_xlfn.TEXTJOIN(", ", TRUE, IFERROR(_xlfn._xlws.FILTER(Table3[Holiday Name], (TIPS!K94 &gt;= Table3[start2]) * (TIPS!K94&lt;= Table3[end2])), "."))</f>
        <v>.</v>
      </c>
      <c r="K94" s="57">
        <v>45264</v>
      </c>
      <c r="L94" s="80" t="str">
        <v>PM</v>
      </c>
      <c r="M94" s="80" t="str">
        <v>December</v>
      </c>
      <c r="N94" s="80" t="str">
        <v>MON</v>
      </c>
      <c r="O94" s="81">
        <v>85.968488000000008</v>
      </c>
      <c r="P94" s="102" t="str">
        <v>SINGLE</v>
      </c>
      <c r="Q94" s="189"/>
      <c r="R94" s="139"/>
    </row>
    <row r="95" spans="3:28" x14ac:dyDescent="0.35">
      <c r="C95" s="126">
        <v>45160</v>
      </c>
      <c r="D95" s="80" t="str">
        <v>AM</v>
      </c>
      <c r="E95" s="80" t="str">
        <v>August</v>
      </c>
      <c r="F95" s="80" t="str">
        <v>TUE</v>
      </c>
      <c r="G95" s="81">
        <v>169.04360800000001</v>
      </c>
      <c r="H95" s="102" t="str">
        <v>DOUBLE</v>
      </c>
      <c r="I95" s="95"/>
      <c r="J95" s="193" t="str" cm="1">
        <f t="array" ref="J95">_xlfn.TEXTJOIN(", ", TRUE, IFERROR(_xlfn._xlws.FILTER(Table3[Holiday Name], (TIPS!K95 &gt;= Table3[start2]) * (TIPS!K95&lt;= Table3[end2])), "."))</f>
        <v>.</v>
      </c>
      <c r="K95" s="57">
        <v>45268</v>
      </c>
      <c r="L95" s="80" t="str">
        <v>PM</v>
      </c>
      <c r="M95" s="80" t="str">
        <v>December</v>
      </c>
      <c r="N95" s="80" t="str">
        <v>FRI</v>
      </c>
      <c r="O95" s="81">
        <v>260.403952</v>
      </c>
      <c r="P95" s="102" t="str">
        <v>SINGLE</v>
      </c>
      <c r="Q95" s="189"/>
      <c r="R95" s="139"/>
    </row>
    <row r="96" spans="3:28" x14ac:dyDescent="0.35">
      <c r="C96" s="126">
        <v>45160</v>
      </c>
      <c r="D96" s="80" t="str">
        <v>PM</v>
      </c>
      <c r="E96" s="80" t="str">
        <v>August</v>
      </c>
      <c r="F96" s="80" t="str">
        <v>TUE</v>
      </c>
      <c r="G96" s="81">
        <v>65.265259999999998</v>
      </c>
      <c r="H96" s="102" t="str">
        <v>DOUBLE</v>
      </c>
      <c r="I96" s="95"/>
      <c r="J96" s="193" t="str" cm="1">
        <f t="array" ref="J96">_xlfn.TEXTJOIN(", ", TRUE, IFERROR(_xlfn._xlws.FILTER(Table3[Holiday Name], (TIPS!K96 &gt;= Table3[start2]) * (TIPS!K96&lt;= Table3[end2])), "."))</f>
        <v>.</v>
      </c>
      <c r="K96" s="57">
        <v>45269</v>
      </c>
      <c r="L96" s="80" t="str">
        <v>AM</v>
      </c>
      <c r="M96" s="80" t="str">
        <v>December</v>
      </c>
      <c r="N96" s="80" t="str">
        <v>SAT</v>
      </c>
      <c r="O96" s="81">
        <v>58.094623999999996</v>
      </c>
      <c r="P96" s="102" t="str">
        <v>DOUBLE</v>
      </c>
      <c r="Q96" s="189"/>
      <c r="R96" s="139"/>
    </row>
    <row r="97" spans="3:18" ht="29" x14ac:dyDescent="0.35">
      <c r="C97" s="126">
        <v>45161</v>
      </c>
      <c r="D97" s="80" t="str">
        <v>AM</v>
      </c>
      <c r="E97" s="80" t="str">
        <v>August</v>
      </c>
      <c r="F97" s="80" t="str">
        <v>WED</v>
      </c>
      <c r="G97" s="81">
        <v>82.299660000000003</v>
      </c>
      <c r="H97" s="102" t="str">
        <v>DOUBLE</v>
      </c>
      <c r="I97" s="95"/>
      <c r="J97" s="193" t="str" cm="1">
        <f t="array" ref="J97">_xlfn.TEXTJOIN(", ", TRUE, IFERROR(_xlfn._xlws.FILTER(Table3[Holiday Name], (TIPS!K97 &gt;= Table3[start2]) * (TIPS!K97&lt;= Table3[end2])), "."))</f>
        <v>Christmas Eve, Christmas Day</v>
      </c>
      <c r="K97" s="57">
        <v>45283</v>
      </c>
      <c r="L97" s="80" t="str">
        <v>PM</v>
      </c>
      <c r="M97" s="80" t="str">
        <v>December</v>
      </c>
      <c r="N97" s="80" t="str">
        <v>SAT</v>
      </c>
      <c r="O97" s="81">
        <v>259.20059599999996</v>
      </c>
      <c r="P97" s="102" t="str">
        <v>SINGLE</v>
      </c>
      <c r="Q97" s="189"/>
      <c r="R97" s="139"/>
    </row>
    <row r="98" spans="3:18" ht="29" x14ac:dyDescent="0.35">
      <c r="C98" s="126">
        <v>45161</v>
      </c>
      <c r="D98" s="80" t="str">
        <v>PM</v>
      </c>
      <c r="E98" s="80" t="str">
        <v>August</v>
      </c>
      <c r="F98" s="80" t="str">
        <v>WED</v>
      </c>
      <c r="G98" s="81">
        <v>151.97421999999997</v>
      </c>
      <c r="H98" s="102" t="str">
        <v>DOUBLE</v>
      </c>
      <c r="I98" s="95"/>
      <c r="J98" s="193" t="str" cm="1">
        <f t="array" ref="J98">_xlfn.TEXTJOIN(", ", TRUE, IFERROR(_xlfn._xlws.FILTER(Table3[Holiday Name], (TIPS!K98 &gt;= Table3[start2]) * (TIPS!K98&lt;= Table3[end2])), "."))</f>
        <v>Christmas Eve, Christmas Day</v>
      </c>
      <c r="K98" s="57">
        <v>45287</v>
      </c>
      <c r="L98" s="80" t="str">
        <v>PM</v>
      </c>
      <c r="M98" s="80" t="str">
        <v>December</v>
      </c>
      <c r="N98" s="80" t="str">
        <v>WED</v>
      </c>
      <c r="O98" s="81">
        <v>286.64925200000005</v>
      </c>
      <c r="P98" s="102" t="str">
        <v>DOUBLE</v>
      </c>
      <c r="Q98" s="189"/>
      <c r="R98" s="139"/>
    </row>
    <row r="99" spans="3:18" ht="29" x14ac:dyDescent="0.35">
      <c r="C99" s="126">
        <v>45163</v>
      </c>
      <c r="D99" s="80" t="str">
        <v>PM</v>
      </c>
      <c r="E99" s="80" t="str">
        <v>August</v>
      </c>
      <c r="F99" s="80" t="str">
        <v>FRI</v>
      </c>
      <c r="G99" s="81">
        <v>225.458944</v>
      </c>
      <c r="H99" s="102" t="str">
        <v>SINGLE</v>
      </c>
      <c r="I99" s="95"/>
      <c r="J99" s="193" t="str" cm="1">
        <f t="array" ref="J99">_xlfn.TEXTJOIN(", ", TRUE, IFERROR(_xlfn._xlws.FILTER(Table3[Holiday Name], (TIPS!K99 &gt;= Table3[start2]) * (TIPS!K99&lt;= Table3[end2])), "."))</f>
        <v>New Year's Eve, New Year's Day</v>
      </c>
      <c r="K99" s="57">
        <v>45292</v>
      </c>
      <c r="L99" s="80" t="str">
        <v>AM</v>
      </c>
      <c r="M99" s="80" t="str">
        <v>January</v>
      </c>
      <c r="N99" s="80" t="str">
        <v>MON</v>
      </c>
      <c r="O99" s="81">
        <v>59.834435999999997</v>
      </c>
      <c r="P99" s="102" t="str">
        <v>DOUBLE</v>
      </c>
      <c r="Q99" s="189"/>
      <c r="R99" s="139"/>
    </row>
    <row r="100" spans="3:18" ht="29" x14ac:dyDescent="0.35">
      <c r="C100" s="126">
        <v>45164</v>
      </c>
      <c r="D100" s="80" t="str">
        <v>AM</v>
      </c>
      <c r="E100" s="80" t="str">
        <v>August</v>
      </c>
      <c r="F100" s="80" t="str">
        <v>SAT</v>
      </c>
      <c r="G100" s="81">
        <v>90.991011999999998</v>
      </c>
      <c r="H100" s="102" t="str">
        <v>DOUBLE</v>
      </c>
      <c r="I100" s="95"/>
      <c r="J100" s="193" t="str" cm="1">
        <f t="array" ref="J100">_xlfn.TEXTJOIN(", ", TRUE, IFERROR(_xlfn._xlws.FILTER(Table3[Holiday Name], (TIPS!K100 &gt;= Table3[start2]) * (TIPS!K100&lt;= Table3[end2])), "."))</f>
        <v>New Year's Eve, New Year's Day</v>
      </c>
      <c r="K100" s="57">
        <v>45294</v>
      </c>
      <c r="L100" s="80" t="str">
        <v>PM</v>
      </c>
      <c r="M100" s="80" t="str">
        <v>January</v>
      </c>
      <c r="N100" s="80" t="str">
        <v>WED</v>
      </c>
      <c r="O100" s="81">
        <v>258.35831999999999</v>
      </c>
      <c r="P100" s="102" t="str">
        <v>SINGLE</v>
      </c>
      <c r="Q100" s="189"/>
      <c r="R100" s="139"/>
    </row>
    <row r="101" spans="3:18" x14ac:dyDescent="0.35">
      <c r="C101" s="126">
        <v>45164</v>
      </c>
      <c r="D101" s="80" t="str">
        <v>PM</v>
      </c>
      <c r="E101" s="80" t="str">
        <v>August</v>
      </c>
      <c r="F101" s="80" t="str">
        <v>SAT</v>
      </c>
      <c r="G101" s="81">
        <v>232.13966000000002</v>
      </c>
      <c r="H101" s="102" t="str">
        <v>DOUBLE</v>
      </c>
      <c r="I101" s="95"/>
      <c r="J101" s="193" t="str" cm="1">
        <f t="array" ref="J101">_xlfn.TEXTJOIN(", ", TRUE, IFERROR(_xlfn._xlws.FILTER(Table3[Holiday Name], (TIPS!K101 &gt;= Table3[start2]) * (TIPS!K101&lt;= Table3[end2])), "."))</f>
        <v>.</v>
      </c>
      <c r="K101" s="57">
        <v>45299</v>
      </c>
      <c r="L101" s="80" t="str">
        <v>PM</v>
      </c>
      <c r="M101" s="80" t="str">
        <v>January</v>
      </c>
      <c r="N101" s="80" t="str">
        <v>MON</v>
      </c>
      <c r="O101" s="81">
        <v>92.215599999999995</v>
      </c>
      <c r="P101" s="102" t="str">
        <v>SINGLE</v>
      </c>
      <c r="Q101" s="189"/>
      <c r="R101" s="139"/>
    </row>
    <row r="102" spans="3:18" ht="29" x14ac:dyDescent="0.35">
      <c r="C102" s="126">
        <v>45165</v>
      </c>
      <c r="D102" s="80" t="str">
        <v>AM</v>
      </c>
      <c r="E102" s="80" t="str">
        <v>August</v>
      </c>
      <c r="F102" s="80" t="str">
        <v>SUN</v>
      </c>
      <c r="G102" s="81">
        <v>167.970966</v>
      </c>
      <c r="H102" s="102" t="str">
        <v>DOUBLE</v>
      </c>
      <c r="I102" s="95"/>
      <c r="J102" s="193" t="str" cm="1">
        <f t="array" ref="J102">_xlfn.TEXTJOIN(", ", TRUE, IFERROR(_xlfn._xlws.FILTER(Table3[Holiday Name], (TIPS!K102 &gt;= Table3[start2]) * (TIPS!K102&lt;= Table3[end2])), "."))</f>
        <v>Martin Luther King Jr. Day</v>
      </c>
      <c r="K102" s="57">
        <v>45308</v>
      </c>
      <c r="L102" s="80" t="str">
        <v>PM</v>
      </c>
      <c r="M102" s="80" t="str">
        <v>January</v>
      </c>
      <c r="N102" s="80" t="str">
        <v>WED</v>
      </c>
      <c r="O102" s="81">
        <v>78.785280000000014</v>
      </c>
      <c r="P102" s="102" t="str">
        <v>SINGLE</v>
      </c>
      <c r="Q102" s="189"/>
      <c r="R102" s="139"/>
    </row>
    <row r="103" spans="3:18" x14ac:dyDescent="0.35">
      <c r="C103" s="126">
        <v>45165</v>
      </c>
      <c r="D103" s="80" t="str">
        <v>PM</v>
      </c>
      <c r="E103" s="80" t="str">
        <v>August</v>
      </c>
      <c r="F103" s="80" t="str">
        <v>SUN</v>
      </c>
      <c r="G103" s="81">
        <v>156.953216</v>
      </c>
      <c r="H103" s="102" t="str">
        <v>DOUBLE</v>
      </c>
      <c r="I103" s="95"/>
      <c r="J103" s="193" t="str" cm="1">
        <f t="array" ref="J103">_xlfn.TEXTJOIN(", ", TRUE, IFERROR(_xlfn._xlws.FILTER(Table3[Holiday Name], (TIPS!K103 &gt;= Table3[start2]) * (TIPS!K103&lt;= Table3[end2])), "."))</f>
        <v>.</v>
      </c>
      <c r="K103" s="57">
        <v>45311</v>
      </c>
      <c r="L103" s="80" t="str">
        <v>PM</v>
      </c>
      <c r="M103" s="80" t="str">
        <v>January</v>
      </c>
      <c r="N103" s="80" t="str">
        <v>SAT</v>
      </c>
      <c r="O103" s="81">
        <v>259.32637599999998</v>
      </c>
      <c r="P103" s="102" t="str">
        <v>SINGLE</v>
      </c>
      <c r="Q103" s="189"/>
      <c r="R103" s="139"/>
    </row>
    <row r="104" spans="3:18" x14ac:dyDescent="0.35">
      <c r="C104" s="126">
        <v>45166</v>
      </c>
      <c r="D104" s="80" t="str">
        <v>AM</v>
      </c>
      <c r="E104" s="80" t="str">
        <v>August</v>
      </c>
      <c r="F104" s="80" t="str">
        <v>MON</v>
      </c>
      <c r="G104" s="81">
        <v>52.754260000000002</v>
      </c>
      <c r="H104" s="102" t="str">
        <v>DOUBLE</v>
      </c>
      <c r="I104" s="95"/>
      <c r="J104" s="193" t="str" cm="1">
        <f t="array" ref="J104">_xlfn.TEXTJOIN(", ", TRUE, IFERROR(_xlfn._xlws.FILTER(Table3[Holiday Name], (TIPS!K104 &gt;= Table3[start2]) * (TIPS!K104&lt;= Table3[end2])), "."))</f>
        <v>.</v>
      </c>
      <c r="K104" s="57">
        <v>45313</v>
      </c>
      <c r="L104" s="80" t="str">
        <v>AM</v>
      </c>
      <c r="M104" s="80" t="str">
        <v>January</v>
      </c>
      <c r="N104" s="80" t="str">
        <v>MON</v>
      </c>
      <c r="O104" s="81">
        <v>44.028148000000002</v>
      </c>
      <c r="P104" s="102" t="str">
        <v>SINGLE</v>
      </c>
      <c r="Q104" s="189"/>
      <c r="R104" s="139"/>
    </row>
    <row r="105" spans="3:18" x14ac:dyDescent="0.35">
      <c r="C105" s="126">
        <v>45166</v>
      </c>
      <c r="D105" s="80" t="str">
        <v>PM</v>
      </c>
      <c r="E105" s="80" t="str">
        <v>August</v>
      </c>
      <c r="F105" s="80" t="str">
        <v>MON</v>
      </c>
      <c r="G105" s="81">
        <v>25.844839999999998</v>
      </c>
      <c r="H105" s="102" t="str">
        <v>DOUBLE</v>
      </c>
      <c r="I105" s="95"/>
      <c r="J105" s="193" t="str" cm="1">
        <f t="array" ref="J105">_xlfn.TEXTJOIN(", ", TRUE, IFERROR(_xlfn._xlws.FILTER(Table3[Holiday Name], (TIPS!K105 &gt;= Table3[start2]) * (TIPS!K105&lt;= Table3[end2])), "."))</f>
        <v>.</v>
      </c>
      <c r="K105" s="57">
        <v>45316</v>
      </c>
      <c r="L105" s="80" t="str">
        <v>PM</v>
      </c>
      <c r="M105" s="80" t="str">
        <v>January</v>
      </c>
      <c r="N105" s="80" t="str">
        <v>THU</v>
      </c>
      <c r="O105" s="81">
        <v>287.61990400000002</v>
      </c>
      <c r="P105" s="102" t="str">
        <v>SINGLE</v>
      </c>
      <c r="Q105" s="189"/>
      <c r="R105" s="139"/>
    </row>
    <row r="106" spans="3:18" x14ac:dyDescent="0.35">
      <c r="C106" s="126">
        <v>45168</v>
      </c>
      <c r="D106" s="80" t="str">
        <v>AM</v>
      </c>
      <c r="E106" s="80" t="str">
        <v>August</v>
      </c>
      <c r="F106" s="80" t="str">
        <v>WED</v>
      </c>
      <c r="G106" s="81">
        <v>114.16381999999999</v>
      </c>
      <c r="H106" s="102" t="str">
        <v>DOUBLE</v>
      </c>
      <c r="I106" s="95"/>
      <c r="J106" s="193" t="str" cm="1">
        <f t="array" ref="J106">_xlfn.TEXTJOIN(", ", TRUE, IFERROR(_xlfn._xlws.FILTER(Table3[Holiday Name], (TIPS!K106 &gt;= Table3[start2]) * (TIPS!K106&lt;= Table3[end2])), "."))</f>
        <v>.</v>
      </c>
      <c r="K106" s="57">
        <v>45323</v>
      </c>
      <c r="L106" s="80" t="str">
        <v>PM</v>
      </c>
      <c r="M106" s="80" t="str">
        <v>February</v>
      </c>
      <c r="N106" s="80" t="str">
        <v>THU</v>
      </c>
      <c r="O106" s="81">
        <v>241.10095200000001</v>
      </c>
      <c r="P106" s="102" t="str">
        <v>SINGLE</v>
      </c>
      <c r="Q106" s="189"/>
      <c r="R106" s="139"/>
    </row>
    <row r="107" spans="3:18" x14ac:dyDescent="0.35">
      <c r="C107" s="126">
        <v>45168</v>
      </c>
      <c r="D107" s="80" t="str">
        <v>PM</v>
      </c>
      <c r="E107" s="80" t="str">
        <v>August</v>
      </c>
      <c r="F107" s="80" t="str">
        <v>WED</v>
      </c>
      <c r="G107" s="81">
        <v>126.29014799999999</v>
      </c>
      <c r="H107" s="102" t="str">
        <v>DOUBLE</v>
      </c>
      <c r="I107" s="95"/>
      <c r="J107" s="193" t="str" cm="1">
        <f t="array" ref="J107">_xlfn.TEXTJOIN(", ", TRUE, IFERROR(_xlfn._xlws.FILTER(Table3[Holiday Name], (TIPS!K107 &gt;= Table3[start2]) * (TIPS!K107&lt;= Table3[end2])), "."))</f>
        <v>.</v>
      </c>
      <c r="K107" s="57">
        <v>45324</v>
      </c>
      <c r="L107" s="80" t="str">
        <v>PM</v>
      </c>
      <c r="M107" s="80" t="str">
        <v>February</v>
      </c>
      <c r="N107" s="80" t="str">
        <v>FRI</v>
      </c>
      <c r="O107" s="81">
        <v>276.31105599999995</v>
      </c>
      <c r="P107" s="102" t="str">
        <v>SINGLE</v>
      </c>
      <c r="Q107" s="189"/>
      <c r="R107" s="139"/>
    </row>
    <row r="108" spans="3:18" x14ac:dyDescent="0.35">
      <c r="C108" s="126">
        <v>45171</v>
      </c>
      <c r="D108" s="80" t="str">
        <v>PM</v>
      </c>
      <c r="E108" s="80" t="str">
        <v>September</v>
      </c>
      <c r="F108" s="80" t="str">
        <v>SAT</v>
      </c>
      <c r="G108" s="81">
        <v>318.34183999999999</v>
      </c>
      <c r="H108" s="102" t="str">
        <v>SINGLE</v>
      </c>
      <c r="I108" s="95"/>
      <c r="J108" s="193" t="str" cm="1">
        <f t="array" ref="J108">_xlfn.TEXTJOIN(", ", TRUE, IFERROR(_xlfn._xlws.FILTER(Table3[Holiday Name], (TIPS!K108 &gt;= Table3[start2]) * (TIPS!K108&lt;= Table3[end2])), "."))</f>
        <v>.</v>
      </c>
      <c r="K108" s="57">
        <v>45325</v>
      </c>
      <c r="L108" s="80" t="str">
        <v>AM</v>
      </c>
      <c r="M108" s="80" t="str">
        <v>February</v>
      </c>
      <c r="N108" s="80" t="str">
        <v>SAT</v>
      </c>
      <c r="O108" s="81">
        <v>43.126488000000002</v>
      </c>
      <c r="P108" s="102" t="str">
        <v>SINGLE</v>
      </c>
      <c r="Q108" s="189"/>
      <c r="R108" s="139"/>
    </row>
    <row r="109" spans="3:18" x14ac:dyDescent="0.35">
      <c r="C109" s="126">
        <v>45172</v>
      </c>
      <c r="D109" s="80" t="str">
        <v>PM</v>
      </c>
      <c r="E109" s="80" t="str">
        <v>September</v>
      </c>
      <c r="F109" s="80" t="str">
        <v>SUN</v>
      </c>
      <c r="G109" s="81">
        <v>192.6677</v>
      </c>
      <c r="H109" s="102" t="str">
        <v>SINGLE</v>
      </c>
      <c r="I109" s="95"/>
      <c r="J109" s="193" t="str" cm="1">
        <f t="array" ref="J109">_xlfn.TEXTJOIN(", ", TRUE, IFERROR(_xlfn._xlws.FILTER(Table3[Holiday Name], (TIPS!K109 &gt;= Table3[start2]) * (TIPS!K109&lt;= Table3[end2])), "."))</f>
        <v>.</v>
      </c>
      <c r="K109" s="57">
        <v>45327</v>
      </c>
      <c r="L109" s="80" t="str">
        <v>AM</v>
      </c>
      <c r="M109" s="80" t="str">
        <v>February</v>
      </c>
      <c r="N109" s="80" t="str">
        <v>MON</v>
      </c>
      <c r="O109" s="81">
        <v>57.636924</v>
      </c>
      <c r="P109" s="102" t="str">
        <v>DOUBLE</v>
      </c>
      <c r="Q109" s="189"/>
      <c r="R109" s="139"/>
    </row>
    <row r="110" spans="3:18" x14ac:dyDescent="0.35">
      <c r="C110" s="126">
        <v>45173</v>
      </c>
      <c r="D110" s="80" t="str">
        <v>PM</v>
      </c>
      <c r="E110" s="80" t="str">
        <v>September</v>
      </c>
      <c r="F110" s="80" t="str">
        <v>MON</v>
      </c>
      <c r="G110" s="81">
        <v>195.94261600000002</v>
      </c>
      <c r="H110" s="102" t="str">
        <v>SINGLE</v>
      </c>
      <c r="I110" s="95"/>
      <c r="J110" s="193" t="str" cm="1">
        <f t="array" ref="J110">_xlfn.TEXTJOIN(", ", TRUE, IFERROR(_xlfn._xlws.FILTER(Table3[Holiday Name], (TIPS!K110 &gt;= Table3[start2]) * (TIPS!K110&lt;= Table3[end2])), "."))</f>
        <v>.</v>
      </c>
      <c r="K110" s="57">
        <v>45329</v>
      </c>
      <c r="L110" s="80" t="str">
        <v>PM</v>
      </c>
      <c r="M110" s="80" t="str">
        <v>February</v>
      </c>
      <c r="N110" s="80" t="str">
        <v>WED</v>
      </c>
      <c r="O110" s="81">
        <v>248.87699599999996</v>
      </c>
      <c r="P110" s="102" t="str">
        <v>DOUBLE</v>
      </c>
      <c r="Q110" s="189"/>
      <c r="R110" s="139"/>
    </row>
    <row r="111" spans="3:18" x14ac:dyDescent="0.35">
      <c r="C111" s="126">
        <v>45174</v>
      </c>
      <c r="D111" s="80" t="str">
        <v>PM</v>
      </c>
      <c r="E111" s="80" t="str">
        <v>September</v>
      </c>
      <c r="F111" s="80" t="str">
        <v>TUE</v>
      </c>
      <c r="G111" s="81">
        <v>149.30824799999999</v>
      </c>
      <c r="H111" s="102" t="str">
        <v>SINGLE</v>
      </c>
      <c r="I111" s="95"/>
      <c r="J111" s="193" t="str" cm="1">
        <f t="array" ref="J111">_xlfn.TEXTJOIN(", ", TRUE, IFERROR(_xlfn._xlws.FILTER(Table3[Holiday Name], (TIPS!K111 &gt;= Table3[start2]) * (TIPS!K111&lt;= Table3[end2])), "."))</f>
        <v>Valentine's Day</v>
      </c>
      <c r="K111" s="57">
        <v>45333</v>
      </c>
      <c r="L111" s="80" t="str">
        <v>AM</v>
      </c>
      <c r="M111" s="80" t="str">
        <v>February</v>
      </c>
      <c r="N111" s="80" t="str">
        <v>SUN</v>
      </c>
      <c r="O111" s="81">
        <v>87.969680000000011</v>
      </c>
      <c r="P111" s="102" t="str">
        <v>SINGLE</v>
      </c>
      <c r="Q111" s="189"/>
      <c r="R111" s="139"/>
    </row>
    <row r="112" spans="3:18" x14ac:dyDescent="0.35">
      <c r="C112" s="126">
        <v>45175</v>
      </c>
      <c r="D112" s="80" t="str">
        <v>AM</v>
      </c>
      <c r="E112" s="80" t="str">
        <v>September</v>
      </c>
      <c r="F112" s="80" t="str">
        <v>WED</v>
      </c>
      <c r="G112" s="81">
        <v>42.626280000000001</v>
      </c>
      <c r="H112" s="102" t="str">
        <v>SINGLE</v>
      </c>
      <c r="I112" s="95"/>
      <c r="J112" s="193" t="str" cm="1">
        <f t="array" ref="J112">_xlfn.TEXTJOIN(", ", TRUE, IFERROR(_xlfn._xlws.FILTER(Table3[Holiday Name], (TIPS!K112 &gt;= Table3[start2]) * (TIPS!K112&lt;= Table3[end2])), "."))</f>
        <v>Valentine's Day</v>
      </c>
      <c r="K112" s="57">
        <v>45334</v>
      </c>
      <c r="L112" s="80" t="str">
        <v>AM</v>
      </c>
      <c r="M112" s="80" t="str">
        <v>February</v>
      </c>
      <c r="N112" s="80" t="str">
        <v>MON</v>
      </c>
      <c r="O112" s="81">
        <v>12.697699999999999</v>
      </c>
      <c r="P112" s="102" t="str">
        <v>DOUBLE</v>
      </c>
      <c r="Q112" s="189"/>
      <c r="R112" s="139"/>
    </row>
    <row r="113" spans="3:18" x14ac:dyDescent="0.35">
      <c r="C113" s="126">
        <v>45177</v>
      </c>
      <c r="D113" s="80" t="str">
        <v>PM</v>
      </c>
      <c r="E113" s="80" t="str">
        <v>September</v>
      </c>
      <c r="F113" s="80" t="str">
        <v>FRI</v>
      </c>
      <c r="G113" s="81">
        <v>220.24354</v>
      </c>
      <c r="H113" s="102" t="str">
        <v>SINGLE</v>
      </c>
      <c r="I113" s="95"/>
      <c r="J113" s="193" t="str" cm="1">
        <f t="array" ref="J113">_xlfn.TEXTJOIN(", ", TRUE, IFERROR(_xlfn._xlws.FILTER(Table3[Holiday Name], (TIPS!K113 &gt;= Table3[start2]) * (TIPS!K113&lt;= Table3[end2])), "."))</f>
        <v>Valentine's Day</v>
      </c>
      <c r="K113" s="57">
        <v>45336</v>
      </c>
      <c r="L113" s="80" t="str">
        <v>PM</v>
      </c>
      <c r="M113" s="80" t="str">
        <v>February</v>
      </c>
      <c r="N113" s="80" t="str">
        <v>WED</v>
      </c>
      <c r="O113" s="81">
        <v>373.043768</v>
      </c>
      <c r="P113" s="102" t="str">
        <v>SINGLE</v>
      </c>
      <c r="Q113" s="189"/>
      <c r="R113" s="139"/>
    </row>
    <row r="114" spans="3:18" x14ac:dyDescent="0.35">
      <c r="C114" s="126">
        <v>45178</v>
      </c>
      <c r="D114" s="80" t="str">
        <v>AM</v>
      </c>
      <c r="E114" s="80" t="str">
        <v>September</v>
      </c>
      <c r="F114" s="80" t="str">
        <v>SAT</v>
      </c>
      <c r="G114" s="81">
        <v>106.108092</v>
      </c>
      <c r="H114" s="102" t="str">
        <v>SINGLE</v>
      </c>
      <c r="I114" s="95"/>
      <c r="J114" s="193" t="str" cm="1">
        <f t="array" ref="J114">_xlfn.TEXTJOIN(", ", TRUE, IFERROR(_xlfn._xlws.FILTER(Table3[Holiday Name], (TIPS!K114 &gt;= Table3[start2]) * (TIPS!K114&lt;= Table3[end2])), "."))</f>
        <v>.</v>
      </c>
      <c r="K114" s="57">
        <v>45346</v>
      </c>
      <c r="L114" s="80" t="str">
        <v>PM</v>
      </c>
      <c r="M114" s="80" t="str">
        <v>February</v>
      </c>
      <c r="N114" s="80" t="str">
        <v>SAT</v>
      </c>
      <c r="O114" s="81">
        <v>289.77713199999999</v>
      </c>
      <c r="P114" s="102" t="str">
        <v>SINGLE</v>
      </c>
      <c r="Q114" s="189"/>
      <c r="R114" s="139"/>
    </row>
    <row r="115" spans="3:18" x14ac:dyDescent="0.35">
      <c r="C115" s="126">
        <v>45179</v>
      </c>
      <c r="D115" s="80" t="str">
        <v>AM</v>
      </c>
      <c r="E115" s="80" t="str">
        <v>September</v>
      </c>
      <c r="F115" s="80" t="str">
        <v>SUN</v>
      </c>
      <c r="G115" s="81">
        <v>123.7079</v>
      </c>
      <c r="H115" s="102" t="str">
        <v>DOUBLE</v>
      </c>
      <c r="I115" s="95"/>
      <c r="J115" s="193" t="str" cm="1">
        <f t="array" ref="J115">_xlfn.TEXTJOIN(", ", TRUE, IFERROR(_xlfn._xlws.FILTER(Table3[Holiday Name], (TIPS!K115 &gt;= Table3[start2]) * (TIPS!K115&lt;= Table3[end2])), "."))</f>
        <v>.</v>
      </c>
      <c r="K115" s="57">
        <v>45348</v>
      </c>
      <c r="L115" s="80" t="str">
        <v>AM</v>
      </c>
      <c r="M115" s="80" t="str">
        <v>February</v>
      </c>
      <c r="N115" s="80" t="str">
        <v>MON</v>
      </c>
      <c r="O115" s="81">
        <v>68.663443999999998</v>
      </c>
      <c r="P115" s="102" t="str">
        <v>DOUBLE</v>
      </c>
      <c r="Q115" s="189"/>
      <c r="R115" s="139"/>
    </row>
    <row r="116" spans="3:18" x14ac:dyDescent="0.35">
      <c r="C116" s="126">
        <v>45179</v>
      </c>
      <c r="D116" s="80" t="str">
        <v>PM</v>
      </c>
      <c r="E116" s="80" t="str">
        <v>September</v>
      </c>
      <c r="F116" s="80" t="str">
        <v>SUN</v>
      </c>
      <c r="G116" s="81">
        <v>123.7079</v>
      </c>
      <c r="H116" s="102" t="str">
        <v>DOUBLE</v>
      </c>
      <c r="I116" s="95"/>
      <c r="J116" s="193" t="str" cm="1">
        <f t="array" ref="J116">_xlfn.TEXTJOIN(", ", TRUE, IFERROR(_xlfn._xlws.FILTER(Table3[Holiday Name], (TIPS!K116 &gt;= Table3[start2]) * (TIPS!K116&lt;= Table3[end2])), "."))</f>
        <v>.</v>
      </c>
      <c r="K116" s="57">
        <v>45354</v>
      </c>
      <c r="L116" s="80" t="str">
        <v>PM</v>
      </c>
      <c r="M116" s="80" t="str">
        <v>March</v>
      </c>
      <c r="N116" s="80" t="str">
        <v>SUN</v>
      </c>
      <c r="O116" s="81">
        <v>283.06921599999998</v>
      </c>
      <c r="P116" s="102" t="str">
        <v>DOUBLE</v>
      </c>
      <c r="Q116" s="189"/>
      <c r="R116" s="139"/>
    </row>
    <row r="117" spans="3:18" x14ac:dyDescent="0.35">
      <c r="C117" s="126">
        <v>45180</v>
      </c>
      <c r="D117" s="80" t="str">
        <v>AM</v>
      </c>
      <c r="E117" s="80" t="str">
        <v>September</v>
      </c>
      <c r="F117" s="80" t="str">
        <v>MON</v>
      </c>
      <c r="G117" s="81">
        <v>68.743099999999998</v>
      </c>
      <c r="H117" s="102" t="str">
        <v>DOUBLE</v>
      </c>
      <c r="I117" s="95"/>
      <c r="J117" s="193" t="str" cm="1">
        <f t="array" ref="J117">_xlfn.TEXTJOIN(", ", TRUE, IFERROR(_xlfn._xlws.FILTER(Table3[Holiday Name], (TIPS!K117 &gt;= Table3[start2]) * (TIPS!K117&lt;= Table3[end2])), "."))</f>
        <v>.</v>
      </c>
      <c r="K117" s="57">
        <v>45355</v>
      </c>
      <c r="L117" s="80" t="str">
        <v>AM</v>
      </c>
      <c r="M117" s="80" t="str">
        <v>March</v>
      </c>
      <c r="N117" s="80" t="str">
        <v>MON</v>
      </c>
      <c r="O117" s="81">
        <v>89.287804000000008</v>
      </c>
      <c r="P117" s="102" t="str">
        <v>DOUBLE</v>
      </c>
      <c r="Q117" s="189"/>
      <c r="R117" s="139"/>
    </row>
    <row r="118" spans="3:18" x14ac:dyDescent="0.35">
      <c r="C118" s="126">
        <v>45180</v>
      </c>
      <c r="D118" s="80" t="str">
        <v>PM</v>
      </c>
      <c r="E118" s="80" t="str">
        <v>September</v>
      </c>
      <c r="F118" s="80" t="str">
        <v>MON</v>
      </c>
      <c r="G118" s="81">
        <v>76.038240000000002</v>
      </c>
      <c r="H118" s="102" t="str">
        <v>DOUBLE</v>
      </c>
      <c r="I118" s="95"/>
      <c r="J118" s="193" t="str" cm="1">
        <f t="array" ref="J118">_xlfn.TEXTJOIN(", ", TRUE, IFERROR(_xlfn._xlws.FILTER(Table3[Holiday Name], (TIPS!K118 &gt;= Table3[start2]) * (TIPS!K118&lt;= Table3[end2])), "."))</f>
        <v>.</v>
      </c>
      <c r="K118" s="57">
        <v>45355</v>
      </c>
      <c r="L118" s="80" t="str">
        <v>PM</v>
      </c>
      <c r="M118" s="80" t="str">
        <v>March</v>
      </c>
      <c r="N118" s="80" t="str">
        <v>MON</v>
      </c>
      <c r="O118" s="81">
        <v>311.89962400000002</v>
      </c>
      <c r="P118" s="102" t="str">
        <v>DOUBLE</v>
      </c>
      <c r="Q118" s="189"/>
      <c r="R118" s="139"/>
    </row>
    <row r="119" spans="3:18" x14ac:dyDescent="0.35">
      <c r="C119" s="126">
        <v>45182</v>
      </c>
      <c r="D119" s="80" t="str">
        <v>AM</v>
      </c>
      <c r="E119" s="80" t="str">
        <v>September</v>
      </c>
      <c r="F119" s="80" t="str">
        <v>WED</v>
      </c>
      <c r="G119" s="81">
        <v>108.471272</v>
      </c>
      <c r="H119" s="102" t="str">
        <v>SINGLE</v>
      </c>
      <c r="I119" s="95"/>
      <c r="J119" s="193" t="str" cm="1">
        <f t="array" ref="J119">_xlfn.TEXTJOIN(", ", TRUE, IFERROR(_xlfn._xlws.FILTER(Table3[Holiday Name], (TIPS!K119 &gt;= Table3[start2]) * (TIPS!K119&lt;= Table3[end2])), "."))</f>
        <v>.</v>
      </c>
      <c r="K119" s="57">
        <v>45357</v>
      </c>
      <c r="L119" s="80" t="str">
        <v>PM</v>
      </c>
      <c r="M119" s="80" t="str">
        <v>March</v>
      </c>
      <c r="N119" s="80" t="str">
        <v>WED</v>
      </c>
      <c r="O119" s="81">
        <v>248.45899199999999</v>
      </c>
      <c r="P119" s="102" t="str">
        <v>SINGLE</v>
      </c>
      <c r="Q119" s="189"/>
      <c r="R119" s="139"/>
    </row>
    <row r="120" spans="3:18" x14ac:dyDescent="0.35">
      <c r="C120" s="126">
        <v>45184</v>
      </c>
      <c r="D120" s="80" t="str">
        <v>AM</v>
      </c>
      <c r="E120" s="80" t="str">
        <v>September</v>
      </c>
      <c r="F120" s="80" t="str">
        <v>FRI</v>
      </c>
      <c r="G120" s="81">
        <v>109.82080000000001</v>
      </c>
      <c r="H120" s="102" t="str">
        <v>DOUBLE</v>
      </c>
      <c r="I120" s="95"/>
      <c r="J120" s="193" t="str" cm="1">
        <f t="array" ref="J120">_xlfn.TEXTJOIN(", ", TRUE, IFERROR(_xlfn._xlws.FILTER(Table3[Holiday Name], (TIPS!K120 &gt;= Table3[start2]) * (TIPS!K120&lt;= Table3[end2])), "."))</f>
        <v>.</v>
      </c>
      <c r="K120" s="57">
        <v>45360</v>
      </c>
      <c r="L120" s="80" t="str">
        <v>AM</v>
      </c>
      <c r="M120" s="80" t="str">
        <v>March</v>
      </c>
      <c r="N120" s="80" t="str">
        <v>SAT</v>
      </c>
      <c r="O120" s="81">
        <v>76.934904000000003</v>
      </c>
      <c r="P120" s="102" t="str">
        <v>DOUBLE</v>
      </c>
      <c r="Q120" s="189"/>
      <c r="R120" s="139"/>
    </row>
    <row r="121" spans="3:18" x14ac:dyDescent="0.35">
      <c r="C121" s="126">
        <v>45184</v>
      </c>
      <c r="D121" s="80" t="str">
        <v>PM</v>
      </c>
      <c r="E121" s="80" t="str">
        <v>September</v>
      </c>
      <c r="F121" s="80" t="str">
        <v>FRI</v>
      </c>
      <c r="G121" s="81">
        <v>129.09727599999999</v>
      </c>
      <c r="H121" s="102" t="str">
        <v>DOUBLE</v>
      </c>
      <c r="I121" s="95"/>
      <c r="J121" s="193" t="str" cm="1">
        <f t="array" ref="J121">_xlfn.TEXTJOIN(", ", TRUE, IFERROR(_xlfn._xlws.FILTER(Table3[Holiday Name], (TIPS!K121 &gt;= Table3[start2]) * (TIPS!K121&lt;= Table3[end2])), "."))</f>
        <v>.</v>
      </c>
      <c r="K121" s="57">
        <v>45360</v>
      </c>
      <c r="L121" s="80" t="str">
        <v>PM</v>
      </c>
      <c r="M121" s="80" t="str">
        <v>March</v>
      </c>
      <c r="N121" s="80" t="str">
        <v>SAT</v>
      </c>
      <c r="O121" s="81">
        <v>344.84610399999997</v>
      </c>
      <c r="P121" s="102" t="str">
        <v>DOUBLE</v>
      </c>
      <c r="Q121" s="189"/>
      <c r="R121" s="139"/>
    </row>
    <row r="122" spans="3:18" x14ac:dyDescent="0.35">
      <c r="C122" s="126">
        <v>45185</v>
      </c>
      <c r="D122" s="80" t="str">
        <v>AM</v>
      </c>
      <c r="E122" s="80" t="str">
        <v>September</v>
      </c>
      <c r="F122" s="80" t="str">
        <v>SAT</v>
      </c>
      <c r="G122" s="81">
        <v>201.58923199999998</v>
      </c>
      <c r="H122" s="102" t="str">
        <v>SINGLE</v>
      </c>
      <c r="I122" s="95"/>
      <c r="J122" s="193" t="str" cm="1">
        <f t="array" ref="J122">_xlfn.TEXTJOIN(", ", TRUE, IFERROR(_xlfn._xlws.FILTER(Table3[Holiday Name], (TIPS!K122 &gt;= Table3[start2]) * (TIPS!K122&lt;= Table3[end2])), "."))</f>
        <v>.</v>
      </c>
      <c r="K122" s="57">
        <v>45361</v>
      </c>
      <c r="L122" s="80" t="str">
        <v>AM</v>
      </c>
      <c r="M122" s="80" t="str">
        <v>March</v>
      </c>
      <c r="N122" s="80" t="str">
        <v>SUN</v>
      </c>
      <c r="O122" s="81">
        <v>78.937404000000001</v>
      </c>
      <c r="P122" s="102" t="str">
        <v>DOUBLE</v>
      </c>
      <c r="Q122" s="189"/>
      <c r="R122" s="139"/>
    </row>
    <row r="123" spans="3:18" x14ac:dyDescent="0.35">
      <c r="C123" s="126">
        <v>45186</v>
      </c>
      <c r="D123" s="80" t="str">
        <v>AM</v>
      </c>
      <c r="E123" s="80" t="str">
        <v>September</v>
      </c>
      <c r="F123" s="80" t="str">
        <v>SUN</v>
      </c>
      <c r="G123" s="81">
        <v>161.95194000000001</v>
      </c>
      <c r="H123" s="102" t="str">
        <v>DOUBLE</v>
      </c>
      <c r="I123" s="95"/>
      <c r="J123" s="193" t="str" cm="1">
        <f t="array" ref="J123">_xlfn.TEXTJOIN(", ", TRUE, IFERROR(_xlfn._xlws.FILTER(Table3[Holiday Name], (TIPS!K123 &gt;= Table3[start2]) * (TIPS!K123&lt;= Table3[end2])), "."))</f>
        <v>.</v>
      </c>
      <c r="K123" s="57">
        <v>45362</v>
      </c>
      <c r="L123" s="80" t="str">
        <v>PM</v>
      </c>
      <c r="M123" s="80" t="str">
        <v>March</v>
      </c>
      <c r="N123" s="80" t="str">
        <v>MON</v>
      </c>
      <c r="O123" s="81">
        <v>347.55293999999998</v>
      </c>
      <c r="P123" s="102" t="str">
        <v>SINGLE</v>
      </c>
      <c r="Q123" s="189"/>
      <c r="R123" s="139"/>
    </row>
    <row r="124" spans="3:18" x14ac:dyDescent="0.35">
      <c r="C124" s="126">
        <v>45187</v>
      </c>
      <c r="D124" s="80" t="str">
        <v>AM</v>
      </c>
      <c r="E124" s="80" t="str">
        <v>September</v>
      </c>
      <c r="F124" s="80" t="str">
        <v>MON</v>
      </c>
      <c r="G124" s="81">
        <v>58.22184</v>
      </c>
      <c r="H124" s="102" t="str">
        <v>DOUBLE</v>
      </c>
      <c r="I124" s="95"/>
      <c r="J124" s="193" t="str" cm="1">
        <f t="array" ref="J124">_xlfn.TEXTJOIN(", ", TRUE, IFERROR(_xlfn._xlws.FILTER(Table3[Holiday Name], (TIPS!K124 &gt;= Table3[start2]) * (TIPS!K124&lt;= Table3[end2])), "."))</f>
        <v>.</v>
      </c>
      <c r="K124" s="57">
        <v>45364</v>
      </c>
      <c r="L124" s="80" t="str">
        <v>PM</v>
      </c>
      <c r="M124" s="80" t="str">
        <v>March</v>
      </c>
      <c r="N124" s="80" t="str">
        <v>WED</v>
      </c>
      <c r="O124" s="81">
        <v>326.54312000000004</v>
      </c>
      <c r="P124" s="102" t="str">
        <v>SINGLE</v>
      </c>
      <c r="Q124" s="189"/>
      <c r="R124" s="139"/>
    </row>
    <row r="125" spans="3:18" x14ac:dyDescent="0.35">
      <c r="C125" s="126">
        <v>45187</v>
      </c>
      <c r="D125" s="80" t="str">
        <v>PM</v>
      </c>
      <c r="E125" s="80" t="str">
        <v>September</v>
      </c>
      <c r="F125" s="80" t="str">
        <v>MON</v>
      </c>
      <c r="G125" s="81">
        <v>85.087944000000007</v>
      </c>
      <c r="H125" s="102" t="str">
        <v>DOUBLE</v>
      </c>
      <c r="I125" s="95"/>
      <c r="J125" s="193" t="str" cm="1">
        <f t="array" ref="J125">_xlfn.TEXTJOIN(", ", TRUE, IFERROR(_xlfn._xlws.FILTER(Table3[Holiday Name], (TIPS!K125 &gt;= Table3[start2]) * (TIPS!K125&lt;= Table3[end2])), "."))</f>
        <v>St. Patrick's Day</v>
      </c>
      <c r="K125" s="57">
        <v>45366</v>
      </c>
      <c r="L125" s="80" t="str">
        <v>PM</v>
      </c>
      <c r="M125" s="80" t="str">
        <v>March</v>
      </c>
      <c r="N125" s="80" t="str">
        <v>FRI</v>
      </c>
      <c r="O125" s="81">
        <v>298.03705200000002</v>
      </c>
      <c r="P125" s="102" t="str">
        <v>SINGLE</v>
      </c>
      <c r="Q125" s="189"/>
      <c r="R125" s="139"/>
    </row>
    <row r="126" spans="3:18" x14ac:dyDescent="0.35">
      <c r="C126" s="126">
        <v>45192</v>
      </c>
      <c r="D126" s="80" t="str">
        <v>AM</v>
      </c>
      <c r="E126" s="80" t="str">
        <v>September</v>
      </c>
      <c r="F126" s="80" t="str">
        <v>SAT</v>
      </c>
      <c r="G126" s="81">
        <v>156.81897599999999</v>
      </c>
      <c r="H126" s="102" t="str">
        <v>SINGLE</v>
      </c>
      <c r="I126" s="95"/>
      <c r="J126" s="193" t="str" cm="1">
        <f t="array" ref="J126">_xlfn.TEXTJOIN(", ", TRUE, IFERROR(_xlfn._xlws.FILTER(Table3[Holiday Name], (TIPS!K126 &gt;= Table3[start2]) * (TIPS!K126&lt;= Table3[end2])), "."))</f>
        <v>St. Patrick's Day</v>
      </c>
      <c r="K126" s="57">
        <v>45368</v>
      </c>
      <c r="L126" s="80" t="str">
        <v>AM</v>
      </c>
      <c r="M126" s="80" t="str">
        <v>March</v>
      </c>
      <c r="N126" s="80" t="str">
        <v>SUN</v>
      </c>
      <c r="O126" s="81">
        <v>66.363367999999994</v>
      </c>
      <c r="P126" s="102" t="str">
        <v>SINGLE</v>
      </c>
      <c r="Q126" s="189"/>
      <c r="R126" s="139"/>
    </row>
    <row r="127" spans="3:18" x14ac:dyDescent="0.35">
      <c r="C127" s="126">
        <v>45193</v>
      </c>
      <c r="D127" s="80" t="str">
        <v>AM</v>
      </c>
      <c r="E127" s="80" t="str">
        <v>September</v>
      </c>
      <c r="F127" s="80" t="str">
        <v>SUN</v>
      </c>
      <c r="G127" s="81">
        <v>187.39946</v>
      </c>
      <c r="H127" s="102" t="str">
        <v>DOUBLE</v>
      </c>
      <c r="I127" s="95"/>
      <c r="J127" s="193" t="str" cm="1">
        <f t="array" ref="J127">_xlfn.TEXTJOIN(", ", TRUE, IFERROR(_xlfn._xlws.FILTER(Table3[Holiday Name], (TIPS!K127 &gt;= Table3[start2]) * (TIPS!K127&lt;= Table3[end2])), "."))</f>
        <v>St. Patrick's Day</v>
      </c>
      <c r="K127" s="57">
        <v>45369</v>
      </c>
      <c r="L127" s="80" t="str">
        <v>AM</v>
      </c>
      <c r="M127" s="80" t="str">
        <v>March</v>
      </c>
      <c r="N127" s="80" t="str">
        <v>MON</v>
      </c>
      <c r="O127" s="81">
        <v>90.931659999999994</v>
      </c>
      <c r="P127" s="102" t="str">
        <v>DOUBLE</v>
      </c>
      <c r="Q127" s="189"/>
      <c r="R127" s="139"/>
    </row>
    <row r="128" spans="3:18" x14ac:dyDescent="0.35">
      <c r="C128" s="126">
        <v>45193</v>
      </c>
      <c r="D128" s="80" t="str">
        <v>PM</v>
      </c>
      <c r="E128" s="80" t="str">
        <v>September</v>
      </c>
      <c r="F128" s="80" t="str">
        <v>SUN</v>
      </c>
      <c r="G128" s="81">
        <v>187.39946</v>
      </c>
      <c r="H128" s="102" t="str">
        <v>DOUBLE</v>
      </c>
      <c r="I128" s="95"/>
      <c r="J128" s="193" t="str" cm="1">
        <f t="array" ref="J128">_xlfn.TEXTJOIN(", ", TRUE, IFERROR(_xlfn._xlws.FILTER(Table3[Holiday Name], (TIPS!K128 &gt;= Table3[start2]) * (TIPS!K128&lt;= Table3[end2])), "."))</f>
        <v>St. Patrick's Day</v>
      </c>
      <c r="K128" s="57">
        <v>45371</v>
      </c>
      <c r="L128" s="80" t="str">
        <v>PM</v>
      </c>
      <c r="M128" s="80" t="str">
        <v>March</v>
      </c>
      <c r="N128" s="80" t="str">
        <v>WED</v>
      </c>
      <c r="O128" s="81">
        <v>53.015720000000002</v>
      </c>
      <c r="P128" s="102" t="str">
        <v>SINGLE</v>
      </c>
      <c r="Q128" s="189"/>
      <c r="R128" s="139"/>
    </row>
    <row r="129" spans="3:18" x14ac:dyDescent="0.35">
      <c r="C129" s="126">
        <v>45194</v>
      </c>
      <c r="D129" s="80" t="str">
        <v>PM</v>
      </c>
      <c r="E129" s="80" t="str">
        <v>September</v>
      </c>
      <c r="F129" s="80" t="str">
        <v>MON</v>
      </c>
      <c r="G129" s="81">
        <v>166.86658</v>
      </c>
      <c r="H129" s="102" t="str">
        <v>SINGLE</v>
      </c>
      <c r="I129" s="95"/>
      <c r="J129" s="193" t="str" cm="1">
        <f t="array" ref="J129">_xlfn.TEXTJOIN(", ", TRUE, IFERROR(_xlfn._xlws.FILTER(Table3[Holiday Name], (TIPS!K129 &gt;= Table3[start2]) * (TIPS!K129&lt;= Table3[end2])), "."))</f>
        <v>.</v>
      </c>
      <c r="K129" s="57">
        <v>45376</v>
      </c>
      <c r="L129" s="80" t="str">
        <v>AM</v>
      </c>
      <c r="M129" s="80" t="str">
        <v>March</v>
      </c>
      <c r="N129" s="80" t="str">
        <v>MON</v>
      </c>
      <c r="O129" s="81">
        <v>55.795068000000001</v>
      </c>
      <c r="P129" s="102" t="str">
        <v>DOUBLE</v>
      </c>
      <c r="Q129" s="189"/>
      <c r="R129" s="139"/>
    </row>
    <row r="130" spans="3:18" x14ac:dyDescent="0.35">
      <c r="C130" s="126">
        <v>45196</v>
      </c>
      <c r="D130" s="80" t="str">
        <v>PM</v>
      </c>
      <c r="E130" s="80" t="str">
        <v>September</v>
      </c>
      <c r="F130" s="80" t="str">
        <v>WED</v>
      </c>
      <c r="G130" s="81">
        <v>102.25415199999999</v>
      </c>
      <c r="H130" s="102" t="str">
        <v>SINGLE</v>
      </c>
      <c r="I130" s="95"/>
      <c r="J130" s="193" t="str" cm="1">
        <f t="array" ref="J130">_xlfn.TEXTJOIN(", ", TRUE, IFERROR(_xlfn._xlws.FILTER(Table3[Holiday Name], (TIPS!K130 &gt;= Table3[start2]) * (TIPS!K130&lt;= Table3[end2])), "."))</f>
        <v>Easter Sunday</v>
      </c>
      <c r="K130" s="57">
        <v>45380</v>
      </c>
      <c r="L130" s="80" t="str">
        <v>PM</v>
      </c>
      <c r="M130" s="80" t="str">
        <v>March</v>
      </c>
      <c r="N130" s="80" t="str">
        <v>FRI</v>
      </c>
      <c r="O130" s="81">
        <v>345.4649</v>
      </c>
      <c r="P130" s="102" t="str">
        <v>SINGLE</v>
      </c>
      <c r="Q130" s="189"/>
      <c r="R130" s="139"/>
    </row>
    <row r="131" spans="3:18" x14ac:dyDescent="0.35">
      <c r="C131" s="126">
        <v>45198</v>
      </c>
      <c r="D131" s="80" t="str">
        <v>PM</v>
      </c>
      <c r="E131" s="80" t="str">
        <v>September</v>
      </c>
      <c r="F131" s="80" t="str">
        <v>FRI</v>
      </c>
      <c r="G131" s="81">
        <v>135.44354399999997</v>
      </c>
      <c r="H131" s="102" t="str">
        <v>SINGLE</v>
      </c>
      <c r="I131" s="95"/>
      <c r="J131" s="193" t="str" cm="1">
        <f t="array" ref="J131">_xlfn.TEXTJOIN(", ", TRUE, IFERROR(_xlfn._xlws.FILTER(Table3[Holiday Name], (TIPS!K131 &gt;= Table3[start2]) * (TIPS!K131&lt;= Table3[end2])), "."))</f>
        <v>Easter Sunday</v>
      </c>
      <c r="K131" s="57">
        <v>45385</v>
      </c>
      <c r="L131" s="80" t="str">
        <v>AM</v>
      </c>
      <c r="M131" s="80" t="str">
        <v>April</v>
      </c>
      <c r="N131" s="80" t="str">
        <v>WED</v>
      </c>
      <c r="O131" s="81">
        <v>90.533100000000005</v>
      </c>
      <c r="P131" s="102" t="str">
        <v>DOUBLE</v>
      </c>
      <c r="Q131" s="189"/>
      <c r="R131" s="139"/>
    </row>
    <row r="132" spans="3:18" x14ac:dyDescent="0.35">
      <c r="C132" s="126">
        <v>45199</v>
      </c>
      <c r="D132" s="80" t="str">
        <v>PM</v>
      </c>
      <c r="E132" s="80" t="str">
        <v>September</v>
      </c>
      <c r="F132" s="80" t="str">
        <v>SAT</v>
      </c>
      <c r="G132" s="81">
        <v>169.007724</v>
      </c>
      <c r="H132" s="102" t="str">
        <v>SINGLE</v>
      </c>
      <c r="I132" s="95"/>
      <c r="J132" s="193" t="str" cm="1">
        <f t="array" ref="J132">_xlfn.TEXTJOIN(", ", TRUE, IFERROR(_xlfn._xlws.FILTER(Table3[Holiday Name], (TIPS!K132 &gt;= Table3[start2]) * (TIPS!K132&lt;= Table3[end2])), "."))</f>
        <v>Easter Sunday</v>
      </c>
      <c r="K132" s="57">
        <v>45385</v>
      </c>
      <c r="L132" s="80" t="str">
        <v>PM</v>
      </c>
      <c r="M132" s="80" t="str">
        <v>April</v>
      </c>
      <c r="N132" s="80" t="str">
        <v>WED</v>
      </c>
      <c r="O132" s="81">
        <v>63.631980000000006</v>
      </c>
      <c r="P132" s="102" t="str">
        <v>DOUBLE</v>
      </c>
      <c r="Q132" s="189"/>
      <c r="R132" s="139"/>
    </row>
    <row r="133" spans="3:18" x14ac:dyDescent="0.35">
      <c r="C133" s="126">
        <v>45200</v>
      </c>
      <c r="D133" s="80" t="str">
        <v>AM</v>
      </c>
      <c r="E133" s="80" t="str">
        <v>October</v>
      </c>
      <c r="F133" s="80" t="str">
        <v>SUN</v>
      </c>
      <c r="G133" s="81">
        <v>200.75157999999999</v>
      </c>
      <c r="H133" s="102" t="str">
        <v>DOUBLE</v>
      </c>
      <c r="I133" s="95"/>
      <c r="J133" s="193" t="str" cm="1">
        <f t="array" ref="J133">_xlfn.TEXTJOIN(", ", TRUE, IFERROR(_xlfn._xlws.FILTER(Table3[Holiday Name], (TIPS!K133 &gt;= Table3[start2]) * (TIPS!K133&lt;= Table3[end2])), "."))</f>
        <v>.</v>
      </c>
      <c r="K133" s="57">
        <v>45390</v>
      </c>
      <c r="L133" s="80" t="str">
        <v>AM</v>
      </c>
      <c r="M133" s="80" t="str">
        <v>April</v>
      </c>
      <c r="N133" s="80" t="str">
        <v>MON</v>
      </c>
      <c r="O133" s="81">
        <v>17.499027999999999</v>
      </c>
      <c r="P133" s="102" t="str">
        <v>DOUBLE</v>
      </c>
      <c r="Q133" s="189"/>
      <c r="R133" s="139"/>
    </row>
    <row r="134" spans="3:18" x14ac:dyDescent="0.35">
      <c r="C134" s="126">
        <v>45200</v>
      </c>
      <c r="D134" s="80" t="str">
        <v>PM</v>
      </c>
      <c r="E134" s="80" t="str">
        <v>October</v>
      </c>
      <c r="F134" s="80" t="str">
        <v>SUN</v>
      </c>
      <c r="G134" s="81">
        <v>200.75157999999999</v>
      </c>
      <c r="H134" s="102" t="str">
        <v>DOUBLE</v>
      </c>
      <c r="I134" s="95"/>
      <c r="J134" s="193" t="str" cm="1">
        <f t="array" ref="J134">_xlfn.TEXTJOIN(", ", TRUE, IFERROR(_xlfn._xlws.FILTER(Table3[Holiday Name], (TIPS!K134 &gt;= Table3[start2]) * (TIPS!K134&lt;= Table3[end2])), "."))</f>
        <v>.</v>
      </c>
      <c r="K134" s="57">
        <v>45392</v>
      </c>
      <c r="L134" s="80" t="str">
        <v>AM</v>
      </c>
      <c r="M134" s="80" t="str">
        <v>April</v>
      </c>
      <c r="N134" s="80" t="str">
        <v>WED</v>
      </c>
      <c r="O134" s="81">
        <v>56.53566</v>
      </c>
      <c r="P134" s="102" t="str">
        <v>DOUBLE</v>
      </c>
      <c r="Q134" s="189"/>
      <c r="R134" s="139"/>
    </row>
    <row r="135" spans="3:18" x14ac:dyDescent="0.35">
      <c r="C135" s="126">
        <v>45201</v>
      </c>
      <c r="D135" s="80" t="str">
        <v>PM</v>
      </c>
      <c r="E135" s="80" t="str">
        <v>October</v>
      </c>
      <c r="F135" s="80" t="str">
        <v>MON</v>
      </c>
      <c r="G135" s="81">
        <v>140.81690399999999</v>
      </c>
      <c r="H135" s="102" t="str">
        <v>SINGLE</v>
      </c>
      <c r="I135" s="95"/>
      <c r="J135" s="193" t="str" cm="1">
        <f t="array" ref="J135">_xlfn.TEXTJOIN(", ", TRUE, IFERROR(_xlfn._xlws.FILTER(Table3[Holiday Name], (TIPS!K135 &gt;= Table3[start2]) * (TIPS!K135&lt;= Table3[end2])), "."))</f>
        <v>Tax Day</v>
      </c>
      <c r="K135" s="57">
        <v>45394</v>
      </c>
      <c r="L135" s="80" t="str">
        <v>AM</v>
      </c>
      <c r="M135" s="80" t="str">
        <v>April</v>
      </c>
      <c r="N135" s="80" t="str">
        <v>FRI</v>
      </c>
      <c r="O135" s="81">
        <v>72.763332000000005</v>
      </c>
      <c r="P135" s="102" t="str">
        <v>DOUBLE</v>
      </c>
      <c r="Q135" s="189"/>
      <c r="R135" s="139"/>
    </row>
    <row r="136" spans="3:18" x14ac:dyDescent="0.35">
      <c r="C136" s="126">
        <v>45203</v>
      </c>
      <c r="D136" s="80" t="str">
        <v>AM</v>
      </c>
      <c r="E136" s="80" t="str">
        <v>October</v>
      </c>
      <c r="F136" s="80" t="str">
        <v>WED</v>
      </c>
      <c r="G136" s="81">
        <v>48.305231999999997</v>
      </c>
      <c r="H136" s="102" t="str">
        <v>SINGLE</v>
      </c>
      <c r="I136" s="95"/>
      <c r="J136" s="193" t="str" cm="1">
        <f t="array" ref="J136">_xlfn.TEXTJOIN(", ", TRUE, IFERROR(_xlfn._xlws.FILTER(Table3[Holiday Name], (TIPS!K136 &gt;= Table3[start2]) * (TIPS!K136&lt;= Table3[end2])), "."))</f>
        <v>Tax Day</v>
      </c>
      <c r="K136" s="57">
        <v>45394</v>
      </c>
      <c r="L136" s="80" t="str">
        <v>PM</v>
      </c>
      <c r="M136" s="80" t="str">
        <v>April</v>
      </c>
      <c r="N136" s="80" t="str">
        <v>FRI</v>
      </c>
      <c r="O136" s="81">
        <v>251.99614399999996</v>
      </c>
      <c r="P136" s="102" t="str">
        <v>DOUBLE</v>
      </c>
      <c r="Q136" s="189"/>
      <c r="R136" s="139"/>
    </row>
    <row r="137" spans="3:18" x14ac:dyDescent="0.35">
      <c r="C137" s="126">
        <v>45206</v>
      </c>
      <c r="D137" s="80" t="str">
        <v>PM</v>
      </c>
      <c r="E137" s="80" t="str">
        <v>October</v>
      </c>
      <c r="F137" s="80" t="str">
        <v>SAT</v>
      </c>
      <c r="G137" s="81">
        <v>146.1317</v>
      </c>
      <c r="H137" s="102" t="str">
        <v>SINGLE</v>
      </c>
      <c r="I137" s="95"/>
      <c r="J137" s="193" t="str" cm="1">
        <f t="array" ref="J137">_xlfn.TEXTJOIN(", ", TRUE, IFERROR(_xlfn._xlws.FILTER(Table3[Holiday Name], (TIPS!K137 &gt;= Table3[start2]) * (TIPS!K137&lt;= Table3[end2])), "."))</f>
        <v>Tax Day</v>
      </c>
      <c r="K137" s="57">
        <v>45396</v>
      </c>
      <c r="L137" s="80" t="str">
        <v>PM</v>
      </c>
      <c r="M137" s="80" t="str">
        <v>April</v>
      </c>
      <c r="N137" s="80" t="str">
        <v>SUN</v>
      </c>
      <c r="O137" s="81">
        <v>341.546808</v>
      </c>
      <c r="P137" s="102" t="str">
        <v>SINGLE</v>
      </c>
      <c r="Q137" s="189"/>
      <c r="R137" s="139"/>
    </row>
    <row r="138" spans="3:18" x14ac:dyDescent="0.35">
      <c r="C138" s="126">
        <v>45207</v>
      </c>
      <c r="D138" s="80" t="str">
        <v>PM</v>
      </c>
      <c r="E138" s="80" t="str">
        <v>October</v>
      </c>
      <c r="F138" s="80" t="str">
        <v>SUN</v>
      </c>
      <c r="G138" s="81">
        <v>249.44045599999998</v>
      </c>
      <c r="H138" s="102" t="str">
        <v>SINGLE</v>
      </c>
      <c r="I138" s="95"/>
      <c r="J138" s="193" t="str" cm="1">
        <f t="array" ref="J138">_xlfn.TEXTJOIN(", ", TRUE, IFERROR(_xlfn._xlws.FILTER(Table3[Holiday Name], (TIPS!K138 &gt;= Table3[start2]) * (TIPS!K138&lt;= Table3[end2])), "."))</f>
        <v>Tax Day</v>
      </c>
      <c r="K138" s="57">
        <v>45399</v>
      </c>
      <c r="L138" s="80" t="str">
        <v>AM</v>
      </c>
      <c r="M138" s="80" t="str">
        <v>April</v>
      </c>
      <c r="N138" s="80" t="str">
        <v>WED</v>
      </c>
      <c r="O138" s="81">
        <v>69.276480000000006</v>
      </c>
      <c r="P138" s="102" t="str">
        <v>DOUBLE</v>
      </c>
      <c r="Q138" s="189"/>
      <c r="R138" s="139"/>
    </row>
    <row r="139" spans="3:18" ht="29" x14ac:dyDescent="0.35">
      <c r="C139" s="126">
        <v>45208</v>
      </c>
      <c r="D139" s="80" t="str">
        <v>PM</v>
      </c>
      <c r="E139" s="80" t="str">
        <v>October</v>
      </c>
      <c r="F139" s="80" t="str">
        <v>MON</v>
      </c>
      <c r="G139" s="81">
        <v>231.20622</v>
      </c>
      <c r="H139" s="102" t="str">
        <v>SINGLE</v>
      </c>
      <c r="I139" s="95"/>
      <c r="J139" s="193" t="str" cm="1">
        <f t="array" ref="J139">_xlfn.TEXTJOIN(", ", TRUE, IFERROR(_xlfn._xlws.FILTER(Table3[Holiday Name], (TIPS!K139 &gt;= Table3[start2]) * (TIPS!K139&lt;= Table3[end2])), "."))</f>
        <v>Administrative Professionals Day</v>
      </c>
      <c r="K139" s="57">
        <v>45404</v>
      </c>
      <c r="L139" s="80" t="str">
        <v>AM</v>
      </c>
      <c r="M139" s="80" t="str">
        <v>April</v>
      </c>
      <c r="N139" s="80" t="str">
        <v>MON</v>
      </c>
      <c r="O139" s="81">
        <v>37.632892000000005</v>
      </c>
      <c r="P139" s="102" t="str">
        <v>SINGLE</v>
      </c>
      <c r="Q139" s="189"/>
      <c r="R139" s="139"/>
    </row>
    <row r="140" spans="3:18" ht="29" x14ac:dyDescent="0.35">
      <c r="C140" s="126">
        <v>45209</v>
      </c>
      <c r="D140" s="80" t="str">
        <v>PM</v>
      </c>
      <c r="E140" s="80" t="str">
        <v>October</v>
      </c>
      <c r="F140" s="80" t="str">
        <v>TUE</v>
      </c>
      <c r="G140" s="81">
        <v>162.29396800000001</v>
      </c>
      <c r="H140" s="102" t="str">
        <v>SINGLE</v>
      </c>
      <c r="I140" s="95"/>
      <c r="J140" s="193" t="str" cm="1">
        <f t="array" ref="J140">_xlfn.TEXTJOIN(", ", TRUE, IFERROR(_xlfn._xlws.FILTER(Table3[Holiday Name], (TIPS!K140 &gt;= Table3[start2]) * (TIPS!K140&lt;= Table3[end2])), "."))</f>
        <v>Administrative Professionals Day</v>
      </c>
      <c r="K140" s="57">
        <v>45408</v>
      </c>
      <c r="L140" s="80" t="str">
        <v>PM</v>
      </c>
      <c r="M140" s="80" t="str">
        <v>April</v>
      </c>
      <c r="N140" s="80" t="str">
        <v>FRI</v>
      </c>
      <c r="O140" s="81">
        <v>284.76803999999998</v>
      </c>
      <c r="P140" s="102" t="str">
        <v>SINGLE</v>
      </c>
      <c r="Q140" s="189"/>
      <c r="R140" s="139"/>
    </row>
    <row r="141" spans="3:18" x14ac:dyDescent="0.35">
      <c r="C141" s="126">
        <v>45210</v>
      </c>
      <c r="D141" s="80" t="str">
        <v>PM</v>
      </c>
      <c r="E141" s="80" t="str">
        <v>October</v>
      </c>
      <c r="F141" s="80" t="str">
        <v>WED</v>
      </c>
      <c r="G141" s="81">
        <v>31.566172000000002</v>
      </c>
      <c r="H141" s="102" t="str">
        <v>SINGLE</v>
      </c>
      <c r="I141" s="95"/>
      <c r="J141" s="193" t="str" cm="1">
        <f t="array" ref="J141">_xlfn.TEXTJOIN(", ", TRUE, IFERROR(_xlfn._xlws.FILTER(Table3[Holiday Name], (TIPS!K141 &gt;= Table3[start2]) * (TIPS!K141&lt;= Table3[end2])), "."))</f>
        <v>.</v>
      </c>
      <c r="K141" s="57">
        <v>45410</v>
      </c>
      <c r="L141" s="80" t="str">
        <v>PM</v>
      </c>
      <c r="M141" s="80" t="str">
        <v>April</v>
      </c>
      <c r="N141" s="80" t="str">
        <v>SUN</v>
      </c>
      <c r="O141" s="81">
        <v>309.659424</v>
      </c>
      <c r="P141" s="102" t="str">
        <v>SINGLE</v>
      </c>
      <c r="Q141" s="189"/>
      <c r="R141" s="139"/>
    </row>
    <row r="142" spans="3:18" x14ac:dyDescent="0.35">
      <c r="C142" s="126">
        <v>45211</v>
      </c>
      <c r="D142" s="80" t="str">
        <v>PM</v>
      </c>
      <c r="E142" s="80" t="str">
        <v>October</v>
      </c>
      <c r="F142" s="80" t="str">
        <v>THU</v>
      </c>
      <c r="G142" s="81">
        <v>50.00262</v>
      </c>
      <c r="H142" s="102" t="str">
        <v>SINGLE</v>
      </c>
      <c r="I142" s="95"/>
      <c r="J142" s="193" t="str" cm="1">
        <f t="array" ref="J142">_xlfn.TEXTJOIN(", ", TRUE, IFERROR(_xlfn._xlws.FILTER(Table3[Holiday Name], (TIPS!K142 &gt;= Table3[start2]) * (TIPS!K142&lt;= Table3[end2])), "."))</f>
        <v>.</v>
      </c>
      <c r="K142" s="57">
        <v>45415</v>
      </c>
      <c r="L142" s="80" t="str">
        <v>PM</v>
      </c>
      <c r="M142" s="80" t="str">
        <v>May</v>
      </c>
      <c r="N142" s="80" t="str">
        <v>FRI</v>
      </c>
      <c r="O142" s="81">
        <v>262.33873999999997</v>
      </c>
      <c r="P142" s="102" t="str">
        <v>SINGLE</v>
      </c>
      <c r="Q142" s="189"/>
      <c r="R142" s="139"/>
    </row>
    <row r="143" spans="3:18" x14ac:dyDescent="0.35">
      <c r="C143" s="126">
        <v>45214</v>
      </c>
      <c r="D143" s="80" t="str">
        <v>PM</v>
      </c>
      <c r="E143" s="80" t="str">
        <v>October</v>
      </c>
      <c r="F143" s="80" t="str">
        <v>SUN</v>
      </c>
      <c r="G143" s="81">
        <v>137.80432400000001</v>
      </c>
      <c r="H143" s="102" t="str">
        <v>SINGLE</v>
      </c>
      <c r="I143" s="95"/>
      <c r="J143" s="193" t="str" cm="1">
        <f t="array" ref="J143">_xlfn.TEXTJOIN(", ", TRUE, IFERROR(_xlfn._xlws.FILTER(Table3[Holiday Name], (TIPS!K143 &gt;= Table3[start2]) * (TIPS!K143&lt;= Table3[end2])), "."))</f>
        <v>.</v>
      </c>
      <c r="K143" s="57">
        <v>45417</v>
      </c>
      <c r="L143" s="80" t="str">
        <v>PM</v>
      </c>
      <c r="M143" s="80" t="str">
        <v>May</v>
      </c>
      <c r="N143" s="80" t="str">
        <v>SUN</v>
      </c>
      <c r="O143" s="81">
        <v>330.93636000000004</v>
      </c>
      <c r="P143" s="102" t="str">
        <v>SINGLE</v>
      </c>
      <c r="Q143" s="189"/>
      <c r="R143" s="139"/>
    </row>
    <row r="144" spans="3:18" x14ac:dyDescent="0.35">
      <c r="C144" s="126">
        <v>45215</v>
      </c>
      <c r="D144" s="80" t="str">
        <v>PM</v>
      </c>
      <c r="E144" s="80" t="str">
        <v>October</v>
      </c>
      <c r="F144" s="80" t="str">
        <v>MON</v>
      </c>
      <c r="G144" s="81">
        <v>242.09894400000002</v>
      </c>
      <c r="H144" s="102" t="str">
        <v>SINGLE</v>
      </c>
      <c r="I144" s="95"/>
      <c r="J144" s="193" t="str" cm="1">
        <f t="array" ref="J144">_xlfn.TEXTJOIN(", ", TRUE, IFERROR(_xlfn._xlws.FILTER(Table3[Holiday Name], (TIPS!K144 &gt;= Table3[start2]) * (TIPS!K144&lt;= Table3[end2])), "."))</f>
        <v>Mother's Day</v>
      </c>
      <c r="K144" s="57">
        <v>45425</v>
      </c>
      <c r="L144" s="80" t="str">
        <v>AM</v>
      </c>
      <c r="M144" s="80" t="str">
        <v>May</v>
      </c>
      <c r="N144" s="80" t="str">
        <v>MON</v>
      </c>
      <c r="O144" s="81">
        <v>74.6875</v>
      </c>
      <c r="P144" s="102" t="str">
        <v>SINGLE</v>
      </c>
      <c r="Q144" s="189"/>
      <c r="R144" s="139"/>
    </row>
    <row r="145" spans="3:18" x14ac:dyDescent="0.35">
      <c r="C145" s="126">
        <v>45216</v>
      </c>
      <c r="D145" s="80" t="str">
        <v>AM</v>
      </c>
      <c r="E145" s="80" t="str">
        <v>October</v>
      </c>
      <c r="F145" s="80" t="str">
        <v>TUE</v>
      </c>
      <c r="G145" s="81">
        <v>115.57019199999999</v>
      </c>
      <c r="H145" s="102" t="str">
        <v>DOUBLE</v>
      </c>
      <c r="I145" s="95"/>
      <c r="J145" s="193" t="str" cm="1">
        <f t="array" ref="J145">_xlfn.TEXTJOIN(", ", TRUE, IFERROR(_xlfn._xlws.FILTER(Table3[Holiday Name], (TIPS!K145 &gt;= Table3[start2]) * (TIPS!K145&lt;= Table3[end2])), "."))</f>
        <v>.</v>
      </c>
      <c r="K145" s="57">
        <v>45430</v>
      </c>
      <c r="L145" s="80" t="str">
        <v>PM</v>
      </c>
      <c r="M145" s="80" t="str">
        <v>May</v>
      </c>
      <c r="N145" s="80" t="str">
        <v>SAT</v>
      </c>
      <c r="O145" s="81">
        <v>280.04757199999995</v>
      </c>
      <c r="P145" s="102" t="str">
        <v>DOUBLE</v>
      </c>
      <c r="Q145" s="189"/>
      <c r="R145" s="139"/>
    </row>
    <row r="146" spans="3:18" x14ac:dyDescent="0.35">
      <c r="C146" s="126">
        <v>45216</v>
      </c>
      <c r="D146" s="80" t="str">
        <v>PM</v>
      </c>
      <c r="E146" s="80" t="str">
        <v>October</v>
      </c>
      <c r="F146" s="80" t="str">
        <v>TUE</v>
      </c>
      <c r="G146" s="81">
        <v>39.669471999999999</v>
      </c>
      <c r="H146" s="102" t="str">
        <v>DOUBLE</v>
      </c>
      <c r="I146" s="95"/>
      <c r="J146" s="193" t="str" cm="1">
        <f t="array" ref="J146">_xlfn.TEXTJOIN(", ", TRUE, IFERROR(_xlfn._xlws.FILTER(Table3[Holiday Name], (TIPS!K146 &gt;= Table3[start2]) * (TIPS!K146&lt;= Table3[end2])), "."))</f>
        <v>Memorial Day</v>
      </c>
      <c r="K146" s="57">
        <v>45436</v>
      </c>
      <c r="L146" s="80" t="str">
        <v>AM</v>
      </c>
      <c r="M146" s="80" t="str">
        <v>May</v>
      </c>
      <c r="N146" s="80" t="str">
        <v>FRI</v>
      </c>
      <c r="O146" s="81">
        <v>92.010459999999995</v>
      </c>
      <c r="P146" s="102" t="str">
        <v>DOUBLE</v>
      </c>
      <c r="Q146" s="189"/>
      <c r="R146" s="139"/>
    </row>
    <row r="147" spans="3:18" x14ac:dyDescent="0.35">
      <c r="C147" s="126">
        <v>45217</v>
      </c>
      <c r="D147" s="80" t="str">
        <v>PM</v>
      </c>
      <c r="E147" s="80" t="str">
        <v>October</v>
      </c>
      <c r="F147" s="80" t="str">
        <v>WED</v>
      </c>
      <c r="G147" s="81">
        <v>188.66008000000002</v>
      </c>
      <c r="H147" s="102" t="str">
        <v>SINGLE</v>
      </c>
      <c r="I147" s="95"/>
      <c r="J147" s="193" t="str" cm="1">
        <f t="array" ref="J147">_xlfn.TEXTJOIN(", ", TRUE, IFERROR(_xlfn._xlws.FILTER(Table3[Holiday Name], (TIPS!K147 &gt;= Table3[start2]) * (TIPS!K147&lt;= Table3[end2])), "."))</f>
        <v>.</v>
      </c>
      <c r="K147" s="57"/>
      <c r="L147" s="80"/>
      <c r="M147" s="80"/>
      <c r="N147" s="80"/>
      <c r="O147" s="81"/>
      <c r="P147" s="102"/>
      <c r="Q147" s="190"/>
      <c r="R147" s="139"/>
    </row>
    <row r="148" spans="3:18" x14ac:dyDescent="0.35">
      <c r="C148" s="126">
        <v>45218</v>
      </c>
      <c r="D148" s="80" t="str">
        <v>PM</v>
      </c>
      <c r="E148" s="80" t="str">
        <v>October</v>
      </c>
      <c r="F148" s="80" t="str">
        <v>THU</v>
      </c>
      <c r="G148" s="81">
        <v>156.47206000000003</v>
      </c>
      <c r="H148" s="102" t="str">
        <v>SINGLE</v>
      </c>
      <c r="I148" s="95"/>
      <c r="J148" s="193" t="str" cm="1">
        <f t="array" ref="J148">_xlfn.TEXTJOIN(", ", TRUE, IFERROR(_xlfn._xlws.FILTER(Table3[Holiday Name], (TIPS!K148 &gt;= Table3[start2]) * (TIPS!K148&lt;= Table3[end2])), "."))</f>
        <v>.</v>
      </c>
      <c r="K148" s="57"/>
      <c r="L148" s="80"/>
      <c r="M148" s="80"/>
      <c r="N148" s="80"/>
      <c r="O148" s="81"/>
      <c r="P148" s="102"/>
      <c r="Q148" s="190"/>
      <c r="R148" s="139"/>
    </row>
    <row r="149" spans="3:18" x14ac:dyDescent="0.35">
      <c r="C149" s="126">
        <v>45221</v>
      </c>
      <c r="D149" s="80" t="str">
        <v>PM</v>
      </c>
      <c r="E149" s="80" t="str">
        <v>October</v>
      </c>
      <c r="F149" s="80" t="str">
        <v>SUN</v>
      </c>
      <c r="G149" s="81">
        <v>174.95838000000001</v>
      </c>
      <c r="H149" s="102" t="str">
        <v>SINGLE</v>
      </c>
      <c r="I149" s="95"/>
      <c r="J149" s="193" t="str" cm="1">
        <f t="array" ref="J149">_xlfn.TEXTJOIN(", ", TRUE, IFERROR(_xlfn._xlws.FILTER(Table3[Holiday Name], (TIPS!K149 &gt;= Table3[start2]) * (TIPS!K149&lt;= Table3[end2])), "."))</f>
        <v>.</v>
      </c>
      <c r="K149" s="57"/>
      <c r="L149" s="80"/>
      <c r="M149" s="80"/>
      <c r="N149" s="80"/>
      <c r="O149" s="81"/>
      <c r="P149" s="102"/>
      <c r="Q149" s="190"/>
      <c r="R149" s="139"/>
    </row>
    <row r="150" spans="3:18" x14ac:dyDescent="0.35">
      <c r="C150" s="126">
        <v>45222</v>
      </c>
      <c r="D150" s="80" t="str">
        <v>PM</v>
      </c>
      <c r="E150" s="80" t="str">
        <v>October</v>
      </c>
      <c r="F150" s="80" t="str">
        <v>MON</v>
      </c>
      <c r="G150" s="81">
        <v>204.05530799999997</v>
      </c>
      <c r="H150" s="102" t="str">
        <v>SINGLE</v>
      </c>
      <c r="I150" s="95"/>
      <c r="J150" s="193" t="str" cm="1">
        <f t="array" ref="J150">_xlfn.TEXTJOIN(", ", TRUE, IFERROR(_xlfn._xlws.FILTER(Table3[Holiday Name], (TIPS!K150 &gt;= Table3[start2]) * (TIPS!K150&lt;= Table3[end2])), "."))</f>
        <v>.</v>
      </c>
      <c r="K150" s="57"/>
      <c r="L150" s="80"/>
      <c r="M150" s="80"/>
      <c r="N150" s="80"/>
      <c r="O150" s="81"/>
      <c r="P150" s="102"/>
      <c r="Q150" s="190"/>
      <c r="R150" s="139"/>
    </row>
    <row r="151" spans="3:18" x14ac:dyDescent="0.35">
      <c r="C151" s="126">
        <v>45223</v>
      </c>
      <c r="D151" s="80" t="str">
        <v>AM</v>
      </c>
      <c r="E151" s="80" t="str">
        <v>October</v>
      </c>
      <c r="F151" s="80" t="str">
        <v>TUE</v>
      </c>
      <c r="G151" s="81">
        <v>102.89900799999999</v>
      </c>
      <c r="H151" s="102" t="str">
        <v>DOUBLE</v>
      </c>
      <c r="I151" s="95"/>
      <c r="J151" s="193" t="str" cm="1">
        <f t="array" ref="J151">_xlfn.TEXTJOIN(", ", TRUE, IFERROR(_xlfn._xlws.FILTER(Table3[Holiday Name], (TIPS!K151 &gt;= Table3[start2]) * (TIPS!K151&lt;= Table3[end2])), "."))</f>
        <v>.</v>
      </c>
      <c r="K151" s="57"/>
      <c r="L151" s="80"/>
      <c r="M151" s="80"/>
      <c r="N151" s="80"/>
      <c r="O151" s="81"/>
      <c r="P151" s="102"/>
      <c r="Q151" s="190"/>
      <c r="R151" s="139"/>
    </row>
    <row r="152" spans="3:18" x14ac:dyDescent="0.35">
      <c r="C152" s="126">
        <v>45223</v>
      </c>
      <c r="D152" s="80" t="str">
        <v>PM</v>
      </c>
      <c r="E152" s="80" t="str">
        <v>October</v>
      </c>
      <c r="F152" s="80" t="str">
        <v>TUE</v>
      </c>
      <c r="G152" s="81">
        <v>90.058800000000005</v>
      </c>
      <c r="H152" s="102" t="str">
        <v>DOUBLE</v>
      </c>
      <c r="I152" s="95"/>
      <c r="J152" s="193" t="str" cm="1">
        <f t="array" ref="J152">_xlfn.TEXTJOIN(", ", TRUE, IFERROR(_xlfn._xlws.FILTER(Table3[Holiday Name], (TIPS!K152 &gt;= Table3[start2]) * (TIPS!K152&lt;= Table3[end2])), "."))</f>
        <v>.</v>
      </c>
      <c r="K152" s="57"/>
      <c r="L152" s="80"/>
      <c r="M152" s="80"/>
      <c r="N152" s="80"/>
      <c r="O152" s="81"/>
      <c r="P152" s="102"/>
      <c r="Q152" s="190"/>
      <c r="R152" s="139"/>
    </row>
    <row r="153" spans="3:18" x14ac:dyDescent="0.35">
      <c r="C153" s="126">
        <v>45224</v>
      </c>
      <c r="D153" s="80" t="str">
        <v>AM</v>
      </c>
      <c r="E153" s="80" t="str">
        <v>October</v>
      </c>
      <c r="F153" s="80" t="str">
        <v>WED</v>
      </c>
      <c r="G153" s="81">
        <v>60.758799999999994</v>
      </c>
      <c r="H153" s="102" t="str">
        <v>SINGLE</v>
      </c>
      <c r="I153" s="95"/>
      <c r="J153" s="193" t="str" cm="1">
        <f t="array" ref="J153">_xlfn.TEXTJOIN(", ", TRUE, IFERROR(_xlfn._xlws.FILTER(Table3[Holiday Name], (TIPS!K153 &gt;= Table3[start2]) * (TIPS!K153&lt;= Table3[end2])), "."))</f>
        <v>.</v>
      </c>
      <c r="K153" s="57"/>
      <c r="L153" s="80"/>
      <c r="M153" s="80"/>
      <c r="N153" s="80"/>
      <c r="O153" s="81"/>
      <c r="P153" s="102"/>
      <c r="Q153" s="190"/>
      <c r="R153" s="139"/>
    </row>
    <row r="154" spans="3:18" x14ac:dyDescent="0.35">
      <c r="C154" s="126">
        <v>45226</v>
      </c>
      <c r="D154" s="80" t="str">
        <v>PM</v>
      </c>
      <c r="E154" s="80" t="str">
        <v>October</v>
      </c>
      <c r="F154" s="80" t="str">
        <v>FRI</v>
      </c>
      <c r="G154" s="81">
        <v>198.68506400000001</v>
      </c>
      <c r="H154" s="102" t="str">
        <v>SINGLE</v>
      </c>
      <c r="I154" s="95"/>
      <c r="J154" s="193" t="str" cm="1">
        <f t="array" ref="J154">_xlfn.TEXTJOIN(", ", TRUE, IFERROR(_xlfn._xlws.FILTER(Table3[Holiday Name], (TIPS!K154 &gt;= Table3[start2]) * (TIPS!K154&lt;= Table3[end2])), "."))</f>
        <v>.</v>
      </c>
      <c r="K154" s="57"/>
      <c r="L154" s="80"/>
      <c r="M154" s="80"/>
      <c r="N154" s="80"/>
      <c r="O154" s="81"/>
      <c r="P154" s="102"/>
      <c r="Q154" s="190"/>
      <c r="R154" s="139"/>
    </row>
    <row r="155" spans="3:18" x14ac:dyDescent="0.35">
      <c r="C155" s="126">
        <v>45227</v>
      </c>
      <c r="D155" s="80" t="str">
        <v>PM</v>
      </c>
      <c r="E155" s="80" t="str">
        <v>October</v>
      </c>
      <c r="F155" s="80" t="str">
        <v>SAT</v>
      </c>
      <c r="G155" s="81">
        <v>220.97762</v>
      </c>
      <c r="H155" s="102" t="str">
        <v>SINGLE</v>
      </c>
      <c r="I155" s="95"/>
      <c r="J155" s="193" t="str" cm="1">
        <f t="array" ref="J155">_xlfn.TEXTJOIN(", ", TRUE, IFERROR(_xlfn._xlws.FILTER(Table3[Holiday Name], (TIPS!K155 &gt;= Table3[start2]) * (TIPS!K155&lt;= Table3[end2])), "."))</f>
        <v>.</v>
      </c>
      <c r="K155" s="57"/>
      <c r="L155" s="80"/>
      <c r="M155" s="80"/>
      <c r="N155" s="80"/>
      <c r="O155" s="81"/>
      <c r="P155" s="102"/>
      <c r="Q155" s="190"/>
      <c r="R155" s="139"/>
    </row>
    <row r="156" spans="3:18" x14ac:dyDescent="0.35">
      <c r="C156" s="126">
        <v>45229</v>
      </c>
      <c r="D156" s="80" t="str">
        <v>PM</v>
      </c>
      <c r="E156" s="80" t="str">
        <v>October</v>
      </c>
      <c r="F156" s="80" t="str">
        <v>MON</v>
      </c>
      <c r="G156" s="81">
        <v>99.087248000000002</v>
      </c>
      <c r="H156" s="102" t="str">
        <v>SINGLE</v>
      </c>
      <c r="I156" s="95"/>
      <c r="J156" s="193" t="str" cm="1">
        <f t="array" ref="J156">_xlfn.TEXTJOIN(", ", TRUE, IFERROR(_xlfn._xlws.FILTER(Table3[Holiday Name], (TIPS!K156 &gt;= Table3[start2]) * (TIPS!K156&lt;= Table3[end2])), "."))</f>
        <v>.</v>
      </c>
      <c r="K156" s="57"/>
      <c r="L156" s="80"/>
      <c r="M156" s="80"/>
      <c r="N156" s="80"/>
      <c r="O156" s="81"/>
      <c r="P156" s="102"/>
      <c r="Q156" s="190"/>
      <c r="R156" s="139"/>
    </row>
    <row r="157" spans="3:18" x14ac:dyDescent="0.35">
      <c r="C157" s="126">
        <v>45230</v>
      </c>
      <c r="D157" s="80" t="str">
        <v>AM</v>
      </c>
      <c r="E157" s="80" t="str">
        <v>October</v>
      </c>
      <c r="F157" s="80" t="str">
        <v>TUE</v>
      </c>
      <c r="G157" s="81">
        <v>71.073899999999995</v>
      </c>
      <c r="H157" s="102" t="str">
        <v>DOUBLE</v>
      </c>
      <c r="I157" s="95"/>
      <c r="J157" s="193" t="str" cm="1">
        <f t="array" ref="J157">_xlfn.TEXTJOIN(", ", TRUE, IFERROR(_xlfn._xlws.FILTER(Table3[Holiday Name], (TIPS!K157 &gt;= Table3[start2]) * (TIPS!K157&lt;= Table3[end2])), "."))</f>
        <v>.</v>
      </c>
      <c r="K157" s="57"/>
      <c r="L157" s="80"/>
      <c r="M157" s="80"/>
      <c r="N157" s="80"/>
      <c r="O157" s="81"/>
      <c r="P157" s="102"/>
      <c r="Q157" s="190"/>
      <c r="R157" s="139"/>
    </row>
    <row r="158" spans="3:18" x14ac:dyDescent="0.35">
      <c r="C158" s="126">
        <v>45230</v>
      </c>
      <c r="D158" s="80" t="str">
        <v>PM</v>
      </c>
      <c r="E158" s="80" t="str">
        <v>October</v>
      </c>
      <c r="F158" s="80" t="str">
        <v>TUE</v>
      </c>
      <c r="G158" s="81">
        <v>94.832580000000007</v>
      </c>
      <c r="H158" s="102" t="str">
        <v>DOUBLE</v>
      </c>
      <c r="I158" s="95"/>
      <c r="J158" s="193" t="str" cm="1">
        <f t="array" ref="J158">_xlfn.TEXTJOIN(", ", TRUE, IFERROR(_xlfn._xlws.FILTER(Table3[Holiday Name], (TIPS!K158 &gt;= Table3[start2]) * (TIPS!K158&lt;= Table3[end2])), "."))</f>
        <v>.</v>
      </c>
      <c r="K158" s="57"/>
      <c r="L158" s="80"/>
      <c r="M158" s="80"/>
      <c r="N158" s="80"/>
      <c r="O158" s="81"/>
      <c r="P158" s="102"/>
      <c r="Q158" s="190"/>
      <c r="R158" s="139"/>
    </row>
    <row r="159" spans="3:18" x14ac:dyDescent="0.35">
      <c r="C159" s="126">
        <v>45233</v>
      </c>
      <c r="D159" s="80" t="str">
        <v>PM</v>
      </c>
      <c r="E159" s="80" t="str">
        <v>November</v>
      </c>
      <c r="F159" s="80" t="str">
        <v>FRI</v>
      </c>
      <c r="G159" s="81">
        <v>333.18904399999997</v>
      </c>
      <c r="H159" s="102" t="str">
        <v>SINGLE</v>
      </c>
      <c r="I159" s="95"/>
      <c r="J159" s="193" t="str" cm="1">
        <f t="array" ref="J159">_xlfn.TEXTJOIN(", ", TRUE, IFERROR(_xlfn._xlws.FILTER(Table3[Holiday Name], (TIPS!K159 &gt;= Table3[start2]) * (TIPS!K159&lt;= Table3[end2])), "."))</f>
        <v>.</v>
      </c>
      <c r="K159" s="57"/>
      <c r="L159" s="80"/>
      <c r="M159" s="80"/>
      <c r="N159" s="80"/>
      <c r="O159" s="81"/>
      <c r="P159" s="102"/>
      <c r="Q159" s="190"/>
      <c r="R159" s="139"/>
    </row>
    <row r="160" spans="3:18" x14ac:dyDescent="0.35">
      <c r="C160" s="126">
        <v>45234</v>
      </c>
      <c r="D160" s="80" t="str">
        <v>PM</v>
      </c>
      <c r="E160" s="80" t="str">
        <v>November</v>
      </c>
      <c r="F160" s="80" t="str">
        <v>SAT</v>
      </c>
      <c r="G160" s="81">
        <v>194.315012</v>
      </c>
      <c r="H160" s="102" t="str">
        <v>SINGLE</v>
      </c>
      <c r="I160" s="95"/>
      <c r="J160" s="193" t="str" cm="1">
        <f t="array" ref="J160">_xlfn.TEXTJOIN(", ", TRUE, IFERROR(_xlfn._xlws.FILTER(Table3[Holiday Name], (TIPS!K160 &gt;= Table3[start2]) * (TIPS!K160&lt;= Table3[end2])), "."))</f>
        <v>.</v>
      </c>
      <c r="K160" s="57"/>
      <c r="L160" s="80"/>
      <c r="M160" s="80"/>
      <c r="N160" s="80"/>
      <c r="O160" s="81"/>
      <c r="P160" s="102"/>
      <c r="Q160" s="190"/>
      <c r="R160" s="139"/>
    </row>
    <row r="161" spans="3:18" x14ac:dyDescent="0.35">
      <c r="C161" s="126">
        <v>45236</v>
      </c>
      <c r="D161" s="80" t="str">
        <v>PM</v>
      </c>
      <c r="E161" s="80" t="str">
        <v>November</v>
      </c>
      <c r="F161" s="80" t="str">
        <v>MON</v>
      </c>
      <c r="G161" s="81">
        <v>193.85134399999998</v>
      </c>
      <c r="H161" s="102" t="str">
        <v>SINGLE</v>
      </c>
      <c r="I161" s="95"/>
      <c r="J161" s="193" t="str" cm="1">
        <f t="array" ref="J161">_xlfn.TEXTJOIN(", ", TRUE, IFERROR(_xlfn._xlws.FILTER(Table3[Holiday Name], (TIPS!K161 &gt;= Table3[start2]) * (TIPS!K161&lt;= Table3[end2])), "."))</f>
        <v>.</v>
      </c>
      <c r="K161" s="57"/>
      <c r="L161" s="80"/>
      <c r="M161" s="80"/>
      <c r="N161" s="80"/>
      <c r="O161" s="81"/>
      <c r="P161" s="102"/>
      <c r="Q161" s="190"/>
      <c r="R161" s="139"/>
    </row>
    <row r="162" spans="3:18" x14ac:dyDescent="0.35">
      <c r="C162" s="126">
        <v>45237</v>
      </c>
      <c r="D162" s="80" t="str">
        <v>AM</v>
      </c>
      <c r="E162" s="80" t="str">
        <v>November</v>
      </c>
      <c r="F162" s="80" t="str">
        <v>TUE</v>
      </c>
      <c r="G162" s="81">
        <v>98.136363999999986</v>
      </c>
      <c r="H162" s="102" t="str">
        <v>DOUBLE</v>
      </c>
      <c r="I162" s="95"/>
      <c r="J162" s="193" t="str" cm="1">
        <f t="array" ref="J162">_xlfn.TEXTJOIN(", ", TRUE, IFERROR(_xlfn._xlws.FILTER(Table3[Holiday Name], (TIPS!K162 &gt;= Table3[start2]) * (TIPS!K162&lt;= Table3[end2])), "."))</f>
        <v>.</v>
      </c>
      <c r="K162" s="57"/>
      <c r="L162" s="80"/>
      <c r="M162" s="80"/>
      <c r="N162" s="80"/>
      <c r="O162" s="81"/>
      <c r="P162" s="102"/>
      <c r="Q162" s="190"/>
      <c r="R162" s="139"/>
    </row>
    <row r="163" spans="3:18" x14ac:dyDescent="0.35">
      <c r="C163" s="126">
        <v>45237</v>
      </c>
      <c r="D163" s="80" t="str">
        <v>PM</v>
      </c>
      <c r="E163" s="80" t="str">
        <v>November</v>
      </c>
      <c r="F163" s="80" t="str">
        <v>TUE</v>
      </c>
      <c r="G163" s="81">
        <v>176.85569600000002</v>
      </c>
      <c r="H163" s="102" t="str">
        <v>DOUBLE</v>
      </c>
      <c r="I163" s="95"/>
      <c r="J163" s="193" t="str" cm="1">
        <f t="array" ref="J163">_xlfn.TEXTJOIN(", ", TRUE, IFERROR(_xlfn._xlws.FILTER(Table3[Holiday Name], (TIPS!K163 &gt;= Table3[start2]) * (TIPS!K163&lt;= Table3[end2])), "."))</f>
        <v>.</v>
      </c>
      <c r="K163" s="57"/>
      <c r="L163" s="80"/>
      <c r="M163" s="80"/>
      <c r="N163" s="80"/>
      <c r="O163" s="81"/>
      <c r="P163" s="102"/>
      <c r="Q163" s="190"/>
      <c r="R163" s="139"/>
    </row>
    <row r="164" spans="3:18" x14ac:dyDescent="0.35">
      <c r="C164" s="126">
        <v>45240</v>
      </c>
      <c r="D164" s="80" t="str">
        <v>PM</v>
      </c>
      <c r="E164" s="80" t="str">
        <v>November</v>
      </c>
      <c r="F164" s="80" t="str">
        <v>FRI</v>
      </c>
      <c r="G164" s="81">
        <v>236.089088</v>
      </c>
      <c r="H164" s="102" t="str">
        <v>SINGLE</v>
      </c>
      <c r="I164" s="95"/>
      <c r="J164" s="193" t="str" cm="1">
        <f t="array" ref="J164">_xlfn.TEXTJOIN(", ", TRUE, IFERROR(_xlfn._xlws.FILTER(Table3[Holiday Name], (TIPS!K164 &gt;= Table3[start2]) * (TIPS!K164&lt;= Table3[end2])), "."))</f>
        <v>.</v>
      </c>
      <c r="K164" s="57"/>
      <c r="L164" s="80"/>
      <c r="M164" s="80"/>
      <c r="N164" s="80"/>
      <c r="O164" s="81"/>
      <c r="P164" s="102"/>
      <c r="Q164" s="190"/>
      <c r="R164" s="139"/>
    </row>
    <row r="165" spans="3:18" x14ac:dyDescent="0.35">
      <c r="C165" s="126">
        <v>45241</v>
      </c>
      <c r="D165" s="80" t="str">
        <v>PM</v>
      </c>
      <c r="E165" s="80" t="str">
        <v>November</v>
      </c>
      <c r="F165" s="80" t="str">
        <v>SAT</v>
      </c>
      <c r="G165" s="81">
        <v>205.845732</v>
      </c>
      <c r="H165" s="102" t="str">
        <v>SINGLE</v>
      </c>
      <c r="I165" s="95"/>
      <c r="J165" s="193" t="str" cm="1">
        <f t="array" ref="J165">_xlfn.TEXTJOIN(", ", TRUE, IFERROR(_xlfn._xlws.FILTER(Table3[Holiday Name], (TIPS!K165 &gt;= Table3[start2]) * (TIPS!K165&lt;= Table3[end2])), "."))</f>
        <v>.</v>
      </c>
      <c r="K165" s="57"/>
      <c r="L165" s="80"/>
      <c r="M165" s="80"/>
      <c r="N165" s="80"/>
      <c r="O165" s="81"/>
      <c r="P165" s="102"/>
      <c r="Q165" s="190"/>
      <c r="R165" s="139"/>
    </row>
    <row r="166" spans="3:18" x14ac:dyDescent="0.35">
      <c r="C166" s="126">
        <v>45242</v>
      </c>
      <c r="D166" s="80" t="str">
        <v>PM</v>
      </c>
      <c r="E166" s="80" t="str">
        <v>November</v>
      </c>
      <c r="F166" s="80" t="str">
        <v>SUN</v>
      </c>
      <c r="G166" s="81">
        <v>210.13176400000003</v>
      </c>
      <c r="H166" s="102" t="str">
        <v>SINGLE</v>
      </c>
      <c r="I166" s="95"/>
      <c r="J166" s="193" t="str" cm="1">
        <f t="array" ref="J166">_xlfn.TEXTJOIN(", ", TRUE, IFERROR(_xlfn._xlws.FILTER(Table3[Holiday Name], (TIPS!K166 &gt;= Table3[start2]) * (TIPS!K166&lt;= Table3[end2])), "."))</f>
        <v>.</v>
      </c>
      <c r="K166" s="57"/>
      <c r="L166" s="80"/>
      <c r="M166" s="80"/>
      <c r="N166" s="80"/>
      <c r="O166" s="81"/>
      <c r="P166" s="102"/>
      <c r="Q166" s="190"/>
      <c r="R166" s="139"/>
    </row>
    <row r="167" spans="3:18" x14ac:dyDescent="0.35">
      <c r="C167" s="126">
        <v>45243</v>
      </c>
      <c r="D167" s="80" t="str">
        <v>AM</v>
      </c>
      <c r="E167" s="80" t="str">
        <v>November</v>
      </c>
      <c r="F167" s="80" t="str">
        <v>MON</v>
      </c>
      <c r="G167" s="81">
        <v>97.287064000000001</v>
      </c>
      <c r="H167" s="102" t="str">
        <v>SINGLE</v>
      </c>
      <c r="I167" s="95"/>
      <c r="J167" s="193" t="str" cm="1">
        <f t="array" ref="J167">_xlfn.TEXTJOIN(", ", TRUE, IFERROR(_xlfn._xlws.FILTER(Table3[Holiday Name], (TIPS!K167 &gt;= Table3[start2]) * (TIPS!K167&lt;= Table3[end2])), "."))</f>
        <v>.</v>
      </c>
      <c r="K167" s="57"/>
      <c r="L167" s="80"/>
      <c r="M167" s="80"/>
      <c r="N167" s="80"/>
      <c r="O167" s="81"/>
      <c r="P167" s="102"/>
      <c r="Q167" s="190"/>
      <c r="R167" s="139"/>
    </row>
    <row r="168" spans="3:18" x14ac:dyDescent="0.35">
      <c r="C168" s="126">
        <v>45244</v>
      </c>
      <c r="D168" s="80" t="str">
        <v>AM</v>
      </c>
      <c r="E168" s="80" t="str">
        <v>November</v>
      </c>
      <c r="F168" s="80" t="str">
        <v>TUE</v>
      </c>
      <c r="G168" s="81">
        <v>148.91745600000002</v>
      </c>
      <c r="H168" s="102" t="str">
        <v>SINGLE</v>
      </c>
      <c r="I168" s="95"/>
      <c r="J168" s="193" t="str" cm="1">
        <f t="array" ref="J168">_xlfn.TEXTJOIN(", ", TRUE, IFERROR(_xlfn._xlws.FILTER(Table3[Holiday Name], (TIPS!K168 &gt;= Table3[start2]) * (TIPS!K168&lt;= Table3[end2])), "."))</f>
        <v>.</v>
      </c>
      <c r="K168" s="57"/>
      <c r="L168" s="80"/>
      <c r="M168" s="80"/>
      <c r="N168" s="80"/>
      <c r="O168" s="81"/>
      <c r="P168" s="102"/>
      <c r="Q168" s="190"/>
      <c r="R168" s="139"/>
    </row>
    <row r="169" spans="3:18" x14ac:dyDescent="0.35">
      <c r="C169" s="126">
        <v>45245</v>
      </c>
      <c r="D169" s="80" t="str">
        <v>AM</v>
      </c>
      <c r="E169" s="80" t="str">
        <v>November</v>
      </c>
      <c r="F169" s="80" t="str">
        <v>WED</v>
      </c>
      <c r="G169" s="81">
        <v>106.313872</v>
      </c>
      <c r="H169" s="102" t="str">
        <v>SINGLE</v>
      </c>
      <c r="I169" s="95"/>
      <c r="J169" s="193" t="str" cm="1">
        <f t="array" ref="J169">_xlfn.TEXTJOIN(", ", TRUE, IFERROR(_xlfn._xlws.FILTER(Table3[Holiday Name], (TIPS!K169 &gt;= Table3[start2]) * (TIPS!K169&lt;= Table3[end2])), "."))</f>
        <v>.</v>
      </c>
      <c r="K169" s="57"/>
      <c r="L169" s="80"/>
      <c r="M169" s="80"/>
      <c r="N169" s="80"/>
      <c r="O169" s="81"/>
      <c r="P169" s="102"/>
      <c r="Q169" s="190"/>
      <c r="R169" s="139"/>
    </row>
    <row r="170" spans="3:18" x14ac:dyDescent="0.35">
      <c r="C170" s="126">
        <v>45247</v>
      </c>
      <c r="D170" s="80" t="str">
        <v>PM</v>
      </c>
      <c r="E170" s="80" t="str">
        <v>November</v>
      </c>
      <c r="F170" s="80" t="str">
        <v>FRI</v>
      </c>
      <c r="G170" s="81">
        <v>162.82282000000001</v>
      </c>
      <c r="H170" s="102" t="str">
        <v>SINGLE</v>
      </c>
      <c r="I170" s="95"/>
      <c r="J170" s="193" t="str" cm="1">
        <f t="array" ref="J170">_xlfn.TEXTJOIN(", ", TRUE, IFERROR(_xlfn._xlws.FILTER(Table3[Holiday Name], (TIPS!K170 &gt;= Table3[start2]) * (TIPS!K170&lt;= Table3[end2])), "."))</f>
        <v>.</v>
      </c>
      <c r="K170" s="57"/>
      <c r="L170" s="80"/>
      <c r="M170" s="80"/>
      <c r="N170" s="80"/>
      <c r="O170" s="81"/>
      <c r="P170" s="102"/>
      <c r="Q170" s="190"/>
      <c r="R170" s="139"/>
    </row>
    <row r="171" spans="3:18" x14ac:dyDescent="0.35">
      <c r="C171" s="126">
        <v>45248</v>
      </c>
      <c r="D171" s="80" t="str">
        <v>PM</v>
      </c>
      <c r="E171" s="80" t="str">
        <v>November</v>
      </c>
      <c r="F171" s="80" t="str">
        <v>SAT</v>
      </c>
      <c r="G171" s="81">
        <v>210.67860399999998</v>
      </c>
      <c r="H171" s="102" t="str">
        <v>SINGLE</v>
      </c>
      <c r="I171" s="95"/>
      <c r="J171" s="193" t="str" cm="1">
        <f t="array" ref="J171">_xlfn.TEXTJOIN(", ", TRUE, IFERROR(_xlfn._xlws.FILTER(Table3[Holiday Name], (TIPS!K171 &gt;= Table3[start2]) * (TIPS!K171&lt;= Table3[end2])), "."))</f>
        <v>.</v>
      </c>
      <c r="K171" s="57"/>
      <c r="L171" s="80"/>
      <c r="M171" s="80"/>
      <c r="N171" s="80"/>
      <c r="O171" s="81"/>
      <c r="P171" s="102"/>
      <c r="Q171" s="190"/>
      <c r="R171" s="139"/>
    </row>
    <row r="172" spans="3:18" x14ac:dyDescent="0.35">
      <c r="C172" s="126">
        <v>45250</v>
      </c>
      <c r="D172" s="80" t="str">
        <v>PM</v>
      </c>
      <c r="E172" s="80" t="str">
        <v>November</v>
      </c>
      <c r="F172" s="80" t="str">
        <v>MON</v>
      </c>
      <c r="G172" s="81">
        <v>246.31573199999997</v>
      </c>
      <c r="H172" s="102" t="str">
        <v>SINGLE</v>
      </c>
      <c r="I172" s="95"/>
      <c r="J172" s="193" t="str" cm="1">
        <f t="array" ref="J172">_xlfn.TEXTJOIN(", ", TRUE, IFERROR(_xlfn._xlws.FILTER(Table3[Holiday Name], (TIPS!K172 &gt;= Table3[start2]) * (TIPS!K172&lt;= Table3[end2])), "."))</f>
        <v>.</v>
      </c>
      <c r="K172" s="57"/>
      <c r="L172" s="80"/>
      <c r="M172" s="80"/>
      <c r="N172" s="80"/>
      <c r="O172" s="81"/>
      <c r="P172" s="102"/>
      <c r="Q172" s="190"/>
      <c r="R172" s="139"/>
    </row>
    <row r="173" spans="3:18" x14ac:dyDescent="0.35">
      <c r="C173" s="126">
        <v>45251</v>
      </c>
      <c r="D173" s="80" t="str">
        <v>AM</v>
      </c>
      <c r="E173" s="80" t="str">
        <v>November</v>
      </c>
      <c r="F173" s="80" t="str">
        <v>TUE</v>
      </c>
      <c r="G173" s="81">
        <v>69.237492000000003</v>
      </c>
      <c r="H173" s="102" t="str">
        <v>DOUBLE</v>
      </c>
      <c r="I173" s="95"/>
      <c r="J173" s="193" t="str" cm="1">
        <f t="array" ref="J173">_xlfn.TEXTJOIN(", ", TRUE, IFERROR(_xlfn._xlws.FILTER(Table3[Holiday Name], (TIPS!K173 &gt;= Table3[start2]) * (TIPS!K173&lt;= Table3[end2])), "."))</f>
        <v>.</v>
      </c>
      <c r="K173" s="57"/>
      <c r="L173" s="80"/>
      <c r="M173" s="80"/>
      <c r="N173" s="80"/>
      <c r="O173" s="81"/>
      <c r="P173" s="102"/>
      <c r="Q173" s="190"/>
      <c r="R173" s="139"/>
    </row>
    <row r="174" spans="3:18" x14ac:dyDescent="0.35">
      <c r="C174" s="126">
        <v>45251</v>
      </c>
      <c r="D174" s="80" t="str">
        <v>PM</v>
      </c>
      <c r="E174" s="80" t="str">
        <v>November</v>
      </c>
      <c r="F174" s="80" t="str">
        <v>TUE</v>
      </c>
      <c r="G174" s="81">
        <v>241.88926000000001</v>
      </c>
      <c r="H174" s="102" t="str">
        <v>DOUBLE</v>
      </c>
      <c r="I174" s="95"/>
      <c r="J174" s="193" t="str" cm="1">
        <f t="array" ref="J174">_xlfn.TEXTJOIN(", ", TRUE, IFERROR(_xlfn._xlws.FILTER(Table3[Holiday Name], (TIPS!K174 &gt;= Table3[start2]) * (TIPS!K174&lt;= Table3[end2])), "."))</f>
        <v>.</v>
      </c>
      <c r="K174" s="57"/>
      <c r="L174" s="80"/>
      <c r="M174" s="80"/>
      <c r="N174" s="80"/>
      <c r="O174" s="81"/>
      <c r="P174" s="102"/>
      <c r="Q174" s="190"/>
      <c r="R174" s="139"/>
    </row>
    <row r="175" spans="3:18" x14ac:dyDescent="0.35">
      <c r="C175" s="126">
        <v>45252</v>
      </c>
      <c r="D175" s="80" t="str">
        <v>AM</v>
      </c>
      <c r="E175" s="80" t="str">
        <v>November</v>
      </c>
      <c r="F175" s="80" t="str">
        <v>WED</v>
      </c>
      <c r="G175" s="81">
        <v>48.530916000000005</v>
      </c>
      <c r="H175" s="102" t="str">
        <v>SINGLE</v>
      </c>
      <c r="I175" s="95"/>
      <c r="J175" s="193" t="str" cm="1">
        <f t="array" ref="J175">_xlfn.TEXTJOIN(", ", TRUE, IFERROR(_xlfn._xlws.FILTER(Table3[Holiday Name], (TIPS!K175 &gt;= Table3[start2]) * (TIPS!K175&lt;= Table3[end2])), "."))</f>
        <v>.</v>
      </c>
      <c r="K175" s="57"/>
      <c r="L175" s="80"/>
      <c r="M175" s="80"/>
      <c r="N175" s="80"/>
      <c r="O175" s="81"/>
      <c r="P175" s="102"/>
      <c r="Q175" s="190"/>
      <c r="R175" s="139"/>
    </row>
    <row r="176" spans="3:18" x14ac:dyDescent="0.35">
      <c r="C176" s="126">
        <v>45254</v>
      </c>
      <c r="D176" s="80" t="str">
        <v>PM</v>
      </c>
      <c r="E176" s="80" t="str">
        <v>November</v>
      </c>
      <c r="F176" s="80" t="str">
        <v>FRI</v>
      </c>
      <c r="G176" s="81">
        <v>124.98876000000001</v>
      </c>
      <c r="H176" s="102" t="str">
        <v>SINGLE</v>
      </c>
      <c r="I176" s="95"/>
      <c r="J176" s="193" t="str" cm="1">
        <f t="array" ref="J176">_xlfn.TEXTJOIN(", ", TRUE, IFERROR(_xlfn._xlws.FILTER(Table3[Holiday Name], (TIPS!K176 &gt;= Table3[start2]) * (TIPS!K176&lt;= Table3[end2])), "."))</f>
        <v>.</v>
      </c>
      <c r="K176" s="57"/>
      <c r="L176" s="80"/>
      <c r="M176" s="80"/>
      <c r="N176" s="80"/>
      <c r="O176" s="81"/>
      <c r="P176" s="102"/>
      <c r="Q176" s="190"/>
      <c r="R176" s="139"/>
    </row>
    <row r="177" spans="3:18" x14ac:dyDescent="0.35">
      <c r="C177" s="126">
        <v>45257</v>
      </c>
      <c r="D177" s="80" t="str">
        <v>PM</v>
      </c>
      <c r="E177" s="80" t="str">
        <v>November</v>
      </c>
      <c r="F177" s="80" t="str">
        <v>MON</v>
      </c>
      <c r="G177" s="81">
        <v>92.886856000000009</v>
      </c>
      <c r="H177" s="102" t="str">
        <v>SINGLE</v>
      </c>
      <c r="I177" s="95"/>
      <c r="J177" s="193" t="str" cm="1">
        <f t="array" ref="J177">_xlfn.TEXTJOIN(", ", TRUE, IFERROR(_xlfn._xlws.FILTER(Table3[Holiday Name], (TIPS!K177 &gt;= Table3[start2]) * (TIPS!K177&lt;= Table3[end2])), "."))</f>
        <v>.</v>
      </c>
      <c r="K177" s="57"/>
      <c r="L177" s="80"/>
      <c r="M177" s="80"/>
      <c r="N177" s="80"/>
      <c r="O177" s="81"/>
      <c r="P177" s="102"/>
      <c r="Q177" s="190"/>
      <c r="R177" s="139"/>
    </row>
    <row r="178" spans="3:18" x14ac:dyDescent="0.35">
      <c r="C178" s="126">
        <v>45258</v>
      </c>
      <c r="D178" s="80" t="str">
        <v>AM</v>
      </c>
      <c r="E178" s="80" t="str">
        <v>November</v>
      </c>
      <c r="F178" s="80" t="str">
        <v>TUE</v>
      </c>
      <c r="G178" s="81">
        <v>86.225679999999997</v>
      </c>
      <c r="H178" s="102" t="str">
        <v>SINGLE</v>
      </c>
      <c r="I178" s="95"/>
      <c r="J178" s="193" t="str" cm="1">
        <f t="array" ref="J178">_xlfn.TEXTJOIN(", ", TRUE, IFERROR(_xlfn._xlws.FILTER(Table3[Holiday Name], (TIPS!K178 &gt;= Table3[start2]) * (TIPS!K178&lt;= Table3[end2])), "."))</f>
        <v>.</v>
      </c>
      <c r="K178" s="57"/>
      <c r="L178" s="80"/>
      <c r="M178" s="80"/>
      <c r="N178" s="80"/>
      <c r="O178" s="81"/>
      <c r="P178" s="102"/>
      <c r="Q178" s="190"/>
      <c r="R178" s="139"/>
    </row>
    <row r="179" spans="3:18" x14ac:dyDescent="0.35">
      <c r="C179" s="126">
        <v>45260</v>
      </c>
      <c r="D179" s="80" t="str">
        <v>PM</v>
      </c>
      <c r="E179" s="80" t="str">
        <v>November</v>
      </c>
      <c r="F179" s="80" t="str">
        <v>THU</v>
      </c>
      <c r="G179" s="81">
        <v>83.191628000000009</v>
      </c>
      <c r="H179" s="102" t="str">
        <v>SINGLE</v>
      </c>
      <c r="I179" s="95"/>
      <c r="J179" s="193" t="str" cm="1">
        <f t="array" ref="J179">_xlfn.TEXTJOIN(", ", TRUE, IFERROR(_xlfn._xlws.FILTER(Table3[Holiday Name], (TIPS!K179 &gt;= Table3[start2]) * (TIPS!K179&lt;= Table3[end2])), "."))</f>
        <v>.</v>
      </c>
      <c r="K179" s="57"/>
      <c r="L179" s="80"/>
      <c r="M179" s="80"/>
      <c r="N179" s="80"/>
      <c r="O179" s="81"/>
      <c r="P179" s="102"/>
      <c r="Q179" s="190"/>
      <c r="R179" s="139"/>
    </row>
    <row r="180" spans="3:18" x14ac:dyDescent="0.35">
      <c r="C180" s="126">
        <v>45261</v>
      </c>
      <c r="D180" s="80" t="str">
        <v>PM</v>
      </c>
      <c r="E180" s="80" t="str">
        <v>December</v>
      </c>
      <c r="F180" s="80" t="str">
        <v>FRI</v>
      </c>
      <c r="G180" s="81">
        <v>178.117964</v>
      </c>
      <c r="H180" s="102" t="str">
        <v>SINGLE</v>
      </c>
      <c r="I180" s="95"/>
      <c r="J180" s="193" t="str" cm="1">
        <f t="array" ref="J180">_xlfn.TEXTJOIN(", ", TRUE, IFERROR(_xlfn._xlws.FILTER(Table3[Holiday Name], (TIPS!K180 &gt;= Table3[start2]) * (TIPS!K180&lt;= Table3[end2])), "."))</f>
        <v>.</v>
      </c>
      <c r="K180" s="57"/>
      <c r="L180" s="80"/>
      <c r="M180" s="80"/>
      <c r="N180" s="80"/>
      <c r="O180" s="81"/>
      <c r="P180" s="102"/>
      <c r="Q180" s="190"/>
      <c r="R180" s="139"/>
    </row>
    <row r="181" spans="3:18" x14ac:dyDescent="0.35">
      <c r="C181" s="126">
        <v>45263</v>
      </c>
      <c r="D181" s="80" t="str">
        <v>PM</v>
      </c>
      <c r="E181" s="80" t="str">
        <v>December</v>
      </c>
      <c r="F181" s="80" t="str">
        <v>SUN</v>
      </c>
      <c r="G181" s="81">
        <v>201.53945999999999</v>
      </c>
      <c r="H181" s="102" t="str">
        <v>SINGLE</v>
      </c>
      <c r="I181" s="95"/>
      <c r="J181" s="193" t="str" cm="1">
        <f t="array" ref="J181">_xlfn.TEXTJOIN(", ", TRUE, IFERROR(_xlfn._xlws.FILTER(Table3[Holiday Name], (TIPS!K181 &gt;= Table3[start2]) * (TIPS!K181&lt;= Table3[end2])), "."))</f>
        <v>.</v>
      </c>
      <c r="K181" s="57"/>
      <c r="L181" s="80"/>
      <c r="M181" s="80"/>
      <c r="N181" s="80"/>
      <c r="O181" s="81"/>
      <c r="P181" s="102"/>
      <c r="Q181" s="190"/>
      <c r="R181" s="139"/>
    </row>
    <row r="182" spans="3:18" x14ac:dyDescent="0.35">
      <c r="C182" s="126">
        <v>45264</v>
      </c>
      <c r="D182" s="80" t="str">
        <v>PM</v>
      </c>
      <c r="E182" s="80" t="str">
        <v>December</v>
      </c>
      <c r="F182" s="80" t="str">
        <v>MON</v>
      </c>
      <c r="G182" s="81">
        <v>85.968488000000008</v>
      </c>
      <c r="H182" s="102" t="str">
        <v>SINGLE</v>
      </c>
      <c r="I182" s="95"/>
      <c r="J182" s="193" t="str" cm="1">
        <f t="array" ref="J182">_xlfn.TEXTJOIN(", ", TRUE, IFERROR(_xlfn._xlws.FILTER(Table3[Holiday Name], (TIPS!K182 &gt;= Table3[start2]) * (TIPS!K182&lt;= Table3[end2])), "."))</f>
        <v>.</v>
      </c>
      <c r="K182" s="57"/>
      <c r="L182" s="80"/>
      <c r="M182" s="80"/>
      <c r="N182" s="80"/>
      <c r="O182" s="81"/>
      <c r="P182" s="102"/>
      <c r="Q182" s="190"/>
      <c r="R182" s="139"/>
    </row>
    <row r="183" spans="3:18" x14ac:dyDescent="0.35">
      <c r="C183" s="126">
        <v>45266</v>
      </c>
      <c r="D183" s="80" t="str">
        <v>AM</v>
      </c>
      <c r="E183" s="80" t="str">
        <v>December</v>
      </c>
      <c r="F183" s="80" t="str">
        <v>WED</v>
      </c>
      <c r="G183" s="81">
        <v>107.33346</v>
      </c>
      <c r="H183" s="102" t="str">
        <v>SINGLE</v>
      </c>
      <c r="I183" s="95"/>
      <c r="J183" s="193" t="str" cm="1">
        <f t="array" ref="J183">_xlfn.TEXTJOIN(", ", TRUE, IFERROR(_xlfn._xlws.FILTER(Table3[Holiday Name], (TIPS!K183 &gt;= Table3[start2]) * (TIPS!K183&lt;= Table3[end2])), "."))</f>
        <v>.</v>
      </c>
      <c r="K183" s="57"/>
      <c r="L183" s="80"/>
      <c r="M183" s="80"/>
      <c r="N183" s="80"/>
      <c r="O183" s="81"/>
      <c r="P183" s="102"/>
      <c r="Q183" s="190"/>
      <c r="R183" s="139"/>
    </row>
    <row r="184" spans="3:18" x14ac:dyDescent="0.35">
      <c r="C184" s="126">
        <v>45268</v>
      </c>
      <c r="D184" s="80" t="str">
        <v>PM</v>
      </c>
      <c r="E184" s="80" t="str">
        <v>December</v>
      </c>
      <c r="F184" s="80" t="str">
        <v>FRI</v>
      </c>
      <c r="G184" s="81">
        <v>260.403952</v>
      </c>
      <c r="H184" s="102" t="str">
        <v>SINGLE</v>
      </c>
      <c r="I184" s="95"/>
      <c r="J184" s="193" t="str" cm="1">
        <f t="array" ref="J184">_xlfn.TEXTJOIN(", ", TRUE, IFERROR(_xlfn._xlws.FILTER(Table3[Holiday Name], (TIPS!K184 &gt;= Table3[start2]) * (TIPS!K184&lt;= Table3[end2])), "."))</f>
        <v>.</v>
      </c>
      <c r="K184" s="57"/>
      <c r="L184" s="80"/>
      <c r="M184" s="80"/>
      <c r="N184" s="80"/>
      <c r="O184" s="81"/>
      <c r="P184" s="102"/>
      <c r="Q184" s="190"/>
      <c r="R184" s="139"/>
    </row>
    <row r="185" spans="3:18" x14ac:dyDescent="0.35">
      <c r="C185" s="126">
        <v>45269</v>
      </c>
      <c r="D185" s="80" t="str">
        <v>AM</v>
      </c>
      <c r="E185" s="80" t="str">
        <v>December</v>
      </c>
      <c r="F185" s="80" t="str">
        <v>SAT</v>
      </c>
      <c r="G185" s="81">
        <v>58.094623999999996</v>
      </c>
      <c r="H185" s="102" t="str">
        <v>DOUBLE</v>
      </c>
      <c r="I185" s="95"/>
      <c r="J185" s="193" t="str" cm="1">
        <f t="array" ref="J185">_xlfn.TEXTJOIN(", ", TRUE, IFERROR(_xlfn._xlws.FILTER(Table3[Holiday Name], (TIPS!K185 &gt;= Table3[start2]) * (TIPS!K185&lt;= Table3[end2])), "."))</f>
        <v>.</v>
      </c>
      <c r="K185" s="57"/>
      <c r="L185" s="80"/>
      <c r="M185" s="80"/>
      <c r="N185" s="80"/>
      <c r="O185" s="81"/>
      <c r="P185" s="102"/>
      <c r="Q185" s="190"/>
      <c r="R185" s="139"/>
    </row>
    <row r="186" spans="3:18" x14ac:dyDescent="0.35">
      <c r="C186" s="126">
        <v>45269</v>
      </c>
      <c r="D186" s="80" t="str">
        <v>PM</v>
      </c>
      <c r="E186" s="80" t="str">
        <v>December</v>
      </c>
      <c r="F186" s="80" t="str">
        <v>SAT</v>
      </c>
      <c r="G186" s="81">
        <v>172.93660399999999</v>
      </c>
      <c r="H186" s="102" t="str">
        <v>DOUBLE</v>
      </c>
      <c r="I186" s="95"/>
      <c r="J186" s="193" t="str" cm="1">
        <f t="array" ref="J186">_xlfn.TEXTJOIN(", ", TRUE, IFERROR(_xlfn._xlws.FILTER(Table3[Holiday Name], (TIPS!K186 &gt;= Table3[start2]) * (TIPS!K186&lt;= Table3[end2])), "."))</f>
        <v>.</v>
      </c>
      <c r="K186" s="57"/>
      <c r="L186" s="80"/>
      <c r="M186" s="80"/>
      <c r="N186" s="80"/>
      <c r="O186" s="81"/>
      <c r="P186" s="102"/>
      <c r="Q186" s="190"/>
      <c r="R186" s="139"/>
    </row>
    <row r="187" spans="3:18" x14ac:dyDescent="0.35">
      <c r="C187" s="126">
        <v>45271</v>
      </c>
      <c r="D187" s="80" t="str">
        <v>PM</v>
      </c>
      <c r="E187" s="80" t="str">
        <v>December</v>
      </c>
      <c r="F187" s="80" t="str">
        <v>MON</v>
      </c>
      <c r="G187" s="81">
        <v>180.80057600000001</v>
      </c>
      <c r="H187" s="102" t="str">
        <v>SINGLE</v>
      </c>
      <c r="I187" s="95"/>
      <c r="J187" s="193" t="str" cm="1">
        <f t="array" ref="J187">_xlfn.TEXTJOIN(", ", TRUE, IFERROR(_xlfn._xlws.FILTER(Table3[Holiday Name], (TIPS!K187 &gt;= Table3[start2]) * (TIPS!K187&lt;= Table3[end2])), "."))</f>
        <v>.</v>
      </c>
      <c r="K187" s="57"/>
      <c r="L187" s="80"/>
      <c r="M187" s="80"/>
      <c r="N187" s="80"/>
      <c r="O187" s="81"/>
      <c r="P187" s="102"/>
      <c r="Q187" s="190"/>
      <c r="R187" s="139"/>
    </row>
    <row r="188" spans="3:18" x14ac:dyDescent="0.35">
      <c r="C188" s="126">
        <v>45273</v>
      </c>
      <c r="D188" s="80" t="str">
        <v>AM</v>
      </c>
      <c r="E188" s="80" t="str">
        <v>December</v>
      </c>
      <c r="F188" s="80" t="str">
        <v>WED</v>
      </c>
      <c r="G188" s="81">
        <v>127.98885600000001</v>
      </c>
      <c r="H188" s="102" t="str">
        <v>SINGLE</v>
      </c>
      <c r="I188" s="95"/>
      <c r="J188" s="193" t="str" cm="1">
        <f t="array" ref="J188">_xlfn.TEXTJOIN(", ", TRUE, IFERROR(_xlfn._xlws.FILTER(Table3[Holiday Name], (TIPS!K188 &gt;= Table3[start2]) * (TIPS!K188&lt;= Table3[end2])), "."))</f>
        <v>.</v>
      </c>
      <c r="K188" s="57"/>
      <c r="L188" s="80"/>
      <c r="M188" s="80"/>
      <c r="N188" s="80"/>
      <c r="O188" s="81"/>
      <c r="P188" s="102"/>
      <c r="Q188" s="190"/>
      <c r="R188" s="139"/>
    </row>
    <row r="189" spans="3:18" x14ac:dyDescent="0.35">
      <c r="C189" s="126">
        <v>45275</v>
      </c>
      <c r="D189" s="80" t="str">
        <v>PM</v>
      </c>
      <c r="E189" s="80" t="str">
        <v>December</v>
      </c>
      <c r="F189" s="80" t="str">
        <v>FRI</v>
      </c>
      <c r="G189" s="81">
        <v>121.60652</v>
      </c>
      <c r="H189" s="102" t="str">
        <v>SINGLE</v>
      </c>
      <c r="I189" s="95"/>
      <c r="J189" s="193" t="str" cm="1">
        <f t="array" ref="J189">_xlfn.TEXTJOIN(", ", TRUE, IFERROR(_xlfn._xlws.FILTER(Table3[Holiday Name], (TIPS!K189 &gt;= Table3[start2]) * (TIPS!K189&lt;= Table3[end2])), "."))</f>
        <v>.</v>
      </c>
      <c r="K189" s="57"/>
      <c r="L189" s="80"/>
      <c r="M189" s="80"/>
      <c r="N189" s="80"/>
      <c r="O189" s="81"/>
      <c r="P189" s="102"/>
      <c r="Q189" s="190"/>
      <c r="R189" s="139"/>
    </row>
    <row r="190" spans="3:18" x14ac:dyDescent="0.35">
      <c r="C190" s="126">
        <v>45277</v>
      </c>
      <c r="D190" s="80" t="str">
        <v>PM</v>
      </c>
      <c r="E190" s="80" t="str">
        <v>December</v>
      </c>
      <c r="F190" s="80" t="str">
        <v>SUN</v>
      </c>
      <c r="G190" s="81">
        <v>217.58837200000002</v>
      </c>
      <c r="H190" s="102" t="str">
        <v>SINGLE</v>
      </c>
      <c r="I190" s="95"/>
      <c r="J190" s="193" t="str" cm="1">
        <f t="array" ref="J190">_xlfn.TEXTJOIN(", ", TRUE, IFERROR(_xlfn._xlws.FILTER(Table3[Holiday Name], (TIPS!K190 &gt;= Table3[start2]) * (TIPS!K190&lt;= Table3[end2])), "."))</f>
        <v>.</v>
      </c>
      <c r="K190" s="57"/>
      <c r="L190" s="80"/>
      <c r="M190" s="80"/>
      <c r="N190" s="80"/>
      <c r="O190" s="81"/>
      <c r="P190" s="102"/>
      <c r="Q190" s="190"/>
      <c r="R190" s="139"/>
    </row>
    <row r="191" spans="3:18" x14ac:dyDescent="0.35">
      <c r="C191" s="126">
        <v>45278</v>
      </c>
      <c r="D191" s="80" t="str">
        <v>PM</v>
      </c>
      <c r="E191" s="80" t="str">
        <v>December</v>
      </c>
      <c r="F191" s="80" t="str">
        <v>MON</v>
      </c>
      <c r="G191" s="81">
        <v>187.37920400000002</v>
      </c>
      <c r="H191" s="102" t="str">
        <v>SINGLE</v>
      </c>
      <c r="I191" s="95"/>
      <c r="J191" s="193" t="str" cm="1">
        <f t="array" ref="J191">_xlfn.TEXTJOIN(", ", TRUE, IFERROR(_xlfn._xlws.FILTER(Table3[Holiday Name], (TIPS!K191 &gt;= Table3[start2]) * (TIPS!K191&lt;= Table3[end2])), "."))</f>
        <v>.</v>
      </c>
      <c r="K191" s="57"/>
      <c r="L191" s="80"/>
      <c r="M191" s="80"/>
      <c r="N191" s="80"/>
      <c r="O191" s="81"/>
      <c r="P191" s="102"/>
      <c r="Q191" s="190"/>
      <c r="R191" s="139"/>
    </row>
    <row r="192" spans="3:18" x14ac:dyDescent="0.35">
      <c r="C192" s="126">
        <v>45281</v>
      </c>
      <c r="D192" s="80" t="str">
        <v>PM</v>
      </c>
      <c r="E192" s="80" t="str">
        <v>December</v>
      </c>
      <c r="F192" s="80" t="str">
        <v>THU</v>
      </c>
      <c r="G192" s="81">
        <v>199.11728000000002</v>
      </c>
      <c r="H192" s="102" t="str">
        <v>SINGLE</v>
      </c>
      <c r="I192" s="95"/>
      <c r="J192" s="193" t="str" cm="1">
        <f t="array" ref="J192">_xlfn.TEXTJOIN(", ", TRUE, IFERROR(_xlfn._xlws.FILTER(Table3[Holiday Name], (TIPS!K192 &gt;= Table3[start2]) * (TIPS!K192&lt;= Table3[end2])), "."))</f>
        <v>.</v>
      </c>
      <c r="K192" s="57"/>
      <c r="L192" s="80"/>
      <c r="M192" s="80"/>
      <c r="N192" s="80"/>
      <c r="O192" s="81"/>
      <c r="P192" s="102"/>
      <c r="Q192" s="190"/>
      <c r="R192" s="139"/>
    </row>
    <row r="193" spans="3:18" x14ac:dyDescent="0.35">
      <c r="C193" s="126">
        <v>45282</v>
      </c>
      <c r="D193" s="80" t="str">
        <v>PM</v>
      </c>
      <c r="E193" s="80" t="str">
        <v>December</v>
      </c>
      <c r="F193" s="80" t="str">
        <v>FRI</v>
      </c>
      <c r="G193" s="81">
        <v>232.50149599999997</v>
      </c>
      <c r="H193" s="102" t="str">
        <v>SINGLE</v>
      </c>
      <c r="I193" s="95"/>
      <c r="J193" s="193" t="str" cm="1">
        <f t="array" ref="J193">_xlfn.TEXTJOIN(", ", TRUE, IFERROR(_xlfn._xlws.FILTER(Table3[Holiday Name], (TIPS!K193 &gt;= Table3[start2]) * (TIPS!K193&lt;= Table3[end2])), "."))</f>
        <v>.</v>
      </c>
      <c r="K193" s="57"/>
      <c r="L193" s="80"/>
      <c r="M193" s="80"/>
      <c r="N193" s="80"/>
      <c r="O193" s="81"/>
      <c r="P193" s="102"/>
      <c r="Q193" s="190"/>
      <c r="R193" s="139"/>
    </row>
    <row r="194" spans="3:18" x14ac:dyDescent="0.35">
      <c r="C194" s="126">
        <v>45283</v>
      </c>
      <c r="D194" s="80" t="str">
        <v>PM</v>
      </c>
      <c r="E194" s="80" t="str">
        <v>December</v>
      </c>
      <c r="F194" s="80" t="str">
        <v>SAT</v>
      </c>
      <c r="G194" s="81">
        <v>259.20059599999996</v>
      </c>
      <c r="H194" s="102" t="str">
        <v>SINGLE</v>
      </c>
      <c r="I194" s="95"/>
      <c r="J194" s="193" t="str" cm="1">
        <f t="array" ref="J194">_xlfn.TEXTJOIN(", ", TRUE, IFERROR(_xlfn._xlws.FILTER(Table3[Holiday Name], (TIPS!K194 &gt;= Table3[start2]) * (TIPS!K194&lt;= Table3[end2])), "."))</f>
        <v>.</v>
      </c>
      <c r="K194" s="57"/>
      <c r="L194" s="80"/>
      <c r="M194" s="80"/>
      <c r="N194" s="80"/>
      <c r="O194" s="81"/>
      <c r="P194" s="102"/>
      <c r="Q194" s="190"/>
      <c r="R194" s="139"/>
    </row>
    <row r="195" spans="3:18" x14ac:dyDescent="0.35">
      <c r="C195" s="126">
        <v>45287</v>
      </c>
      <c r="D195" s="80" t="str">
        <v>AM</v>
      </c>
      <c r="E195" s="80" t="str">
        <v>December</v>
      </c>
      <c r="F195" s="80" t="str">
        <v>WED</v>
      </c>
      <c r="G195" s="81">
        <v>208.52860799999999</v>
      </c>
      <c r="H195" s="102" t="str">
        <v>DOUBLE</v>
      </c>
      <c r="I195" s="95"/>
      <c r="J195" s="193" t="str" cm="1">
        <f t="array" ref="J195">_xlfn.TEXTJOIN(", ", TRUE, IFERROR(_xlfn._xlws.FILTER(Table3[Holiday Name], (TIPS!K195 &gt;= Table3[start2]) * (TIPS!K195&lt;= Table3[end2])), "."))</f>
        <v>.</v>
      </c>
      <c r="K195" s="57"/>
      <c r="L195" s="80"/>
      <c r="M195" s="80"/>
      <c r="N195" s="80"/>
      <c r="O195" s="81"/>
      <c r="P195" s="102"/>
      <c r="Q195" s="190"/>
      <c r="R195" s="139"/>
    </row>
    <row r="196" spans="3:18" x14ac:dyDescent="0.35">
      <c r="C196" s="126">
        <v>45287</v>
      </c>
      <c r="D196" s="80" t="str">
        <v>PM</v>
      </c>
      <c r="E196" s="80" t="str">
        <v>December</v>
      </c>
      <c r="F196" s="80" t="str">
        <v>WED</v>
      </c>
      <c r="G196" s="81">
        <v>286.64925200000005</v>
      </c>
      <c r="H196" s="102" t="str">
        <v>DOUBLE</v>
      </c>
      <c r="I196" s="95"/>
      <c r="J196" s="193" t="str" cm="1">
        <f t="array" ref="J196">_xlfn.TEXTJOIN(", ", TRUE, IFERROR(_xlfn._xlws.FILTER(Table3[Holiday Name], (TIPS!K196 &gt;= Table3[start2]) * (TIPS!K196&lt;= Table3[end2])), "."))</f>
        <v>.</v>
      </c>
      <c r="K196" s="57"/>
      <c r="L196" s="80"/>
      <c r="M196" s="80"/>
      <c r="N196" s="80"/>
      <c r="O196" s="81"/>
      <c r="P196" s="102"/>
      <c r="Q196" s="190"/>
      <c r="R196" s="139"/>
    </row>
    <row r="197" spans="3:18" x14ac:dyDescent="0.35">
      <c r="C197" s="126">
        <v>45289</v>
      </c>
      <c r="D197" s="80" t="str">
        <v>PM</v>
      </c>
      <c r="E197" s="80" t="str">
        <v>December</v>
      </c>
      <c r="F197" s="80" t="str">
        <v>FRI</v>
      </c>
      <c r="G197" s="81">
        <v>216.11023999999998</v>
      </c>
      <c r="H197" s="102" t="str">
        <v>SINGLE</v>
      </c>
      <c r="I197" s="95"/>
      <c r="J197" s="193" t="str" cm="1">
        <f t="array" ref="J197">_xlfn.TEXTJOIN(", ", TRUE, IFERROR(_xlfn._xlws.FILTER(Table3[Holiday Name], (TIPS!K197 &gt;= Table3[start2]) * (TIPS!K197&lt;= Table3[end2])), "."))</f>
        <v>.</v>
      </c>
      <c r="K197" s="57"/>
      <c r="L197" s="80"/>
      <c r="M197" s="80"/>
      <c r="N197" s="80"/>
      <c r="O197" s="81"/>
      <c r="P197" s="102"/>
      <c r="Q197" s="190"/>
      <c r="R197" s="139"/>
    </row>
    <row r="198" spans="3:18" x14ac:dyDescent="0.35">
      <c r="C198" s="126">
        <v>45290</v>
      </c>
      <c r="D198" s="80" t="str">
        <v>PM</v>
      </c>
      <c r="E198" s="80" t="str">
        <v>December</v>
      </c>
      <c r="F198" s="80" t="str">
        <v>SAT</v>
      </c>
      <c r="G198" s="81">
        <v>193.792216</v>
      </c>
      <c r="H198" s="102" t="str">
        <v>SINGLE</v>
      </c>
      <c r="I198" s="95"/>
      <c r="J198" s="193" t="str" cm="1">
        <f t="array" ref="J198">_xlfn.TEXTJOIN(", ", TRUE, IFERROR(_xlfn._xlws.FILTER(Table3[Holiday Name], (TIPS!K198 &gt;= Table3[start2]) * (TIPS!K198&lt;= Table3[end2])), "."))</f>
        <v>.</v>
      </c>
      <c r="K198" s="57"/>
      <c r="L198" s="80"/>
      <c r="M198" s="80"/>
      <c r="N198" s="80"/>
      <c r="O198" s="81"/>
      <c r="P198" s="102"/>
      <c r="Q198" s="190"/>
      <c r="R198" s="139"/>
    </row>
    <row r="199" spans="3:18" x14ac:dyDescent="0.35">
      <c r="C199" s="126">
        <v>45292</v>
      </c>
      <c r="D199" s="80" t="str">
        <v>AM</v>
      </c>
      <c r="E199" s="80" t="str">
        <v>January</v>
      </c>
      <c r="F199" s="80" t="str">
        <v>MON</v>
      </c>
      <c r="G199" s="81">
        <v>59.834435999999997</v>
      </c>
      <c r="H199" s="102" t="str">
        <v>DOUBLE</v>
      </c>
      <c r="I199" s="95"/>
      <c r="J199" s="193" t="str" cm="1">
        <f t="array" ref="J199">_xlfn.TEXTJOIN(", ", TRUE, IFERROR(_xlfn._xlws.FILTER(Table3[Holiday Name], (TIPS!K199 &gt;= Table3[start2]) * (TIPS!K199&lt;= Table3[end2])), "."))</f>
        <v>.</v>
      </c>
      <c r="K199" s="57"/>
      <c r="L199" s="80"/>
      <c r="M199" s="80"/>
      <c r="N199" s="80"/>
      <c r="O199" s="81"/>
      <c r="P199" s="102"/>
      <c r="Q199" s="190"/>
      <c r="R199" s="139"/>
    </row>
    <row r="200" spans="3:18" x14ac:dyDescent="0.35">
      <c r="C200" s="126">
        <v>45292</v>
      </c>
      <c r="D200" s="80" t="str">
        <v>PM</v>
      </c>
      <c r="E200" s="80" t="str">
        <v>January</v>
      </c>
      <c r="F200" s="80" t="str">
        <v>MON</v>
      </c>
      <c r="G200" s="81">
        <v>167.03622000000001</v>
      </c>
      <c r="H200" s="102" t="str">
        <v>DOUBLE</v>
      </c>
      <c r="I200" s="95"/>
      <c r="J200" s="193" t="str" cm="1">
        <f t="array" ref="J200">_xlfn.TEXTJOIN(", ", TRUE, IFERROR(_xlfn._xlws.FILTER(Table3[Holiday Name], (TIPS!K200 &gt;= Table3[start2]) * (TIPS!K200&lt;= Table3[end2])), "."))</f>
        <v>.</v>
      </c>
      <c r="K200" s="57"/>
      <c r="L200" s="80"/>
      <c r="M200" s="80"/>
      <c r="N200" s="80"/>
      <c r="O200" s="81"/>
      <c r="P200" s="102"/>
      <c r="Q200" s="190"/>
      <c r="R200" s="139"/>
    </row>
    <row r="201" spans="3:18" x14ac:dyDescent="0.35">
      <c r="C201" s="126">
        <v>45294</v>
      </c>
      <c r="D201" s="80" t="str">
        <v>PM</v>
      </c>
      <c r="E201" s="80" t="str">
        <v>January</v>
      </c>
      <c r="F201" s="80" t="str">
        <v>WED</v>
      </c>
      <c r="G201" s="81">
        <v>258.35831999999999</v>
      </c>
      <c r="H201" s="102" t="str">
        <v>SINGLE</v>
      </c>
      <c r="I201" s="95"/>
      <c r="J201" s="193" t="str" cm="1">
        <f t="array" ref="J201">_xlfn.TEXTJOIN(", ", TRUE, IFERROR(_xlfn._xlws.FILTER(Table3[Holiday Name], (TIPS!K201 &gt;= Table3[start2]) * (TIPS!K201&lt;= Table3[end2])), "."))</f>
        <v>.</v>
      </c>
      <c r="K201" s="57"/>
      <c r="L201" s="80"/>
      <c r="M201" s="80"/>
      <c r="N201" s="80"/>
      <c r="O201" s="81"/>
      <c r="P201" s="102"/>
      <c r="Q201" s="190"/>
      <c r="R201" s="139"/>
    </row>
    <row r="202" spans="3:18" x14ac:dyDescent="0.35">
      <c r="C202" s="126">
        <v>45296</v>
      </c>
      <c r="D202" s="80" t="str">
        <v>PM</v>
      </c>
      <c r="E202" s="80" t="str">
        <v>January</v>
      </c>
      <c r="F202" s="80" t="str">
        <v>FRI</v>
      </c>
      <c r="G202" s="81">
        <v>213.26584799999998</v>
      </c>
      <c r="H202" s="102" t="str">
        <v>SINGLE</v>
      </c>
      <c r="I202" s="95"/>
      <c r="J202" s="193" t="str" cm="1">
        <f t="array" ref="J202">_xlfn.TEXTJOIN(", ", TRUE, IFERROR(_xlfn._xlws.FILTER(Table3[Holiday Name], (TIPS!K202 &gt;= Table3[start2]) * (TIPS!K202&lt;= Table3[end2])), "."))</f>
        <v>.</v>
      </c>
      <c r="K202" s="57"/>
      <c r="L202" s="80"/>
      <c r="M202" s="80"/>
      <c r="N202" s="80"/>
      <c r="O202" s="81"/>
      <c r="P202" s="102"/>
      <c r="Q202" s="190"/>
      <c r="R202" s="139"/>
    </row>
    <row r="203" spans="3:18" x14ac:dyDescent="0.35">
      <c r="C203" s="126">
        <v>45297</v>
      </c>
      <c r="D203" s="80" t="str">
        <v>PM</v>
      </c>
      <c r="E203" s="80" t="str">
        <v>January</v>
      </c>
      <c r="F203" s="80" t="str">
        <v>SAT</v>
      </c>
      <c r="G203" s="81">
        <v>197.23952</v>
      </c>
      <c r="H203" s="102" t="str">
        <v>SINGLE</v>
      </c>
      <c r="I203" s="95"/>
      <c r="J203" s="193" t="str" cm="1">
        <f t="array" ref="J203">_xlfn.TEXTJOIN(", ", TRUE, IFERROR(_xlfn._xlws.FILTER(Table3[Holiday Name], (TIPS!K203 &gt;= Table3[start2]) * (TIPS!K203&lt;= Table3[end2])), "."))</f>
        <v>.</v>
      </c>
      <c r="K203" s="57"/>
      <c r="L203" s="80"/>
      <c r="M203" s="80"/>
      <c r="N203" s="80"/>
      <c r="O203" s="81"/>
      <c r="P203" s="102"/>
      <c r="Q203" s="190"/>
      <c r="R203" s="139"/>
    </row>
    <row r="204" spans="3:18" x14ac:dyDescent="0.35">
      <c r="C204" s="126">
        <v>45298</v>
      </c>
      <c r="D204" s="80" t="str">
        <v>PM</v>
      </c>
      <c r="E204" s="80" t="str">
        <v>January</v>
      </c>
      <c r="F204" s="80" t="str">
        <v>SUN</v>
      </c>
      <c r="G204" s="81">
        <v>233.85552799999999</v>
      </c>
      <c r="H204" s="102" t="str">
        <v>SINGLE</v>
      </c>
      <c r="I204" s="95"/>
      <c r="J204" s="193" t="str" cm="1">
        <f t="array" ref="J204">_xlfn.TEXTJOIN(", ", TRUE, IFERROR(_xlfn._xlws.FILTER(Table3[Holiday Name], (TIPS!K204 &gt;= Table3[start2]) * (TIPS!K204&lt;= Table3[end2])), "."))</f>
        <v>.</v>
      </c>
      <c r="K204" s="57"/>
      <c r="L204" s="80"/>
      <c r="M204" s="80"/>
      <c r="N204" s="80"/>
      <c r="O204" s="81"/>
      <c r="P204" s="102"/>
      <c r="Q204" s="190"/>
      <c r="R204" s="139"/>
    </row>
    <row r="205" spans="3:18" x14ac:dyDescent="0.35">
      <c r="C205" s="126">
        <v>45299</v>
      </c>
      <c r="D205" s="80" t="str">
        <v>PM</v>
      </c>
      <c r="E205" s="80" t="str">
        <v>January</v>
      </c>
      <c r="F205" s="80" t="str">
        <v>MON</v>
      </c>
      <c r="G205" s="81">
        <v>92.215599999999995</v>
      </c>
      <c r="H205" s="102" t="str">
        <v>SINGLE</v>
      </c>
      <c r="I205" s="95"/>
      <c r="J205" s="193" t="str" cm="1">
        <f t="array" ref="J205">_xlfn.TEXTJOIN(", ", TRUE, IFERROR(_xlfn._xlws.FILTER(Table3[Holiday Name], (TIPS!K205 &gt;= Table3[start2]) * (TIPS!K205&lt;= Table3[end2])), "."))</f>
        <v>.</v>
      </c>
      <c r="K205" s="57"/>
      <c r="L205" s="80"/>
      <c r="M205" s="80"/>
      <c r="N205" s="80"/>
      <c r="O205" s="81"/>
      <c r="P205" s="102"/>
      <c r="Q205" s="190"/>
      <c r="R205" s="139"/>
    </row>
    <row r="206" spans="3:18" x14ac:dyDescent="0.35">
      <c r="C206" s="126">
        <v>45301</v>
      </c>
      <c r="D206" s="80" t="str">
        <v>PM</v>
      </c>
      <c r="E206" s="80" t="str">
        <v>January</v>
      </c>
      <c r="F206" s="80" t="str">
        <v>WED</v>
      </c>
      <c r="G206" s="81">
        <v>171.09210000000002</v>
      </c>
      <c r="H206" s="102" t="str">
        <v>SINGLE</v>
      </c>
      <c r="I206" s="95"/>
      <c r="J206" s="193" t="str" cm="1">
        <f t="array" ref="J206">_xlfn.TEXTJOIN(", ", TRUE, IFERROR(_xlfn._xlws.FILTER(Table3[Holiday Name], (TIPS!K206 &gt;= Table3[start2]) * (TIPS!K206&lt;= Table3[end2])), "."))</f>
        <v>.</v>
      </c>
      <c r="K206" s="57"/>
      <c r="L206" s="80"/>
      <c r="M206" s="80"/>
      <c r="N206" s="80"/>
      <c r="O206" s="81"/>
      <c r="P206" s="102"/>
      <c r="Q206" s="190"/>
      <c r="R206" s="139"/>
    </row>
    <row r="207" spans="3:18" x14ac:dyDescent="0.35">
      <c r="C207" s="126">
        <v>45303</v>
      </c>
      <c r="D207" s="80" t="str">
        <v>PM</v>
      </c>
      <c r="E207" s="80" t="str">
        <v>January</v>
      </c>
      <c r="F207" s="80" t="str">
        <v>FRI</v>
      </c>
      <c r="G207" s="81">
        <v>215.94746000000001</v>
      </c>
      <c r="H207" s="102" t="str">
        <v>SINGLE</v>
      </c>
      <c r="I207" s="95"/>
      <c r="J207" s="193" t="str" cm="1">
        <f t="array" ref="J207">_xlfn.TEXTJOIN(", ", TRUE, IFERROR(_xlfn._xlws.FILTER(Table3[Holiday Name], (TIPS!K207 &gt;= Table3[start2]) * (TIPS!K207&lt;= Table3[end2])), "."))</f>
        <v>.</v>
      </c>
      <c r="K207" s="57"/>
      <c r="L207" s="80"/>
      <c r="M207" s="80"/>
      <c r="N207" s="80"/>
      <c r="O207" s="81"/>
      <c r="P207" s="102"/>
      <c r="Q207" s="190"/>
      <c r="R207" s="139"/>
    </row>
    <row r="208" spans="3:18" x14ac:dyDescent="0.35">
      <c r="C208" s="126">
        <v>45304</v>
      </c>
      <c r="D208" s="80" t="str">
        <v>PM</v>
      </c>
      <c r="E208" s="80" t="str">
        <v>January</v>
      </c>
      <c r="F208" s="80" t="str">
        <v>SAT</v>
      </c>
      <c r="G208" s="81">
        <v>228.13538799999998</v>
      </c>
      <c r="H208" s="102" t="str">
        <v>SINGLE</v>
      </c>
      <c r="I208" s="95"/>
      <c r="J208" s="193" t="str" cm="1">
        <f t="array" ref="J208">_xlfn.TEXTJOIN(", ", TRUE, IFERROR(_xlfn._xlws.FILTER(Table3[Holiday Name], (TIPS!K208 &gt;= Table3[start2]) * (TIPS!K208&lt;= Table3[end2])), "."))</f>
        <v>.</v>
      </c>
      <c r="K208" s="57"/>
      <c r="L208" s="80"/>
      <c r="M208" s="80"/>
      <c r="N208" s="80"/>
      <c r="O208" s="81"/>
      <c r="P208" s="102"/>
      <c r="Q208" s="190"/>
      <c r="R208" s="139"/>
    </row>
    <row r="209" spans="3:18" x14ac:dyDescent="0.35">
      <c r="C209" s="126">
        <v>45308</v>
      </c>
      <c r="D209" s="80" t="str">
        <v>PM</v>
      </c>
      <c r="E209" s="80" t="str">
        <v>January</v>
      </c>
      <c r="F209" s="80" t="str">
        <v>WED</v>
      </c>
      <c r="G209" s="81">
        <v>78.785280000000014</v>
      </c>
      <c r="H209" s="102" t="str">
        <v>SINGLE</v>
      </c>
      <c r="I209" s="95"/>
      <c r="J209" s="193" t="str" cm="1">
        <f t="array" ref="J209">_xlfn.TEXTJOIN(", ", TRUE, IFERROR(_xlfn._xlws.FILTER(Table3[Holiday Name], (TIPS!K209 &gt;= Table3[start2]) * (TIPS!K209&lt;= Table3[end2])), "."))</f>
        <v>.</v>
      </c>
      <c r="K209" s="57"/>
      <c r="L209" s="80"/>
      <c r="M209" s="80"/>
      <c r="N209" s="80"/>
      <c r="O209" s="81"/>
      <c r="P209" s="102"/>
      <c r="Q209" s="190"/>
      <c r="R209" s="139"/>
    </row>
    <row r="210" spans="3:18" x14ac:dyDescent="0.35">
      <c r="C210" s="126">
        <v>45309</v>
      </c>
      <c r="D210" s="80" t="str">
        <v>AM</v>
      </c>
      <c r="E210" s="80" t="str">
        <v>January</v>
      </c>
      <c r="F210" s="80" t="str">
        <v>THU</v>
      </c>
      <c r="G210" s="81">
        <v>148.03595600000003</v>
      </c>
      <c r="H210" s="102" t="str">
        <v>SINGLE</v>
      </c>
      <c r="I210" s="95"/>
      <c r="J210" s="193" t="str" cm="1">
        <f t="array" ref="J210">_xlfn.TEXTJOIN(", ", TRUE, IFERROR(_xlfn._xlws.FILTER(Table3[Holiday Name], (TIPS!K210 &gt;= Table3[start2]) * (TIPS!K210&lt;= Table3[end2])), "."))</f>
        <v>.</v>
      </c>
      <c r="K210" s="57"/>
      <c r="L210" s="80"/>
      <c r="M210" s="80"/>
      <c r="N210" s="80"/>
      <c r="O210" s="81"/>
      <c r="P210" s="102"/>
      <c r="Q210" s="190"/>
      <c r="R210" s="139"/>
    </row>
    <row r="211" spans="3:18" x14ac:dyDescent="0.35">
      <c r="C211" s="126">
        <v>45310</v>
      </c>
      <c r="D211" s="80" t="str">
        <v>PM</v>
      </c>
      <c r="E211" s="80" t="str">
        <v>January</v>
      </c>
      <c r="F211" s="80" t="str">
        <v>FRI</v>
      </c>
      <c r="G211" s="81">
        <v>235.33174</v>
      </c>
      <c r="H211" s="102" t="str">
        <v>SINGLE</v>
      </c>
      <c r="I211" s="95"/>
      <c r="J211" s="193" t="str" cm="1">
        <f t="array" ref="J211">_xlfn.TEXTJOIN(", ", TRUE, IFERROR(_xlfn._xlws.FILTER(Table3[Holiday Name], (TIPS!K211 &gt;= Table3[start2]) * (TIPS!K211&lt;= Table3[end2])), "."))</f>
        <v>.</v>
      </c>
      <c r="K211" s="57"/>
      <c r="L211" s="80"/>
      <c r="M211" s="80"/>
      <c r="N211" s="80"/>
      <c r="O211" s="81"/>
      <c r="P211" s="102"/>
      <c r="Q211" s="190"/>
      <c r="R211" s="139"/>
    </row>
    <row r="212" spans="3:18" x14ac:dyDescent="0.35">
      <c r="C212" s="126">
        <v>45311</v>
      </c>
      <c r="D212" s="80" t="str">
        <v>PM</v>
      </c>
      <c r="E212" s="80" t="str">
        <v>January</v>
      </c>
      <c r="F212" s="80" t="str">
        <v>SAT</v>
      </c>
      <c r="G212" s="81">
        <v>259.32637599999998</v>
      </c>
      <c r="H212" s="102" t="str">
        <v>SINGLE</v>
      </c>
      <c r="I212" s="95"/>
      <c r="J212" s="193" t="str" cm="1">
        <f t="array" ref="J212">_xlfn.TEXTJOIN(", ", TRUE, IFERROR(_xlfn._xlws.FILTER(Table3[Holiday Name], (TIPS!K212 &gt;= Table3[start2]) * (TIPS!K212&lt;= Table3[end2])), "."))</f>
        <v>.</v>
      </c>
      <c r="K212" s="57"/>
      <c r="L212" s="80"/>
      <c r="M212" s="80"/>
      <c r="N212" s="80"/>
      <c r="O212" s="81"/>
      <c r="P212" s="102"/>
      <c r="Q212" s="190"/>
      <c r="R212" s="139"/>
    </row>
    <row r="213" spans="3:18" x14ac:dyDescent="0.35">
      <c r="C213" s="126">
        <v>45313</v>
      </c>
      <c r="D213" s="80" t="str">
        <v>AM</v>
      </c>
      <c r="E213" s="80" t="str">
        <v>January</v>
      </c>
      <c r="F213" s="80" t="str">
        <v>MON</v>
      </c>
      <c r="G213" s="81">
        <v>44.028148000000002</v>
      </c>
      <c r="H213" s="102" t="str">
        <v>SINGLE</v>
      </c>
      <c r="I213" s="95"/>
      <c r="J213" s="193" t="str" cm="1">
        <f t="array" ref="J213">_xlfn.TEXTJOIN(", ", TRUE, IFERROR(_xlfn._xlws.FILTER(Table3[Holiday Name], (TIPS!K213 &gt;= Table3[start2]) * (TIPS!K213&lt;= Table3[end2])), "."))</f>
        <v>.</v>
      </c>
      <c r="K213" s="57"/>
      <c r="L213" s="80"/>
      <c r="M213" s="80"/>
      <c r="N213" s="80"/>
      <c r="O213" s="81"/>
      <c r="P213" s="102"/>
      <c r="Q213" s="190"/>
      <c r="R213" s="139"/>
    </row>
    <row r="214" spans="3:18" x14ac:dyDescent="0.35">
      <c r="C214" s="126">
        <v>45316</v>
      </c>
      <c r="D214" s="80" t="str">
        <v>PM</v>
      </c>
      <c r="E214" s="80" t="str">
        <v>January</v>
      </c>
      <c r="F214" s="80" t="str">
        <v>THU</v>
      </c>
      <c r="G214" s="81">
        <v>287.61990400000002</v>
      </c>
      <c r="H214" s="102" t="str">
        <v>SINGLE</v>
      </c>
      <c r="I214" s="95"/>
      <c r="J214" s="193" t="str" cm="1">
        <f t="array" ref="J214">_xlfn.TEXTJOIN(", ", TRUE, IFERROR(_xlfn._xlws.FILTER(Table3[Holiday Name], (TIPS!K214 &gt;= Table3[start2]) * (TIPS!K214&lt;= Table3[end2])), "."))</f>
        <v>.</v>
      </c>
      <c r="K214" s="57"/>
      <c r="L214" s="80"/>
      <c r="M214" s="80"/>
      <c r="N214" s="80"/>
      <c r="O214" s="81"/>
      <c r="P214" s="102"/>
      <c r="Q214" s="190"/>
      <c r="R214" s="139"/>
    </row>
    <row r="215" spans="3:18" x14ac:dyDescent="0.35">
      <c r="C215" s="126">
        <v>45317</v>
      </c>
      <c r="D215" s="80" t="str">
        <v>PM</v>
      </c>
      <c r="E215" s="80" t="str">
        <v>January</v>
      </c>
      <c r="F215" s="80" t="str">
        <v>FRI</v>
      </c>
      <c r="G215" s="81">
        <v>194.26603999999998</v>
      </c>
      <c r="H215" s="102" t="str">
        <v>SINGLE</v>
      </c>
      <c r="I215" s="95"/>
      <c r="J215" s="193" t="str" cm="1">
        <f t="array" ref="J215">_xlfn.TEXTJOIN(", ", TRUE, IFERROR(_xlfn._xlws.FILTER(Table3[Holiday Name], (TIPS!K215 &gt;= Table3[start2]) * (TIPS!K215&lt;= Table3[end2])), "."))</f>
        <v>.</v>
      </c>
      <c r="K215" s="57"/>
      <c r="L215" s="80"/>
      <c r="M215" s="80"/>
      <c r="N215" s="80"/>
      <c r="O215" s="81"/>
      <c r="P215" s="102"/>
      <c r="Q215" s="190"/>
      <c r="R215" s="139"/>
    </row>
    <row r="216" spans="3:18" x14ac:dyDescent="0.35">
      <c r="C216" s="126">
        <v>45318</v>
      </c>
      <c r="D216" s="80" t="str">
        <v>AM</v>
      </c>
      <c r="E216" s="80" t="str">
        <v>January</v>
      </c>
      <c r="F216" s="80" t="str">
        <v>SAT</v>
      </c>
      <c r="G216" s="81">
        <v>198.829072</v>
      </c>
      <c r="H216" s="102" t="str">
        <v>DOUBLE</v>
      </c>
      <c r="I216" s="95"/>
      <c r="J216" s="193" t="str" cm="1">
        <f t="array" ref="J216">_xlfn.TEXTJOIN(", ", TRUE, IFERROR(_xlfn._xlws.FILTER(Table3[Holiday Name], (TIPS!K216 &gt;= Table3[start2]) * (TIPS!K216&lt;= Table3[end2])), "."))</f>
        <v>.</v>
      </c>
      <c r="K216" s="57"/>
      <c r="L216" s="80"/>
      <c r="M216" s="80"/>
      <c r="N216" s="80"/>
      <c r="O216" s="81"/>
      <c r="P216" s="102"/>
      <c r="Q216" s="190"/>
      <c r="R216" s="139"/>
    </row>
    <row r="217" spans="3:18" x14ac:dyDescent="0.35">
      <c r="C217" s="126">
        <v>45318</v>
      </c>
      <c r="D217" s="80" t="str">
        <v>PM</v>
      </c>
      <c r="E217" s="80" t="str">
        <v>January</v>
      </c>
      <c r="F217" s="80" t="str">
        <v>SAT</v>
      </c>
      <c r="G217" s="81">
        <v>198.46371199999999</v>
      </c>
      <c r="H217" s="102" t="str">
        <v>DOUBLE</v>
      </c>
      <c r="I217" s="95"/>
      <c r="J217" s="193" t="str" cm="1">
        <f t="array" ref="J217">_xlfn.TEXTJOIN(", ", TRUE, IFERROR(_xlfn._xlws.FILTER(Table3[Holiday Name], (TIPS!K217 &gt;= Table3[start2]) * (TIPS!K217&lt;= Table3[end2])), "."))</f>
        <v>.</v>
      </c>
      <c r="K217" s="57"/>
      <c r="L217" s="80"/>
      <c r="M217" s="80"/>
      <c r="N217" s="80"/>
      <c r="O217" s="81"/>
      <c r="P217" s="102"/>
      <c r="Q217" s="190"/>
      <c r="R217" s="139"/>
    </row>
    <row r="218" spans="3:18" x14ac:dyDescent="0.35">
      <c r="C218" s="126">
        <v>45319</v>
      </c>
      <c r="D218" s="80" t="str">
        <v>PM</v>
      </c>
      <c r="E218" s="80" t="str">
        <v>January</v>
      </c>
      <c r="F218" s="80" t="str">
        <v>SUN</v>
      </c>
      <c r="G218" s="81">
        <v>144.33091999999999</v>
      </c>
      <c r="H218" s="102" t="str">
        <v>SINGLE</v>
      </c>
      <c r="I218" s="95"/>
      <c r="J218" s="193" t="str" cm="1">
        <f t="array" ref="J218">_xlfn.TEXTJOIN(", ", TRUE, IFERROR(_xlfn._xlws.FILTER(Table3[Holiday Name], (TIPS!K218 &gt;= Table3[start2]) * (TIPS!K218&lt;= Table3[end2])), "."))</f>
        <v>.</v>
      </c>
      <c r="K218" s="57"/>
      <c r="L218" s="80"/>
      <c r="M218" s="80"/>
      <c r="N218" s="80"/>
      <c r="O218" s="81"/>
      <c r="P218" s="102"/>
      <c r="Q218" s="190"/>
      <c r="R218" s="139"/>
    </row>
    <row r="219" spans="3:18" x14ac:dyDescent="0.35">
      <c r="C219" s="126">
        <v>45322</v>
      </c>
      <c r="D219" s="80" t="str">
        <v>PM</v>
      </c>
      <c r="E219" s="80" t="str">
        <v>January</v>
      </c>
      <c r="F219" s="80" t="str">
        <v>WED</v>
      </c>
      <c r="G219" s="81">
        <v>183.97036800000001</v>
      </c>
      <c r="H219" s="102" t="str">
        <v>SINGLE</v>
      </c>
      <c r="I219" s="95"/>
      <c r="J219" s="193" t="str" cm="1">
        <f t="array" ref="J219">_xlfn.TEXTJOIN(", ", TRUE, IFERROR(_xlfn._xlws.FILTER(Table3[Holiday Name], (TIPS!K219 &gt;= Table3[start2]) * (TIPS!K219&lt;= Table3[end2])), "."))</f>
        <v>.</v>
      </c>
      <c r="K219" s="57"/>
      <c r="L219" s="80"/>
      <c r="M219" s="80"/>
      <c r="N219" s="80"/>
      <c r="O219" s="81"/>
      <c r="P219" s="102"/>
      <c r="Q219" s="190"/>
      <c r="R219" s="139"/>
    </row>
    <row r="220" spans="3:18" x14ac:dyDescent="0.35">
      <c r="C220" s="126">
        <v>45323</v>
      </c>
      <c r="D220" s="80" t="str">
        <v>PM</v>
      </c>
      <c r="E220" s="80" t="str">
        <v>February</v>
      </c>
      <c r="F220" s="80" t="str">
        <v>THU</v>
      </c>
      <c r="G220" s="81">
        <v>241.10095200000001</v>
      </c>
      <c r="H220" s="102" t="str">
        <v>SINGLE</v>
      </c>
      <c r="I220" s="95"/>
      <c r="J220" s="193" t="str" cm="1">
        <f t="array" ref="J220">_xlfn.TEXTJOIN(", ", TRUE, IFERROR(_xlfn._xlws.FILTER(Table3[Holiday Name], (TIPS!K220 &gt;= Table3[start2]) * (TIPS!K220&lt;= Table3[end2])), "."))</f>
        <v>.</v>
      </c>
      <c r="K220" s="57"/>
      <c r="L220" s="80"/>
      <c r="M220" s="80"/>
      <c r="N220" s="80"/>
      <c r="O220" s="81"/>
      <c r="P220" s="102"/>
      <c r="Q220" s="190"/>
      <c r="R220" s="139"/>
    </row>
    <row r="221" spans="3:18" x14ac:dyDescent="0.35">
      <c r="C221" s="126">
        <v>45324</v>
      </c>
      <c r="D221" s="80" t="str">
        <v>PM</v>
      </c>
      <c r="E221" s="80" t="str">
        <v>February</v>
      </c>
      <c r="F221" s="80" t="str">
        <v>FRI</v>
      </c>
      <c r="G221" s="81">
        <v>276.31105599999995</v>
      </c>
      <c r="H221" s="102" t="str">
        <v>SINGLE</v>
      </c>
      <c r="I221" s="95"/>
      <c r="J221" s="193" t="str" cm="1">
        <f t="array" ref="J221">_xlfn.TEXTJOIN(", ", TRUE, IFERROR(_xlfn._xlws.FILTER(Table3[Holiday Name], (TIPS!K221 &gt;= Table3[start2]) * (TIPS!K221&lt;= Table3[end2])), "."))</f>
        <v>.</v>
      </c>
      <c r="K221" s="57"/>
      <c r="L221" s="80"/>
      <c r="M221" s="80"/>
      <c r="N221" s="80"/>
      <c r="O221" s="81"/>
      <c r="P221" s="102"/>
      <c r="Q221" s="190"/>
      <c r="R221" s="139"/>
    </row>
    <row r="222" spans="3:18" x14ac:dyDescent="0.35">
      <c r="C222" s="126">
        <v>45325</v>
      </c>
      <c r="D222" s="80" t="str">
        <v>AM</v>
      </c>
      <c r="E222" s="80" t="str">
        <v>February</v>
      </c>
      <c r="F222" s="80" t="str">
        <v>SAT</v>
      </c>
      <c r="G222" s="81">
        <v>43.126488000000002</v>
      </c>
      <c r="H222" s="102" t="str">
        <v>SINGLE</v>
      </c>
      <c r="I222" s="95"/>
      <c r="J222" s="193" t="str" cm="1">
        <f t="array" ref="J222">_xlfn.TEXTJOIN(", ", TRUE, IFERROR(_xlfn._xlws.FILTER(Table3[Holiday Name], (TIPS!K222 &gt;= Table3[start2]) * (TIPS!K222&lt;= Table3[end2])), "."))</f>
        <v>.</v>
      </c>
      <c r="K222" s="57"/>
      <c r="L222" s="80"/>
      <c r="M222" s="80"/>
      <c r="N222" s="80"/>
      <c r="O222" s="81"/>
      <c r="P222" s="102"/>
      <c r="Q222" s="190"/>
      <c r="R222" s="139"/>
    </row>
    <row r="223" spans="3:18" x14ac:dyDescent="0.35">
      <c r="C223" s="126">
        <v>45327</v>
      </c>
      <c r="D223" s="80" t="str">
        <v>AM</v>
      </c>
      <c r="E223" s="80" t="str">
        <v>February</v>
      </c>
      <c r="F223" s="80" t="str">
        <v>MON</v>
      </c>
      <c r="G223" s="81">
        <v>57.636924</v>
      </c>
      <c r="H223" s="102" t="str">
        <v>DOUBLE</v>
      </c>
      <c r="I223" s="95"/>
      <c r="J223" s="193" t="str" cm="1">
        <f t="array" ref="J223">_xlfn.TEXTJOIN(", ", TRUE, IFERROR(_xlfn._xlws.FILTER(Table3[Holiday Name], (TIPS!K223 &gt;= Table3[start2]) * (TIPS!K223&lt;= Table3[end2])), "."))</f>
        <v>.</v>
      </c>
      <c r="K223" s="57"/>
      <c r="L223" s="80"/>
      <c r="M223" s="80"/>
      <c r="N223" s="80"/>
      <c r="O223" s="81"/>
      <c r="P223" s="102"/>
      <c r="Q223" s="190"/>
      <c r="R223" s="139"/>
    </row>
    <row r="224" spans="3:18" x14ac:dyDescent="0.35">
      <c r="C224" s="126">
        <v>45327</v>
      </c>
      <c r="D224" s="80" t="str">
        <v>PM</v>
      </c>
      <c r="E224" s="80" t="str">
        <v>February</v>
      </c>
      <c r="F224" s="80" t="str">
        <v>MON</v>
      </c>
      <c r="G224" s="81">
        <v>184.10223999999999</v>
      </c>
      <c r="H224" s="102" t="str">
        <v>DOUBLE</v>
      </c>
      <c r="I224" s="95"/>
      <c r="J224" s="193" t="str" cm="1">
        <f t="array" ref="J224">_xlfn.TEXTJOIN(", ", TRUE, IFERROR(_xlfn._xlws.FILTER(Table3[Holiday Name], (TIPS!K224 &gt;= Table3[start2]) * (TIPS!K224&lt;= Table3[end2])), "."))</f>
        <v>.</v>
      </c>
      <c r="K224" s="57"/>
      <c r="L224" s="80"/>
      <c r="M224" s="80"/>
      <c r="N224" s="80"/>
      <c r="O224" s="81"/>
      <c r="P224" s="102"/>
      <c r="Q224" s="190"/>
      <c r="R224" s="139"/>
    </row>
    <row r="225" spans="3:18" x14ac:dyDescent="0.35">
      <c r="C225" s="126">
        <v>45329</v>
      </c>
      <c r="D225" s="80" t="str">
        <v>AM</v>
      </c>
      <c r="E225" s="80" t="str">
        <v>February</v>
      </c>
      <c r="F225" s="80" t="str">
        <v>WED</v>
      </c>
      <c r="G225" s="81">
        <v>220.50298800000002</v>
      </c>
      <c r="H225" s="102" t="str">
        <v>DOUBLE</v>
      </c>
      <c r="I225" s="95"/>
      <c r="J225" s="193" t="str" cm="1">
        <f t="array" ref="J225">_xlfn.TEXTJOIN(", ", TRUE, IFERROR(_xlfn._xlws.FILTER(Table3[Holiday Name], (TIPS!K225 &gt;= Table3[start2]) * (TIPS!K225&lt;= Table3[end2])), "."))</f>
        <v>.</v>
      </c>
      <c r="K225" s="57"/>
      <c r="L225" s="80"/>
      <c r="M225" s="80"/>
      <c r="N225" s="80"/>
      <c r="O225" s="81"/>
      <c r="P225" s="102"/>
      <c r="Q225" s="190"/>
      <c r="R225" s="139"/>
    </row>
    <row r="226" spans="3:18" x14ac:dyDescent="0.35">
      <c r="C226" s="126">
        <v>45329</v>
      </c>
      <c r="D226" s="80" t="str">
        <v>PM</v>
      </c>
      <c r="E226" s="80" t="str">
        <v>February</v>
      </c>
      <c r="F226" s="80" t="str">
        <v>WED</v>
      </c>
      <c r="G226" s="81">
        <v>248.87699599999996</v>
      </c>
      <c r="H226" s="102" t="str">
        <v>DOUBLE</v>
      </c>
      <c r="I226" s="95"/>
      <c r="J226" s="193" t="str" cm="1">
        <f t="array" ref="J226">_xlfn.TEXTJOIN(", ", TRUE, IFERROR(_xlfn._xlws.FILTER(Table3[Holiday Name], (TIPS!K226 &gt;= Table3[start2]) * (TIPS!K226&lt;= Table3[end2])), "."))</f>
        <v>.</v>
      </c>
      <c r="K226" s="57"/>
      <c r="L226" s="80"/>
      <c r="M226" s="80"/>
      <c r="N226" s="80"/>
      <c r="O226" s="81"/>
      <c r="P226" s="102"/>
      <c r="Q226" s="190"/>
      <c r="R226" s="139"/>
    </row>
    <row r="227" spans="3:18" x14ac:dyDescent="0.35">
      <c r="C227" s="126">
        <v>45330</v>
      </c>
      <c r="D227" s="80" t="str">
        <v>PM</v>
      </c>
      <c r="E227" s="80" t="str">
        <v>February</v>
      </c>
      <c r="F227" s="80" t="str">
        <v>THU</v>
      </c>
      <c r="G227" s="81">
        <v>206.80472799999998</v>
      </c>
      <c r="H227" s="102" t="str">
        <v>SINGLE</v>
      </c>
      <c r="I227" s="95"/>
      <c r="J227" s="193" t="str" cm="1">
        <f t="array" ref="J227">_xlfn.TEXTJOIN(", ", TRUE, IFERROR(_xlfn._xlws.FILTER(Table3[Holiday Name], (TIPS!K227 &gt;= Table3[start2]) * (TIPS!K227&lt;= Table3[end2])), "."))</f>
        <v>.</v>
      </c>
      <c r="K227" s="57"/>
      <c r="L227" s="80"/>
      <c r="M227" s="80"/>
      <c r="N227" s="80"/>
      <c r="O227" s="81"/>
      <c r="P227" s="102"/>
      <c r="Q227" s="190"/>
      <c r="R227" s="139"/>
    </row>
    <row r="228" spans="3:18" x14ac:dyDescent="0.35">
      <c r="C228" s="126">
        <v>45332</v>
      </c>
      <c r="D228" s="80" t="str">
        <v>AM</v>
      </c>
      <c r="E228" s="80" t="str">
        <v>February</v>
      </c>
      <c r="F228" s="80" t="str">
        <v>SAT</v>
      </c>
      <c r="G228" s="81">
        <v>175.62089600000002</v>
      </c>
      <c r="H228" s="102" t="str">
        <v>SINGLE</v>
      </c>
      <c r="I228" s="95"/>
      <c r="J228" s="193" t="str" cm="1">
        <f t="array" ref="J228">_xlfn.TEXTJOIN(", ", TRUE, IFERROR(_xlfn._xlws.FILTER(Table3[Holiday Name], (TIPS!K228 &gt;= Table3[start2]) * (TIPS!K228&lt;= Table3[end2])), "."))</f>
        <v>.</v>
      </c>
      <c r="K228" s="57"/>
      <c r="L228" s="80"/>
      <c r="M228" s="80"/>
      <c r="N228" s="80"/>
      <c r="O228" s="81"/>
      <c r="P228" s="102"/>
      <c r="Q228" s="190"/>
      <c r="R228" s="139"/>
    </row>
    <row r="229" spans="3:18" x14ac:dyDescent="0.35">
      <c r="C229" s="126">
        <v>45333</v>
      </c>
      <c r="D229" s="80" t="str">
        <v>AM</v>
      </c>
      <c r="E229" s="80" t="str">
        <v>February</v>
      </c>
      <c r="F229" s="80" t="str">
        <v>SUN</v>
      </c>
      <c r="G229" s="81">
        <v>87.969680000000011</v>
      </c>
      <c r="H229" s="102" t="str">
        <v>SINGLE</v>
      </c>
      <c r="I229" s="95"/>
      <c r="J229" s="193" t="str" cm="1">
        <f t="array" ref="J229">_xlfn.TEXTJOIN(", ", TRUE, IFERROR(_xlfn._xlws.FILTER(Table3[Holiday Name], (TIPS!K229 &gt;= Table3[start2]) * (TIPS!K229&lt;= Table3[end2])), "."))</f>
        <v>.</v>
      </c>
      <c r="K229" s="57"/>
      <c r="L229" s="80"/>
      <c r="M229" s="80"/>
      <c r="N229" s="80"/>
      <c r="O229" s="81"/>
      <c r="P229" s="102"/>
      <c r="Q229" s="190"/>
      <c r="R229" s="139"/>
    </row>
    <row r="230" spans="3:18" x14ac:dyDescent="0.35">
      <c r="C230" s="126">
        <v>45334</v>
      </c>
      <c r="D230" s="80" t="str">
        <v>AM</v>
      </c>
      <c r="E230" s="80" t="str">
        <v>February</v>
      </c>
      <c r="F230" s="80" t="str">
        <v>MON</v>
      </c>
      <c r="G230" s="81">
        <v>12.697699999999999</v>
      </c>
      <c r="H230" s="102" t="str">
        <v>DOUBLE</v>
      </c>
      <c r="I230" s="95"/>
      <c r="J230" s="193" t="str" cm="1">
        <f t="array" ref="J230">_xlfn.TEXTJOIN(", ", TRUE, IFERROR(_xlfn._xlws.FILTER(Table3[Holiday Name], (TIPS!K230 &gt;= Table3[start2]) * (TIPS!K230&lt;= Table3[end2])), "."))</f>
        <v>.</v>
      </c>
      <c r="K230" s="57"/>
      <c r="L230" s="80"/>
      <c r="M230" s="80"/>
      <c r="N230" s="80"/>
      <c r="O230" s="81"/>
      <c r="P230" s="102"/>
      <c r="Q230" s="190"/>
      <c r="R230" s="139"/>
    </row>
    <row r="231" spans="3:18" x14ac:dyDescent="0.35">
      <c r="C231" s="126">
        <v>45334</v>
      </c>
      <c r="D231" s="80" t="str">
        <v>PM</v>
      </c>
      <c r="E231" s="80" t="str">
        <v>February</v>
      </c>
      <c r="F231" s="80" t="str">
        <v>MON</v>
      </c>
      <c r="G231" s="81">
        <v>141.91920399999998</v>
      </c>
      <c r="H231" s="102" t="str">
        <v>DOUBLE</v>
      </c>
      <c r="I231" s="95"/>
      <c r="J231" s="193" t="str" cm="1">
        <f t="array" ref="J231">_xlfn.TEXTJOIN(", ", TRUE, IFERROR(_xlfn._xlws.FILTER(Table3[Holiday Name], (TIPS!K231 &gt;= Table3[start2]) * (TIPS!K231&lt;= Table3[end2])), "."))</f>
        <v>.</v>
      </c>
      <c r="K231" s="57"/>
      <c r="L231" s="80"/>
      <c r="M231" s="80"/>
      <c r="N231" s="80"/>
      <c r="O231" s="81"/>
      <c r="P231" s="102"/>
      <c r="Q231" s="190"/>
      <c r="R231" s="139"/>
    </row>
    <row r="232" spans="3:18" x14ac:dyDescent="0.35">
      <c r="C232" s="126">
        <v>45336</v>
      </c>
      <c r="D232" s="80" t="str">
        <v>PM</v>
      </c>
      <c r="E232" s="80" t="str">
        <v>February</v>
      </c>
      <c r="F232" s="80" t="str">
        <v>WED</v>
      </c>
      <c r="G232" s="81">
        <v>373.043768</v>
      </c>
      <c r="H232" s="102" t="str">
        <v>SINGLE</v>
      </c>
      <c r="I232" s="95"/>
      <c r="J232" s="193" t="str" cm="1">
        <f t="array" ref="J232">_xlfn.TEXTJOIN(", ", TRUE, IFERROR(_xlfn._xlws.FILTER(Table3[Holiday Name], (TIPS!K232 &gt;= Table3[start2]) * (TIPS!K232&lt;= Table3[end2])), "."))</f>
        <v>.</v>
      </c>
      <c r="K232" s="57"/>
      <c r="L232" s="80"/>
      <c r="M232" s="80"/>
      <c r="N232" s="80"/>
      <c r="O232" s="81"/>
      <c r="P232" s="102"/>
      <c r="Q232" s="190"/>
      <c r="R232" s="139"/>
    </row>
    <row r="233" spans="3:18" x14ac:dyDescent="0.35">
      <c r="C233" s="126">
        <v>45337</v>
      </c>
      <c r="D233" s="80" t="str">
        <v>PM</v>
      </c>
      <c r="E233" s="80" t="str">
        <v>February</v>
      </c>
      <c r="F233" s="80" t="str">
        <v>THU</v>
      </c>
      <c r="G233" s="81">
        <v>211.08129200000002</v>
      </c>
      <c r="H233" s="102" t="str">
        <v>SINGLE</v>
      </c>
      <c r="I233" s="95"/>
      <c r="J233" s="193" t="str" cm="1">
        <f t="array" ref="J233">_xlfn.TEXTJOIN(", ", TRUE, IFERROR(_xlfn._xlws.FILTER(Table3[Holiday Name], (TIPS!K233 &gt;= Table3[start2]) * (TIPS!K233&lt;= Table3[end2])), "."))</f>
        <v>.</v>
      </c>
      <c r="K233" s="57"/>
      <c r="L233" s="80"/>
      <c r="M233" s="80"/>
      <c r="N233" s="80"/>
      <c r="O233" s="81"/>
      <c r="P233" s="102"/>
      <c r="Q233" s="190"/>
      <c r="R233" s="139"/>
    </row>
    <row r="234" spans="3:18" x14ac:dyDescent="0.35">
      <c r="C234" s="126">
        <v>45339</v>
      </c>
      <c r="D234" s="80" t="str">
        <v>AM</v>
      </c>
      <c r="E234" s="80" t="str">
        <v>February</v>
      </c>
      <c r="F234" s="80" t="str">
        <v>SAT</v>
      </c>
      <c r="G234" s="81">
        <v>163.45064799999997</v>
      </c>
      <c r="H234" s="102" t="str">
        <v>DOUBLE</v>
      </c>
      <c r="I234" s="95"/>
      <c r="J234" s="193" t="str" cm="1">
        <f t="array" ref="J234">_xlfn.TEXTJOIN(", ", TRUE, IFERROR(_xlfn._xlws.FILTER(Table3[Holiday Name], (TIPS!K234 &gt;= Table3[start2]) * (TIPS!K234&lt;= Table3[end2])), "."))</f>
        <v>.</v>
      </c>
      <c r="K234" s="57"/>
      <c r="L234" s="80"/>
      <c r="M234" s="80"/>
      <c r="N234" s="80"/>
      <c r="O234" s="81"/>
      <c r="P234" s="102"/>
      <c r="Q234" s="190"/>
      <c r="R234" s="139"/>
    </row>
    <row r="235" spans="3:18" x14ac:dyDescent="0.35">
      <c r="C235" s="126">
        <v>45339</v>
      </c>
      <c r="D235" s="80" t="str">
        <v>PM</v>
      </c>
      <c r="E235" s="80" t="str">
        <v>February</v>
      </c>
      <c r="F235" s="80" t="str">
        <v>SAT</v>
      </c>
      <c r="G235" s="81">
        <v>238.391864</v>
      </c>
      <c r="H235" s="102" t="str">
        <v>DOUBLE</v>
      </c>
      <c r="I235" s="95"/>
      <c r="J235" s="193" t="str" cm="1">
        <f t="array" ref="J235">_xlfn.TEXTJOIN(", ", TRUE, IFERROR(_xlfn._xlws.FILTER(Table3[Holiday Name], (TIPS!K235 &gt;= Table3[start2]) * (TIPS!K235&lt;= Table3[end2])), "."))</f>
        <v>.</v>
      </c>
      <c r="K235" s="57"/>
      <c r="L235" s="80"/>
      <c r="M235" s="80"/>
      <c r="N235" s="80"/>
      <c r="O235" s="81"/>
      <c r="P235" s="102"/>
      <c r="Q235" s="190"/>
      <c r="R235" s="139"/>
    </row>
    <row r="236" spans="3:18" x14ac:dyDescent="0.35">
      <c r="C236" s="126">
        <v>45340</v>
      </c>
      <c r="D236" s="80" t="str">
        <v>AM</v>
      </c>
      <c r="E236" s="80" t="str">
        <v>February</v>
      </c>
      <c r="F236" s="80" t="str">
        <v>SUN</v>
      </c>
      <c r="G236" s="81">
        <v>134.12731199999999</v>
      </c>
      <c r="H236" s="102" t="str">
        <v>DOUBLE</v>
      </c>
      <c r="I236" s="95"/>
      <c r="J236" s="193" t="str" cm="1">
        <f t="array" ref="J236">_xlfn.TEXTJOIN(", ", TRUE, IFERROR(_xlfn._xlws.FILTER(Table3[Holiday Name], (TIPS!K236 &gt;= Table3[start2]) * (TIPS!K236&lt;= Table3[end2])), "."))</f>
        <v>.</v>
      </c>
      <c r="K236" s="57"/>
      <c r="L236" s="80"/>
      <c r="M236" s="80"/>
      <c r="N236" s="80"/>
      <c r="O236" s="81"/>
      <c r="P236" s="102"/>
      <c r="Q236" s="190"/>
      <c r="R236" s="139"/>
    </row>
    <row r="237" spans="3:18" x14ac:dyDescent="0.35">
      <c r="C237" s="126">
        <v>45340</v>
      </c>
      <c r="D237" s="80" t="str">
        <v>PM</v>
      </c>
      <c r="E237" s="80" t="str">
        <v>February</v>
      </c>
      <c r="F237" s="80" t="str">
        <v>SUN</v>
      </c>
      <c r="G237" s="81">
        <v>235.05908399999998</v>
      </c>
      <c r="H237" s="102" t="str">
        <v>DOUBLE</v>
      </c>
      <c r="I237" s="95"/>
      <c r="J237" s="193" t="str" cm="1">
        <f t="array" ref="J237">_xlfn.TEXTJOIN(", ", TRUE, IFERROR(_xlfn._xlws.FILTER(Table3[Holiday Name], (TIPS!K237 &gt;= Table3[start2]) * (TIPS!K237&lt;= Table3[end2])), "."))</f>
        <v>.</v>
      </c>
      <c r="K237" s="57"/>
      <c r="L237" s="80"/>
      <c r="M237" s="80"/>
      <c r="N237" s="80"/>
      <c r="O237" s="81"/>
      <c r="P237" s="102"/>
      <c r="Q237" s="190"/>
      <c r="R237" s="139"/>
    </row>
    <row r="238" spans="3:18" x14ac:dyDescent="0.35">
      <c r="C238" s="126">
        <v>45341</v>
      </c>
      <c r="D238" s="80" t="str">
        <v>PM</v>
      </c>
      <c r="E238" s="80" t="str">
        <v>February</v>
      </c>
      <c r="F238" s="80" t="str">
        <v>MON</v>
      </c>
      <c r="G238" s="81">
        <v>178.746624</v>
      </c>
      <c r="H238" s="102" t="str">
        <v>DOUBLE</v>
      </c>
      <c r="I238" s="95"/>
      <c r="J238" s="193" t="str" cm="1">
        <f t="array" ref="J238">_xlfn.TEXTJOIN(", ", TRUE, IFERROR(_xlfn._xlws.FILTER(Table3[Holiday Name], (TIPS!K238 &gt;= Table3[start2]) * (TIPS!K238&lt;= Table3[end2])), "."))</f>
        <v>.</v>
      </c>
      <c r="K238" s="57"/>
      <c r="L238" s="80"/>
      <c r="M238" s="80"/>
      <c r="N238" s="80"/>
      <c r="O238" s="81"/>
      <c r="P238" s="102"/>
      <c r="Q238" s="190"/>
      <c r="R238" s="139"/>
    </row>
    <row r="239" spans="3:18" x14ac:dyDescent="0.35">
      <c r="C239" s="126">
        <v>45346</v>
      </c>
      <c r="D239" s="80" t="str">
        <v>PM</v>
      </c>
      <c r="E239" s="80" t="str">
        <v>February</v>
      </c>
      <c r="F239" s="80" t="str">
        <v>SAT</v>
      </c>
      <c r="G239" s="81">
        <v>289.77713199999999</v>
      </c>
      <c r="H239" s="102" t="str">
        <v>SINGLE</v>
      </c>
      <c r="I239" s="95"/>
      <c r="J239" s="193" t="str" cm="1">
        <f t="array" ref="J239">_xlfn.TEXTJOIN(", ", TRUE, IFERROR(_xlfn._xlws.FILTER(Table3[Holiday Name], (TIPS!K239 &gt;= Table3[start2]) * (TIPS!K239&lt;= Table3[end2])), "."))</f>
        <v>.</v>
      </c>
      <c r="K239" s="57"/>
      <c r="L239" s="80"/>
      <c r="M239" s="80"/>
      <c r="N239" s="80"/>
      <c r="O239" s="81"/>
      <c r="P239" s="102"/>
      <c r="Q239" s="190"/>
      <c r="R239" s="139"/>
    </row>
    <row r="240" spans="3:18" x14ac:dyDescent="0.35">
      <c r="C240" s="126">
        <v>45347</v>
      </c>
      <c r="D240" s="80" t="str">
        <v>PM</v>
      </c>
      <c r="E240" s="80" t="str">
        <v>February</v>
      </c>
      <c r="F240" s="80" t="str">
        <v>SUN</v>
      </c>
      <c r="G240" s="81">
        <v>169.05556000000001</v>
      </c>
      <c r="H240" s="102" t="str">
        <v>SINGLE</v>
      </c>
      <c r="I240" s="95"/>
      <c r="J240" s="193" t="str" cm="1">
        <f t="array" ref="J240">_xlfn.TEXTJOIN(", ", TRUE, IFERROR(_xlfn._xlws.FILTER(Table3[Holiday Name], (TIPS!K240 &gt;= Table3[start2]) * (TIPS!K240&lt;= Table3[end2])), "."))</f>
        <v>.</v>
      </c>
      <c r="K240" s="57"/>
      <c r="L240" s="80"/>
      <c r="M240" s="80"/>
      <c r="N240" s="80"/>
      <c r="O240" s="81"/>
      <c r="P240" s="102"/>
      <c r="Q240" s="190"/>
      <c r="R240" s="139"/>
    </row>
    <row r="241" spans="3:18" x14ac:dyDescent="0.35">
      <c r="C241" s="126">
        <v>45348</v>
      </c>
      <c r="D241" s="80" t="str">
        <v>AM</v>
      </c>
      <c r="E241" s="80" t="str">
        <v>February</v>
      </c>
      <c r="F241" s="80" t="str">
        <v>MON</v>
      </c>
      <c r="G241" s="81">
        <v>68.663443999999998</v>
      </c>
      <c r="H241" s="102" t="str">
        <v>DOUBLE</v>
      </c>
      <c r="I241" s="95"/>
      <c r="J241" s="193" t="str" cm="1">
        <f t="array" ref="J241">_xlfn.TEXTJOIN(", ", TRUE, IFERROR(_xlfn._xlws.FILTER(Table3[Holiday Name], (TIPS!K241 &gt;= Table3[start2]) * (TIPS!K241&lt;= Table3[end2])), "."))</f>
        <v>.</v>
      </c>
      <c r="K241" s="57"/>
      <c r="L241" s="80"/>
      <c r="M241" s="80"/>
      <c r="N241" s="80"/>
      <c r="O241" s="81"/>
      <c r="P241" s="102"/>
      <c r="Q241" s="190"/>
      <c r="R241" s="139"/>
    </row>
    <row r="242" spans="3:18" x14ac:dyDescent="0.35">
      <c r="C242" s="126">
        <v>45348</v>
      </c>
      <c r="D242" s="80" t="str">
        <v>PM</v>
      </c>
      <c r="E242" s="80" t="str">
        <v>February</v>
      </c>
      <c r="F242" s="80" t="str">
        <v>MON</v>
      </c>
      <c r="G242" s="81">
        <v>181.67976800000002</v>
      </c>
      <c r="H242" s="102" t="str">
        <v>DOUBLE</v>
      </c>
      <c r="I242" s="95"/>
      <c r="J242" s="193" t="str" cm="1">
        <f t="array" ref="J242">_xlfn.TEXTJOIN(", ", TRUE, IFERROR(_xlfn._xlws.FILTER(Table3[Holiday Name], (TIPS!K242 &gt;= Table3[start2]) * (TIPS!K242&lt;= Table3[end2])), "."))</f>
        <v>.</v>
      </c>
      <c r="K242" s="57"/>
      <c r="L242" s="80"/>
      <c r="M242" s="80"/>
      <c r="N242" s="80"/>
      <c r="O242" s="81"/>
      <c r="P242" s="102"/>
      <c r="Q242" s="190"/>
      <c r="R242" s="139"/>
    </row>
    <row r="243" spans="3:18" x14ac:dyDescent="0.35">
      <c r="C243" s="126">
        <v>45352</v>
      </c>
      <c r="D243" s="80" t="str">
        <v>AM</v>
      </c>
      <c r="E243" s="80" t="str">
        <v>March</v>
      </c>
      <c r="F243" s="80" t="str">
        <v>FRI</v>
      </c>
      <c r="G243" s="81">
        <v>121.807196</v>
      </c>
      <c r="H243" s="102" t="str">
        <v>SINGLE</v>
      </c>
      <c r="I243" s="95"/>
      <c r="J243" s="193" t="str" cm="1">
        <f t="array" ref="J243">_xlfn.TEXTJOIN(", ", TRUE, IFERROR(_xlfn._xlws.FILTER(Table3[Holiday Name], (TIPS!K243 &gt;= Table3[start2]) * (TIPS!K243&lt;= Table3[end2])), "."))</f>
        <v>.</v>
      </c>
      <c r="K243" s="57"/>
      <c r="L243" s="80"/>
      <c r="M243" s="80"/>
      <c r="N243" s="80"/>
      <c r="O243" s="81"/>
      <c r="P243" s="102"/>
      <c r="Q243" s="190"/>
      <c r="R243" s="139"/>
    </row>
    <row r="244" spans="3:18" x14ac:dyDescent="0.35">
      <c r="C244" s="126">
        <v>45353</v>
      </c>
      <c r="D244" s="80" t="str">
        <v>PM</v>
      </c>
      <c r="E244" s="80" t="str">
        <v>March</v>
      </c>
      <c r="F244" s="80" t="str">
        <v>SAT</v>
      </c>
      <c r="G244" s="81">
        <v>162.63203999999999</v>
      </c>
      <c r="H244" s="102" t="str">
        <v>SINGLE</v>
      </c>
      <c r="I244" s="95"/>
      <c r="J244" s="193" t="str" cm="1">
        <f t="array" ref="J244">_xlfn.TEXTJOIN(", ", TRUE, IFERROR(_xlfn._xlws.FILTER(Table3[Holiday Name], (TIPS!K244 &gt;= Table3[start2]) * (TIPS!K244&lt;= Table3[end2])), "."))</f>
        <v>.</v>
      </c>
      <c r="K244" s="57"/>
      <c r="L244" s="80"/>
      <c r="M244" s="80"/>
      <c r="N244" s="80"/>
      <c r="O244" s="81"/>
      <c r="P244" s="102"/>
      <c r="Q244" s="190"/>
      <c r="R244" s="139"/>
    </row>
    <row r="245" spans="3:18" x14ac:dyDescent="0.35">
      <c r="C245" s="126">
        <v>45354</v>
      </c>
      <c r="D245" s="80" t="str">
        <v>PM</v>
      </c>
      <c r="E245" s="80" t="str">
        <v>March</v>
      </c>
      <c r="F245" s="80" t="str">
        <v>SUN</v>
      </c>
      <c r="G245" s="81">
        <v>283.06921599999998</v>
      </c>
      <c r="H245" s="102" t="str">
        <v>DOUBLE</v>
      </c>
      <c r="I245" s="95"/>
      <c r="J245" s="193" t="str" cm="1">
        <f t="array" ref="J245">_xlfn.TEXTJOIN(", ", TRUE, IFERROR(_xlfn._xlws.FILTER(Table3[Holiday Name], (TIPS!K245 &gt;= Table3[start2]) * (TIPS!K245&lt;= Table3[end2])), "."))</f>
        <v>.</v>
      </c>
      <c r="K245" s="57"/>
      <c r="L245" s="80"/>
      <c r="M245" s="80"/>
      <c r="N245" s="80"/>
      <c r="O245" s="81"/>
      <c r="P245" s="102"/>
      <c r="Q245" s="190"/>
      <c r="R245" s="139"/>
    </row>
    <row r="246" spans="3:18" x14ac:dyDescent="0.35">
      <c r="C246" s="126">
        <v>45355</v>
      </c>
      <c r="D246" s="80" t="str">
        <v>AM</v>
      </c>
      <c r="E246" s="80" t="str">
        <v>March</v>
      </c>
      <c r="F246" s="80" t="str">
        <v>MON</v>
      </c>
      <c r="G246" s="81">
        <v>89.287804000000008</v>
      </c>
      <c r="H246" s="102" t="str">
        <v>DOUBLE</v>
      </c>
      <c r="I246" s="95"/>
      <c r="J246" s="193" t="str" cm="1">
        <f t="array" ref="J246">_xlfn.TEXTJOIN(", ", TRUE, IFERROR(_xlfn._xlws.FILTER(Table3[Holiday Name], (TIPS!K246 &gt;= Table3[start2]) * (TIPS!K246&lt;= Table3[end2])), "."))</f>
        <v>.</v>
      </c>
      <c r="K246" s="57"/>
      <c r="L246" s="80"/>
      <c r="M246" s="80"/>
      <c r="N246" s="80"/>
      <c r="O246" s="81"/>
      <c r="P246" s="102"/>
      <c r="Q246" s="190"/>
      <c r="R246" s="139"/>
    </row>
    <row r="247" spans="3:18" x14ac:dyDescent="0.35">
      <c r="C247" s="126">
        <v>45355</v>
      </c>
      <c r="D247" s="80" t="str">
        <v>PM</v>
      </c>
      <c r="E247" s="80" t="str">
        <v>March</v>
      </c>
      <c r="F247" s="80" t="str">
        <v>MON</v>
      </c>
      <c r="G247" s="81">
        <v>311.89962400000002</v>
      </c>
      <c r="H247" s="102" t="str">
        <v>DOUBLE</v>
      </c>
      <c r="I247" s="95"/>
      <c r="J247" s="193" t="str" cm="1">
        <f t="array" ref="J247">_xlfn.TEXTJOIN(", ", TRUE, IFERROR(_xlfn._xlws.FILTER(Table3[Holiday Name], (TIPS!K247 &gt;= Table3[start2]) * (TIPS!K247&lt;= Table3[end2])), "."))</f>
        <v>.</v>
      </c>
      <c r="K247" s="57"/>
      <c r="L247" s="80"/>
      <c r="M247" s="80"/>
      <c r="N247" s="80"/>
      <c r="O247" s="81"/>
      <c r="P247" s="102"/>
      <c r="Q247" s="190"/>
      <c r="R247" s="139"/>
    </row>
    <row r="248" spans="3:18" x14ac:dyDescent="0.35">
      <c r="C248" s="126">
        <v>45357</v>
      </c>
      <c r="D248" s="80" t="str">
        <v>PM</v>
      </c>
      <c r="E248" s="80" t="str">
        <v>March</v>
      </c>
      <c r="F248" s="80" t="str">
        <v>WED</v>
      </c>
      <c r="G248" s="81">
        <v>248.45899199999999</v>
      </c>
      <c r="H248" s="102" t="str">
        <v>SINGLE</v>
      </c>
      <c r="I248" s="95"/>
      <c r="J248" s="193" t="str" cm="1">
        <f t="array" ref="J248">_xlfn.TEXTJOIN(", ", TRUE, IFERROR(_xlfn._xlws.FILTER(Table3[Holiday Name], (TIPS!K248 &gt;= Table3[start2]) * (TIPS!K248&lt;= Table3[end2])), "."))</f>
        <v>.</v>
      </c>
      <c r="K248" s="57"/>
      <c r="L248" s="80"/>
      <c r="M248" s="80"/>
      <c r="N248" s="80"/>
      <c r="O248" s="81"/>
      <c r="P248" s="102"/>
      <c r="Q248" s="190"/>
      <c r="R248" s="139"/>
    </row>
    <row r="249" spans="3:18" x14ac:dyDescent="0.35">
      <c r="C249" s="126">
        <v>45359</v>
      </c>
      <c r="D249" s="80" t="str">
        <v>PM</v>
      </c>
      <c r="E249" s="80" t="str">
        <v>March</v>
      </c>
      <c r="F249" s="80" t="str">
        <v>FRI</v>
      </c>
      <c r="G249" s="81">
        <v>225.74660400000002</v>
      </c>
      <c r="H249" s="102" t="str">
        <v>SINGLE</v>
      </c>
      <c r="I249" s="95"/>
      <c r="J249" s="193" t="str" cm="1">
        <f t="array" ref="J249">_xlfn.TEXTJOIN(", ", TRUE, IFERROR(_xlfn._xlws.FILTER(Table3[Holiday Name], (TIPS!K249 &gt;= Table3[start2]) * (TIPS!K249&lt;= Table3[end2])), "."))</f>
        <v>.</v>
      </c>
      <c r="K249" s="57"/>
      <c r="L249" s="80"/>
      <c r="M249" s="80"/>
      <c r="N249" s="80"/>
      <c r="O249" s="81"/>
      <c r="P249" s="102"/>
      <c r="Q249" s="190"/>
      <c r="R249" s="139"/>
    </row>
    <row r="250" spans="3:18" x14ac:dyDescent="0.35">
      <c r="C250" s="126">
        <v>45360</v>
      </c>
      <c r="D250" s="80" t="str">
        <v>AM</v>
      </c>
      <c r="E250" s="80" t="str">
        <v>March</v>
      </c>
      <c r="F250" s="80" t="str">
        <v>SAT</v>
      </c>
      <c r="G250" s="81">
        <v>76.934904000000003</v>
      </c>
      <c r="H250" s="102" t="str">
        <v>DOUBLE</v>
      </c>
      <c r="I250" s="95"/>
      <c r="J250" s="193" t="str" cm="1">
        <f t="array" ref="J250">_xlfn.TEXTJOIN(", ", TRUE, IFERROR(_xlfn._xlws.FILTER(Table3[Holiday Name], (TIPS!K250 &gt;= Table3[start2]) * (TIPS!K250&lt;= Table3[end2])), "."))</f>
        <v>.</v>
      </c>
      <c r="K250" s="57"/>
      <c r="L250" s="80"/>
      <c r="M250" s="80"/>
      <c r="N250" s="80"/>
      <c r="O250" s="81"/>
      <c r="P250" s="102"/>
      <c r="Q250" s="190"/>
      <c r="R250" s="139"/>
    </row>
    <row r="251" spans="3:18" x14ac:dyDescent="0.35">
      <c r="C251" s="126">
        <v>45360</v>
      </c>
      <c r="D251" s="80" t="str">
        <v>PM</v>
      </c>
      <c r="E251" s="80" t="str">
        <v>March</v>
      </c>
      <c r="F251" s="80" t="str">
        <v>SAT</v>
      </c>
      <c r="G251" s="81">
        <v>344.84610399999997</v>
      </c>
      <c r="H251" s="102" t="str">
        <v>DOUBLE</v>
      </c>
      <c r="I251" s="95"/>
      <c r="J251" s="193" t="str" cm="1">
        <f t="array" ref="J251">_xlfn.TEXTJOIN(", ", TRUE, IFERROR(_xlfn._xlws.FILTER(Table3[Holiday Name], (TIPS!K251 &gt;= Table3[start2]) * (TIPS!K251&lt;= Table3[end2])), "."))</f>
        <v>.</v>
      </c>
      <c r="K251" s="57"/>
      <c r="L251" s="80"/>
      <c r="M251" s="80"/>
      <c r="N251" s="80"/>
      <c r="O251" s="81"/>
      <c r="P251" s="102"/>
      <c r="Q251" s="190"/>
      <c r="R251" s="139"/>
    </row>
    <row r="252" spans="3:18" x14ac:dyDescent="0.35">
      <c r="C252" s="126">
        <v>45361</v>
      </c>
      <c r="D252" s="80" t="str">
        <v>AM</v>
      </c>
      <c r="E252" s="80" t="str">
        <v>March</v>
      </c>
      <c r="F252" s="80" t="str">
        <v>SUN</v>
      </c>
      <c r="G252" s="81">
        <v>78.937404000000001</v>
      </c>
      <c r="H252" s="102" t="str">
        <v>DOUBLE</v>
      </c>
      <c r="I252" s="95"/>
      <c r="J252" s="193" t="str" cm="1">
        <f t="array" ref="J252">_xlfn.TEXTJOIN(", ", TRUE, IFERROR(_xlfn._xlws.FILTER(Table3[Holiday Name], (TIPS!K252 &gt;= Table3[start2]) * (TIPS!K252&lt;= Table3[end2])), "."))</f>
        <v>.</v>
      </c>
      <c r="K252" s="57"/>
      <c r="L252" s="80"/>
      <c r="M252" s="80"/>
      <c r="N252" s="80"/>
      <c r="O252" s="81"/>
      <c r="P252" s="102"/>
      <c r="Q252" s="190"/>
      <c r="R252" s="139"/>
    </row>
    <row r="253" spans="3:18" x14ac:dyDescent="0.35">
      <c r="C253" s="126">
        <v>45361</v>
      </c>
      <c r="D253" s="80" t="str">
        <v>PM</v>
      </c>
      <c r="E253" s="80" t="str">
        <v>March</v>
      </c>
      <c r="F253" s="80" t="str">
        <v>SUN</v>
      </c>
      <c r="G253" s="81">
        <v>172.90884799999998</v>
      </c>
      <c r="H253" s="102" t="str">
        <v>DOUBLE</v>
      </c>
      <c r="I253" s="95"/>
      <c r="J253" s="193" t="str" cm="1">
        <f t="array" ref="J253">_xlfn.TEXTJOIN(", ", TRUE, IFERROR(_xlfn._xlws.FILTER(Table3[Holiday Name], (TIPS!K253 &gt;= Table3[start2]) * (TIPS!K253&lt;= Table3[end2])), "."))</f>
        <v>.</v>
      </c>
      <c r="K253" s="57"/>
      <c r="L253" s="80"/>
      <c r="M253" s="80"/>
      <c r="N253" s="80"/>
      <c r="O253" s="81"/>
      <c r="P253" s="102"/>
      <c r="Q253" s="190"/>
      <c r="R253" s="139"/>
    </row>
    <row r="254" spans="3:18" x14ac:dyDescent="0.35">
      <c r="C254" s="126">
        <v>45362</v>
      </c>
      <c r="D254" s="80" t="str">
        <v>PM</v>
      </c>
      <c r="E254" s="80" t="str">
        <v>March</v>
      </c>
      <c r="F254" s="80" t="str">
        <v>MON</v>
      </c>
      <c r="G254" s="81">
        <v>347.55293999999998</v>
      </c>
      <c r="H254" s="102" t="str">
        <v>SINGLE</v>
      </c>
      <c r="I254" s="95"/>
      <c r="J254" s="193" t="str" cm="1">
        <f t="array" ref="J254">_xlfn.TEXTJOIN(", ", TRUE, IFERROR(_xlfn._xlws.FILTER(Table3[Holiday Name], (TIPS!K254 &gt;= Table3[start2]) * (TIPS!K254&lt;= Table3[end2])), "."))</f>
        <v>.</v>
      </c>
      <c r="K254" s="57"/>
      <c r="L254" s="80"/>
      <c r="M254" s="80"/>
      <c r="N254" s="80"/>
      <c r="O254" s="81"/>
      <c r="P254" s="102"/>
      <c r="Q254" s="190"/>
      <c r="R254" s="139"/>
    </row>
    <row r="255" spans="3:18" x14ac:dyDescent="0.35">
      <c r="C255" s="126">
        <v>45364</v>
      </c>
      <c r="D255" s="80" t="str">
        <v>PM</v>
      </c>
      <c r="E255" s="80" t="str">
        <v>March</v>
      </c>
      <c r="F255" s="80" t="str">
        <v>WED</v>
      </c>
      <c r="G255" s="81">
        <v>326.54312000000004</v>
      </c>
      <c r="H255" s="102" t="str">
        <v>SINGLE</v>
      </c>
      <c r="I255" s="95"/>
      <c r="J255" s="193" t="str" cm="1">
        <f t="array" ref="J255">_xlfn.TEXTJOIN(", ", TRUE, IFERROR(_xlfn._xlws.FILTER(Table3[Holiday Name], (TIPS!K255 &gt;= Table3[start2]) * (TIPS!K255&lt;= Table3[end2])), "."))</f>
        <v>.</v>
      </c>
      <c r="K255" s="57"/>
      <c r="L255" s="80"/>
      <c r="M255" s="80"/>
      <c r="N255" s="80"/>
      <c r="O255" s="81"/>
      <c r="P255" s="102"/>
      <c r="Q255" s="190"/>
      <c r="R255" s="139"/>
    </row>
    <row r="256" spans="3:18" x14ac:dyDescent="0.35">
      <c r="C256" s="126">
        <v>45366</v>
      </c>
      <c r="D256" s="80" t="str">
        <v>PM</v>
      </c>
      <c r="E256" s="80" t="str">
        <v>March</v>
      </c>
      <c r="F256" s="80" t="str">
        <v>FRI</v>
      </c>
      <c r="G256" s="81">
        <v>298.03705200000002</v>
      </c>
      <c r="H256" s="102" t="str">
        <v>SINGLE</v>
      </c>
      <c r="I256" s="95"/>
      <c r="J256" s="193" t="str" cm="1">
        <f t="array" ref="J256">_xlfn.TEXTJOIN(", ", TRUE, IFERROR(_xlfn._xlws.FILTER(Table3[Holiday Name], (TIPS!K256 &gt;= Table3[start2]) * (TIPS!K256&lt;= Table3[end2])), "."))</f>
        <v>.</v>
      </c>
      <c r="K256" s="57"/>
      <c r="L256" s="80"/>
      <c r="M256" s="80"/>
      <c r="N256" s="80"/>
      <c r="O256" s="81"/>
      <c r="P256" s="102"/>
      <c r="Q256" s="190"/>
      <c r="R256" s="139"/>
    </row>
    <row r="257" spans="3:18" x14ac:dyDescent="0.35">
      <c r="C257" s="126">
        <v>45367</v>
      </c>
      <c r="D257" s="80" t="str">
        <v>AM</v>
      </c>
      <c r="E257" s="80" t="str">
        <v>March</v>
      </c>
      <c r="F257" s="80" t="str">
        <v>SAT</v>
      </c>
      <c r="G257" s="81">
        <v>95.098060000000004</v>
      </c>
      <c r="H257" s="102" t="str">
        <v>DOUBLE</v>
      </c>
      <c r="I257" s="95"/>
      <c r="J257" s="193" t="str" cm="1">
        <f t="array" ref="J257">_xlfn.TEXTJOIN(", ", TRUE, IFERROR(_xlfn._xlws.FILTER(Table3[Holiday Name], (TIPS!K257 &gt;= Table3[start2]) * (TIPS!K257&lt;= Table3[end2])), "."))</f>
        <v>.</v>
      </c>
      <c r="K257" s="57"/>
      <c r="L257" s="80"/>
      <c r="M257" s="80"/>
      <c r="N257" s="80"/>
      <c r="O257" s="81"/>
      <c r="P257" s="102"/>
      <c r="Q257" s="190"/>
      <c r="R257" s="139"/>
    </row>
    <row r="258" spans="3:18" x14ac:dyDescent="0.35">
      <c r="C258" s="126">
        <v>45367</v>
      </c>
      <c r="D258" s="80" t="str">
        <v>PM</v>
      </c>
      <c r="E258" s="80" t="str">
        <v>March</v>
      </c>
      <c r="F258" s="80" t="str">
        <v>SAT</v>
      </c>
      <c r="G258" s="81">
        <v>219.94739200000001</v>
      </c>
      <c r="H258" s="102" t="str">
        <v>DOUBLE</v>
      </c>
      <c r="I258" s="95"/>
      <c r="J258" s="193" t="str" cm="1">
        <f t="array" ref="J258">_xlfn.TEXTJOIN(", ", TRUE, IFERROR(_xlfn._xlws.FILTER(Table3[Holiday Name], (TIPS!K258 &gt;= Table3[start2]) * (TIPS!K258&lt;= Table3[end2])), "."))</f>
        <v>.</v>
      </c>
      <c r="K258" s="57"/>
      <c r="L258" s="80"/>
      <c r="M258" s="80"/>
      <c r="N258" s="80"/>
      <c r="O258" s="81"/>
      <c r="P258" s="102"/>
      <c r="Q258" s="190"/>
      <c r="R258" s="139"/>
    </row>
    <row r="259" spans="3:18" x14ac:dyDescent="0.35">
      <c r="C259" s="126">
        <v>45368</v>
      </c>
      <c r="D259" s="80" t="str">
        <v>AM</v>
      </c>
      <c r="E259" s="80" t="str">
        <v>March</v>
      </c>
      <c r="F259" s="80" t="str">
        <v>SUN</v>
      </c>
      <c r="G259" s="81">
        <v>66.363367999999994</v>
      </c>
      <c r="H259" s="102" t="str">
        <v>SINGLE</v>
      </c>
      <c r="I259" s="95"/>
      <c r="J259" s="193" t="str" cm="1">
        <f t="array" ref="J259">_xlfn.TEXTJOIN(", ", TRUE, IFERROR(_xlfn._xlws.FILTER(Table3[Holiday Name], (TIPS!K259 &gt;= Table3[start2]) * (TIPS!K259&lt;= Table3[end2])), "."))</f>
        <v>.</v>
      </c>
      <c r="K259" s="57"/>
      <c r="L259" s="80"/>
      <c r="M259" s="80"/>
      <c r="N259" s="80"/>
      <c r="O259" s="81"/>
      <c r="P259" s="102"/>
      <c r="Q259" s="190"/>
      <c r="R259" s="139"/>
    </row>
    <row r="260" spans="3:18" x14ac:dyDescent="0.35">
      <c r="C260" s="126">
        <v>45369</v>
      </c>
      <c r="D260" s="80" t="str">
        <v>AM</v>
      </c>
      <c r="E260" s="80" t="str">
        <v>March</v>
      </c>
      <c r="F260" s="80" t="str">
        <v>MON</v>
      </c>
      <c r="G260" s="81">
        <v>90.931659999999994</v>
      </c>
      <c r="H260" s="102" t="str">
        <v>DOUBLE</v>
      </c>
      <c r="I260" s="95"/>
      <c r="J260" s="193" t="str" cm="1">
        <f t="array" ref="J260">_xlfn.TEXTJOIN(", ", TRUE, IFERROR(_xlfn._xlws.FILTER(Table3[Holiday Name], (TIPS!K260 &gt;= Table3[start2]) * (TIPS!K260&lt;= Table3[end2])), "."))</f>
        <v>.</v>
      </c>
      <c r="K260" s="57"/>
      <c r="L260" s="80"/>
      <c r="M260" s="80"/>
      <c r="N260" s="80"/>
      <c r="O260" s="81"/>
      <c r="P260" s="102"/>
      <c r="Q260" s="190"/>
      <c r="R260" s="139"/>
    </row>
    <row r="261" spans="3:18" x14ac:dyDescent="0.35">
      <c r="C261" s="126">
        <v>45369</v>
      </c>
      <c r="D261" s="80" t="str">
        <v>PM</v>
      </c>
      <c r="E261" s="80" t="str">
        <v>March</v>
      </c>
      <c r="F261" s="80" t="str">
        <v>MON</v>
      </c>
      <c r="G261" s="81">
        <v>173.95813999999999</v>
      </c>
      <c r="H261" s="102" t="str">
        <v>DOUBLE</v>
      </c>
      <c r="I261" s="95"/>
      <c r="J261" s="193" t="str" cm="1">
        <f t="array" ref="J261">_xlfn.TEXTJOIN(", ", TRUE, IFERROR(_xlfn._xlws.FILTER(Table3[Holiday Name], (TIPS!K261 &gt;= Table3[start2]) * (TIPS!K261&lt;= Table3[end2])), "."))</f>
        <v>.</v>
      </c>
      <c r="K261" s="57"/>
      <c r="L261" s="80"/>
      <c r="M261" s="80"/>
      <c r="N261" s="80"/>
      <c r="O261" s="81"/>
      <c r="P261" s="102"/>
      <c r="Q261" s="190"/>
      <c r="R261" s="139"/>
    </row>
    <row r="262" spans="3:18" x14ac:dyDescent="0.35">
      <c r="C262" s="126">
        <v>45371</v>
      </c>
      <c r="D262" s="80" t="str">
        <v>PM</v>
      </c>
      <c r="E262" s="80" t="str">
        <v>March</v>
      </c>
      <c r="F262" s="80" t="str">
        <v>WED</v>
      </c>
      <c r="G262" s="81">
        <v>53.015720000000002</v>
      </c>
      <c r="H262" s="102" t="str">
        <v>SINGLE</v>
      </c>
      <c r="I262" s="95"/>
      <c r="J262" s="193" t="str" cm="1">
        <f t="array" ref="J262">_xlfn.TEXTJOIN(", ", TRUE, IFERROR(_xlfn._xlws.FILTER(Table3[Holiday Name], (TIPS!K262 &gt;= Table3[start2]) * (TIPS!K262&lt;= Table3[end2])), "."))</f>
        <v>.</v>
      </c>
      <c r="K262" s="57"/>
      <c r="L262" s="80"/>
      <c r="M262" s="80"/>
      <c r="N262" s="80"/>
      <c r="O262" s="81"/>
      <c r="P262" s="102"/>
      <c r="Q262" s="190"/>
      <c r="R262" s="139"/>
    </row>
    <row r="263" spans="3:18" x14ac:dyDescent="0.35">
      <c r="C263" s="126">
        <v>45374</v>
      </c>
      <c r="D263" s="80" t="str">
        <v>PM</v>
      </c>
      <c r="E263" s="80" t="str">
        <v>March</v>
      </c>
      <c r="F263" s="80" t="str">
        <v>SAT</v>
      </c>
      <c r="G263" s="81">
        <v>230.48858799999996</v>
      </c>
      <c r="H263" s="102" t="str">
        <v>SINGLE</v>
      </c>
      <c r="I263" s="95"/>
      <c r="J263" s="193" t="str" cm="1">
        <f t="array" ref="J263">_xlfn.TEXTJOIN(", ", TRUE, IFERROR(_xlfn._xlws.FILTER(Table3[Holiday Name], (TIPS!K263 &gt;= Table3[start2]) * (TIPS!K263&lt;= Table3[end2])), "."))</f>
        <v>.</v>
      </c>
      <c r="K263" s="57"/>
      <c r="L263" s="80"/>
      <c r="M263" s="80"/>
      <c r="N263" s="80"/>
      <c r="O263" s="81"/>
      <c r="P263" s="102"/>
      <c r="Q263" s="190"/>
      <c r="R263" s="139"/>
    </row>
    <row r="264" spans="3:18" x14ac:dyDescent="0.35">
      <c r="C264" s="126">
        <v>45376</v>
      </c>
      <c r="D264" s="80" t="str">
        <v>AM</v>
      </c>
      <c r="E264" s="80" t="str">
        <v>March</v>
      </c>
      <c r="F264" s="80" t="str">
        <v>MON</v>
      </c>
      <c r="G264" s="81">
        <v>55.795068000000001</v>
      </c>
      <c r="H264" s="102" t="str">
        <v>DOUBLE</v>
      </c>
      <c r="I264" s="95"/>
      <c r="J264" s="193" t="str" cm="1">
        <f t="array" ref="J264">_xlfn.TEXTJOIN(", ", TRUE, IFERROR(_xlfn._xlws.FILTER(Table3[Holiday Name], (TIPS!K264 &gt;= Table3[start2]) * (TIPS!K264&lt;= Table3[end2])), "."))</f>
        <v>.</v>
      </c>
      <c r="K264" s="57"/>
      <c r="L264" s="80"/>
      <c r="M264" s="80"/>
      <c r="N264" s="80"/>
      <c r="O264" s="81"/>
      <c r="P264" s="102"/>
      <c r="Q264" s="190"/>
      <c r="R264" s="139"/>
    </row>
    <row r="265" spans="3:18" x14ac:dyDescent="0.35">
      <c r="C265" s="126">
        <v>45376</v>
      </c>
      <c r="D265" s="80" t="str">
        <v>PM</v>
      </c>
      <c r="E265" s="80" t="str">
        <v>March</v>
      </c>
      <c r="F265" s="80" t="str">
        <v>MON</v>
      </c>
      <c r="G265" s="81">
        <v>212.710452</v>
      </c>
      <c r="H265" s="102" t="str">
        <v>DOUBLE</v>
      </c>
      <c r="I265" s="95"/>
      <c r="J265" s="193" t="str" cm="1">
        <f t="array" ref="J265">_xlfn.TEXTJOIN(", ", TRUE, IFERROR(_xlfn._xlws.FILTER(Table3[Holiday Name], (TIPS!K265 &gt;= Table3[start2]) * (TIPS!K265&lt;= Table3[end2])), "."))</f>
        <v>.</v>
      </c>
      <c r="K265" s="57"/>
      <c r="L265" s="80"/>
      <c r="M265" s="80"/>
      <c r="N265" s="80"/>
      <c r="O265" s="81"/>
      <c r="P265" s="102"/>
      <c r="Q265" s="190"/>
      <c r="R265" s="139"/>
    </row>
    <row r="266" spans="3:18" x14ac:dyDescent="0.35">
      <c r="C266" s="126">
        <v>45380</v>
      </c>
      <c r="D266" s="80" t="str">
        <v>PM</v>
      </c>
      <c r="E266" s="80" t="str">
        <v>March</v>
      </c>
      <c r="F266" s="80" t="str">
        <v>FRI</v>
      </c>
      <c r="G266" s="81">
        <v>345.4649</v>
      </c>
      <c r="H266" s="102" t="str">
        <v>SINGLE</v>
      </c>
      <c r="I266" s="95"/>
      <c r="J266" s="193" t="str" cm="1">
        <f t="array" ref="J266">_xlfn.TEXTJOIN(", ", TRUE, IFERROR(_xlfn._xlws.FILTER(Table3[Holiday Name], (TIPS!K266 &gt;= Table3[start2]) * (TIPS!K266&lt;= Table3[end2])), "."))</f>
        <v>.</v>
      </c>
      <c r="K266" s="57"/>
      <c r="L266" s="80"/>
      <c r="M266" s="80"/>
      <c r="N266" s="80"/>
      <c r="O266" s="81"/>
      <c r="P266" s="102"/>
      <c r="Q266" s="190"/>
      <c r="R266" s="139"/>
    </row>
    <row r="267" spans="3:18" x14ac:dyDescent="0.35">
      <c r="C267" s="126">
        <v>45381</v>
      </c>
      <c r="D267" s="80" t="str">
        <v>PM</v>
      </c>
      <c r="E267" s="80" t="str">
        <v>March</v>
      </c>
      <c r="F267" s="80" t="str">
        <v>SAT</v>
      </c>
      <c r="G267" s="81">
        <v>155.63970399999999</v>
      </c>
      <c r="H267" s="102" t="str">
        <v>SINGLE</v>
      </c>
      <c r="I267" s="95"/>
      <c r="J267" s="193" t="str" cm="1">
        <f t="array" ref="J267">_xlfn.TEXTJOIN(", ", TRUE, IFERROR(_xlfn._xlws.FILTER(Table3[Holiday Name], (TIPS!K267 &gt;= Table3[start2]) * (TIPS!K267&lt;= Table3[end2])), "."))</f>
        <v>.</v>
      </c>
      <c r="K267" s="57"/>
      <c r="L267" s="80"/>
      <c r="M267" s="80"/>
      <c r="N267" s="80"/>
      <c r="O267" s="81"/>
      <c r="P267" s="102"/>
      <c r="Q267" s="190"/>
      <c r="R267" s="139"/>
    </row>
    <row r="268" spans="3:18" x14ac:dyDescent="0.35">
      <c r="C268" s="126">
        <v>45382</v>
      </c>
      <c r="D268" s="80" t="str">
        <v>AM</v>
      </c>
      <c r="E268" s="80" t="str">
        <v>March</v>
      </c>
      <c r="F268" s="80" t="str">
        <v>SUN</v>
      </c>
      <c r="G268" s="81">
        <v>103.476812</v>
      </c>
      <c r="H268" s="102" t="str">
        <v>DOUBLE</v>
      </c>
      <c r="I268" s="95"/>
      <c r="J268" s="193" t="str" cm="1">
        <f t="array" ref="J268">_xlfn.TEXTJOIN(", ", TRUE, IFERROR(_xlfn._xlws.FILTER(Table3[Holiday Name], (TIPS!K268 &gt;= Table3[start2]) * (TIPS!K268&lt;= Table3[end2])), "."))</f>
        <v>.</v>
      </c>
      <c r="K268" s="57"/>
      <c r="L268" s="80"/>
      <c r="M268" s="80"/>
      <c r="N268" s="80"/>
      <c r="O268" s="81"/>
      <c r="P268" s="102"/>
      <c r="Q268" s="190"/>
      <c r="R268" s="139"/>
    </row>
    <row r="269" spans="3:18" x14ac:dyDescent="0.35">
      <c r="C269" s="126">
        <v>45382</v>
      </c>
      <c r="D269" s="80" t="str">
        <v>PM</v>
      </c>
      <c r="E269" s="80" t="str">
        <v>March</v>
      </c>
      <c r="F269" s="80" t="str">
        <v>SUN</v>
      </c>
      <c r="G269" s="81">
        <v>166.80110400000001</v>
      </c>
      <c r="H269" s="102" t="str">
        <v>DOUBLE</v>
      </c>
      <c r="I269" s="95"/>
      <c r="J269" s="193" t="str" cm="1">
        <f t="array" ref="J269">_xlfn.TEXTJOIN(", ", TRUE, IFERROR(_xlfn._xlws.FILTER(Table3[Holiday Name], (TIPS!K269 &gt;= Table3[start2]) * (TIPS!K269&lt;= Table3[end2])), "."))</f>
        <v>.</v>
      </c>
      <c r="K269" s="57"/>
      <c r="L269" s="80"/>
      <c r="M269" s="80"/>
      <c r="N269" s="80"/>
      <c r="O269" s="81"/>
      <c r="P269" s="102"/>
      <c r="Q269" s="190"/>
      <c r="R269" s="139"/>
    </row>
    <row r="270" spans="3:18" x14ac:dyDescent="0.35">
      <c r="C270" s="126">
        <v>45383</v>
      </c>
      <c r="D270" s="80" t="str">
        <v>AM</v>
      </c>
      <c r="E270" s="80" t="str">
        <v>April</v>
      </c>
      <c r="F270" s="80" t="str">
        <v>MON</v>
      </c>
      <c r="G270" s="81">
        <v>147.19654799999998</v>
      </c>
      <c r="H270" s="102" t="str">
        <v>DOUBLE</v>
      </c>
      <c r="I270" s="95"/>
      <c r="J270" s="193" t="str" cm="1">
        <f t="array" ref="J270">_xlfn.TEXTJOIN(", ", TRUE, IFERROR(_xlfn._xlws.FILTER(Table3[Holiday Name], (TIPS!K270 &gt;= Table3[start2]) * (TIPS!K270&lt;= Table3[end2])), "."))</f>
        <v>.</v>
      </c>
      <c r="K270" s="57"/>
      <c r="L270" s="80"/>
      <c r="M270" s="80"/>
      <c r="N270" s="80"/>
      <c r="O270" s="81"/>
      <c r="P270" s="102"/>
      <c r="Q270" s="190"/>
      <c r="R270" s="139"/>
    </row>
    <row r="271" spans="3:18" x14ac:dyDescent="0.35">
      <c r="C271" s="126">
        <v>45383</v>
      </c>
      <c r="D271" s="80" t="str">
        <v>PM</v>
      </c>
      <c r="E271" s="80" t="str">
        <v>April</v>
      </c>
      <c r="F271" s="80" t="str">
        <v>MON</v>
      </c>
      <c r="G271" s="81">
        <v>167.286216</v>
      </c>
      <c r="H271" s="102" t="str">
        <v>DOUBLE</v>
      </c>
      <c r="I271" s="95"/>
      <c r="J271" s="193" t="str" cm="1">
        <f t="array" ref="J271">_xlfn.TEXTJOIN(", ", TRUE, IFERROR(_xlfn._xlws.FILTER(Table3[Holiday Name], (TIPS!K271 &gt;= Table3[start2]) * (TIPS!K271&lt;= Table3[end2])), "."))</f>
        <v>.</v>
      </c>
      <c r="K271" s="57"/>
      <c r="L271" s="80"/>
      <c r="M271" s="80"/>
      <c r="N271" s="80"/>
      <c r="O271" s="81"/>
      <c r="P271" s="102"/>
      <c r="Q271" s="190"/>
      <c r="R271" s="139"/>
    </row>
    <row r="272" spans="3:18" x14ac:dyDescent="0.35">
      <c r="C272" s="126">
        <v>45384</v>
      </c>
      <c r="D272" s="80" t="str">
        <v>PM</v>
      </c>
      <c r="E272" s="80" t="str">
        <v>April</v>
      </c>
      <c r="F272" s="80" t="str">
        <v>TUE</v>
      </c>
      <c r="G272" s="81">
        <v>212.50799999999998</v>
      </c>
      <c r="H272" s="102" t="str">
        <v>SINGLE</v>
      </c>
      <c r="I272" s="95"/>
      <c r="J272" s="193" t="str" cm="1">
        <f t="array" ref="J272">_xlfn.TEXTJOIN(", ", TRUE, IFERROR(_xlfn._xlws.FILTER(Table3[Holiday Name], (TIPS!K272 &gt;= Table3[start2]) * (TIPS!K272&lt;= Table3[end2])), "."))</f>
        <v>.</v>
      </c>
      <c r="K272" s="57"/>
      <c r="L272" s="80"/>
      <c r="M272" s="80"/>
      <c r="N272" s="80"/>
      <c r="O272" s="81"/>
      <c r="P272" s="102"/>
      <c r="Q272" s="190"/>
      <c r="R272" s="139"/>
    </row>
    <row r="273" spans="3:18" x14ac:dyDescent="0.35">
      <c r="C273" s="126">
        <v>45385</v>
      </c>
      <c r="D273" s="80" t="str">
        <v>AM</v>
      </c>
      <c r="E273" s="80" t="str">
        <v>April</v>
      </c>
      <c r="F273" s="80" t="str">
        <v>WED</v>
      </c>
      <c r="G273" s="81">
        <v>90.533100000000005</v>
      </c>
      <c r="H273" s="102" t="str">
        <v>DOUBLE</v>
      </c>
      <c r="I273" s="95"/>
      <c r="J273" s="193" t="str" cm="1">
        <f t="array" ref="J273">_xlfn.TEXTJOIN(", ", TRUE, IFERROR(_xlfn._xlws.FILTER(Table3[Holiday Name], (TIPS!K273 &gt;= Table3[start2]) * (TIPS!K273&lt;= Table3[end2])), "."))</f>
        <v>.</v>
      </c>
      <c r="K273" s="57"/>
      <c r="L273" s="80"/>
      <c r="M273" s="80"/>
      <c r="N273" s="80"/>
      <c r="O273" s="81"/>
      <c r="P273" s="102"/>
      <c r="Q273" s="190"/>
      <c r="R273" s="139"/>
    </row>
    <row r="274" spans="3:18" x14ac:dyDescent="0.35">
      <c r="C274" s="126">
        <v>45385</v>
      </c>
      <c r="D274" s="80" t="str">
        <v>PM</v>
      </c>
      <c r="E274" s="80" t="str">
        <v>April</v>
      </c>
      <c r="F274" s="80" t="str">
        <v>WED</v>
      </c>
      <c r="G274" s="81">
        <v>63.631980000000006</v>
      </c>
      <c r="H274" s="102" t="str">
        <v>DOUBLE</v>
      </c>
      <c r="I274" s="95"/>
      <c r="J274" s="193" t="str" cm="1">
        <f t="array" ref="J274">_xlfn.TEXTJOIN(", ", TRUE, IFERROR(_xlfn._xlws.FILTER(Table3[Holiday Name], (TIPS!K274 &gt;= Table3[start2]) * (TIPS!K274&lt;= Table3[end2])), "."))</f>
        <v>.</v>
      </c>
      <c r="K274" s="57"/>
      <c r="L274" s="80"/>
      <c r="M274" s="80"/>
      <c r="N274" s="80"/>
      <c r="O274" s="81"/>
      <c r="P274" s="102"/>
      <c r="Q274" s="190"/>
      <c r="R274" s="139"/>
    </row>
    <row r="275" spans="3:18" x14ac:dyDescent="0.35">
      <c r="C275" s="126">
        <v>45387</v>
      </c>
      <c r="D275" s="80" t="str">
        <v>PM</v>
      </c>
      <c r="E275" s="80" t="str">
        <v>April</v>
      </c>
      <c r="F275" s="80" t="str">
        <v>FRI</v>
      </c>
      <c r="G275" s="81">
        <v>198.61344399999999</v>
      </c>
      <c r="H275" s="102" t="str">
        <v>SINGLE</v>
      </c>
      <c r="I275" s="95"/>
      <c r="J275" s="193" t="str" cm="1">
        <f t="array" ref="J275">_xlfn.TEXTJOIN(", ", TRUE, IFERROR(_xlfn._xlws.FILTER(Table3[Holiday Name], (TIPS!K275 &gt;= Table3[start2]) * (TIPS!K275&lt;= Table3[end2])), "."))</f>
        <v>.</v>
      </c>
      <c r="K275" s="57"/>
      <c r="L275" s="80"/>
      <c r="M275" s="80"/>
      <c r="N275" s="80"/>
      <c r="O275" s="81"/>
      <c r="P275" s="102"/>
      <c r="Q275" s="190"/>
      <c r="R275" s="139"/>
    </row>
    <row r="276" spans="3:18" x14ac:dyDescent="0.35">
      <c r="C276" s="126">
        <v>45389</v>
      </c>
      <c r="D276" s="80" t="str">
        <v>PM</v>
      </c>
      <c r="E276" s="80" t="str">
        <v>April</v>
      </c>
      <c r="F276" s="80" t="str">
        <v>SUN</v>
      </c>
      <c r="G276" s="81">
        <v>147.77316000000002</v>
      </c>
      <c r="H276" s="102" t="str">
        <v>SINGLE</v>
      </c>
      <c r="I276" s="95"/>
      <c r="J276" s="193" t="str" cm="1">
        <f t="array" ref="J276">_xlfn.TEXTJOIN(", ", TRUE, IFERROR(_xlfn._xlws.FILTER(Table3[Holiday Name], (TIPS!K276 &gt;= Table3[start2]) * (TIPS!K276&lt;= Table3[end2])), "."))</f>
        <v>.</v>
      </c>
      <c r="K276" s="57"/>
      <c r="L276" s="80"/>
      <c r="M276" s="80"/>
      <c r="N276" s="80"/>
      <c r="O276" s="81"/>
      <c r="P276" s="102"/>
      <c r="Q276" s="190"/>
      <c r="R276" s="139"/>
    </row>
    <row r="277" spans="3:18" x14ac:dyDescent="0.35">
      <c r="C277" s="126">
        <v>45390</v>
      </c>
      <c r="D277" s="80" t="str">
        <v>AM</v>
      </c>
      <c r="E277" s="80" t="str">
        <v>April</v>
      </c>
      <c r="F277" s="80" t="str">
        <v>MON</v>
      </c>
      <c r="G277" s="81">
        <v>17.499027999999999</v>
      </c>
      <c r="H277" s="102" t="str">
        <v>DOUBLE</v>
      </c>
      <c r="I277" s="95"/>
      <c r="J277" s="193" t="str" cm="1">
        <f t="array" ref="J277">_xlfn.TEXTJOIN(", ", TRUE, IFERROR(_xlfn._xlws.FILTER(Table3[Holiday Name], (TIPS!K277 &gt;= Table3[start2]) * (TIPS!K277&lt;= Table3[end2])), "."))</f>
        <v>.</v>
      </c>
      <c r="K277" s="57"/>
      <c r="L277" s="80"/>
      <c r="M277" s="80"/>
      <c r="N277" s="80"/>
      <c r="O277" s="81"/>
      <c r="P277" s="102"/>
      <c r="Q277" s="190"/>
      <c r="R277" s="139"/>
    </row>
    <row r="278" spans="3:18" x14ac:dyDescent="0.35">
      <c r="C278" s="126">
        <v>45390</v>
      </c>
      <c r="D278" s="80" t="str">
        <v>PM</v>
      </c>
      <c r="E278" s="80" t="str">
        <v>April</v>
      </c>
      <c r="F278" s="80" t="str">
        <v>MON</v>
      </c>
      <c r="G278" s="81">
        <v>106.895884</v>
      </c>
      <c r="H278" s="102" t="str">
        <v>DOUBLE</v>
      </c>
      <c r="I278" s="95"/>
      <c r="J278" s="193" t="str" cm="1">
        <f t="array" ref="J278">_xlfn.TEXTJOIN(", ", TRUE, IFERROR(_xlfn._xlws.FILTER(Table3[Holiday Name], (TIPS!K278 &gt;= Table3[start2]) * (TIPS!K278&lt;= Table3[end2])), "."))</f>
        <v>.</v>
      </c>
      <c r="K278" s="57"/>
      <c r="L278" s="80"/>
      <c r="M278" s="80"/>
      <c r="N278" s="80"/>
      <c r="O278" s="81"/>
      <c r="P278" s="102"/>
      <c r="Q278" s="190"/>
      <c r="R278" s="139"/>
    </row>
    <row r="279" spans="3:18" x14ac:dyDescent="0.35">
      <c r="C279" s="126">
        <v>45392</v>
      </c>
      <c r="D279" s="80" t="str">
        <v>AM</v>
      </c>
      <c r="E279" s="80" t="str">
        <v>April</v>
      </c>
      <c r="F279" s="80" t="str">
        <v>WED</v>
      </c>
      <c r="G279" s="81">
        <v>56.53566</v>
      </c>
      <c r="H279" s="102" t="str">
        <v>DOUBLE</v>
      </c>
      <c r="I279" s="95"/>
      <c r="J279" s="193" t="str" cm="1">
        <f t="array" ref="J279">_xlfn.TEXTJOIN(", ", TRUE, IFERROR(_xlfn._xlws.FILTER(Table3[Holiday Name], (TIPS!K279 &gt;= Table3[start2]) * (TIPS!K279&lt;= Table3[end2])), "."))</f>
        <v>.</v>
      </c>
      <c r="K279" s="57"/>
      <c r="L279" s="80"/>
      <c r="M279" s="80"/>
      <c r="N279" s="80"/>
      <c r="O279" s="81"/>
      <c r="P279" s="102"/>
      <c r="Q279" s="190"/>
      <c r="R279" s="139"/>
    </row>
    <row r="280" spans="3:18" x14ac:dyDescent="0.35">
      <c r="C280" s="126">
        <v>45392</v>
      </c>
      <c r="D280" s="80" t="str">
        <v>PM</v>
      </c>
      <c r="E280" s="80" t="str">
        <v>April</v>
      </c>
      <c r="F280" s="80" t="str">
        <v>WED</v>
      </c>
      <c r="G280" s="81">
        <v>189.01321999999999</v>
      </c>
      <c r="H280" s="102" t="str">
        <v>DOUBLE</v>
      </c>
      <c r="I280" s="95"/>
      <c r="J280" s="193" t="str" cm="1">
        <f t="array" ref="J280">_xlfn.TEXTJOIN(", ", TRUE, IFERROR(_xlfn._xlws.FILTER(Table3[Holiday Name], (TIPS!K280 &gt;= Table3[start2]) * (TIPS!K280&lt;= Table3[end2])), "."))</f>
        <v>.</v>
      </c>
      <c r="K280" s="57"/>
      <c r="L280" s="80"/>
      <c r="M280" s="80"/>
      <c r="N280" s="80"/>
      <c r="O280" s="81"/>
      <c r="P280" s="102"/>
      <c r="Q280" s="190"/>
      <c r="R280" s="139"/>
    </row>
    <row r="281" spans="3:18" x14ac:dyDescent="0.35">
      <c r="C281" s="126">
        <v>45394</v>
      </c>
      <c r="D281" s="80" t="str">
        <v>AM</v>
      </c>
      <c r="E281" s="80" t="str">
        <v>April</v>
      </c>
      <c r="F281" s="80" t="str">
        <v>FRI</v>
      </c>
      <c r="G281" s="81">
        <v>72.763332000000005</v>
      </c>
      <c r="H281" s="102" t="str">
        <v>DOUBLE</v>
      </c>
      <c r="I281" s="95"/>
      <c r="J281" s="193" t="str" cm="1">
        <f t="array" ref="J281">_xlfn.TEXTJOIN(", ", TRUE, IFERROR(_xlfn._xlws.FILTER(Table3[Holiday Name], (TIPS!K281 &gt;= Table3[start2]) * (TIPS!K281&lt;= Table3[end2])), "."))</f>
        <v>.</v>
      </c>
      <c r="K281" s="57"/>
      <c r="L281" s="80"/>
      <c r="M281" s="80"/>
      <c r="N281" s="80"/>
      <c r="O281" s="81"/>
      <c r="P281" s="102"/>
      <c r="Q281" s="190"/>
      <c r="R281" s="139"/>
    </row>
    <row r="282" spans="3:18" x14ac:dyDescent="0.35">
      <c r="C282" s="126">
        <v>45394</v>
      </c>
      <c r="D282" s="80" t="str">
        <v>PM</v>
      </c>
      <c r="E282" s="80" t="str">
        <v>April</v>
      </c>
      <c r="F282" s="80" t="str">
        <v>FRI</v>
      </c>
      <c r="G282" s="81">
        <v>251.99614399999996</v>
      </c>
      <c r="H282" s="102" t="str">
        <v>DOUBLE</v>
      </c>
      <c r="I282" s="95"/>
      <c r="J282" s="193" t="str" cm="1">
        <f t="array" ref="J282">_xlfn.TEXTJOIN(", ", TRUE, IFERROR(_xlfn._xlws.FILTER(Table3[Holiday Name], (TIPS!K282 &gt;= Table3[start2]) * (TIPS!K282&lt;= Table3[end2])), "."))</f>
        <v>.</v>
      </c>
      <c r="K282" s="57"/>
      <c r="L282" s="80"/>
      <c r="M282" s="80"/>
      <c r="N282" s="80"/>
      <c r="O282" s="81"/>
      <c r="P282" s="102"/>
      <c r="Q282" s="190"/>
      <c r="R282" s="139"/>
    </row>
    <row r="283" spans="3:18" x14ac:dyDescent="0.35">
      <c r="C283" s="126">
        <v>45396</v>
      </c>
      <c r="D283" s="80" t="str">
        <v>PM</v>
      </c>
      <c r="E283" s="80" t="str">
        <v>April</v>
      </c>
      <c r="F283" s="80" t="str">
        <v>SUN</v>
      </c>
      <c r="G283" s="81">
        <v>341.546808</v>
      </c>
      <c r="H283" s="102" t="str">
        <v>SINGLE</v>
      </c>
      <c r="I283" s="95"/>
      <c r="J283" s="193" t="str" cm="1">
        <f t="array" ref="J283">_xlfn.TEXTJOIN(", ", TRUE, IFERROR(_xlfn._xlws.FILTER(Table3[Holiday Name], (TIPS!K283 &gt;= Table3[start2]) * (TIPS!K283&lt;= Table3[end2])), "."))</f>
        <v>.</v>
      </c>
      <c r="K283" s="57"/>
      <c r="L283" s="80"/>
      <c r="M283" s="80"/>
      <c r="N283" s="80"/>
      <c r="O283" s="81"/>
      <c r="P283" s="102"/>
      <c r="Q283" s="190"/>
      <c r="R283" s="139"/>
    </row>
    <row r="284" spans="3:18" x14ac:dyDescent="0.35">
      <c r="C284" s="126">
        <v>45398</v>
      </c>
      <c r="D284" s="80" t="str">
        <v>AM</v>
      </c>
      <c r="E284" s="80" t="str">
        <v>April</v>
      </c>
      <c r="F284" s="80" t="str">
        <v>TUE</v>
      </c>
      <c r="G284" s="81">
        <v>131.962042</v>
      </c>
      <c r="H284" s="102" t="str">
        <v>DOUBLE</v>
      </c>
      <c r="I284" s="95"/>
      <c r="J284" s="193" t="str" cm="1">
        <f t="array" ref="J284">_xlfn.TEXTJOIN(", ", TRUE, IFERROR(_xlfn._xlws.FILTER(Table3[Holiday Name], (TIPS!K284 &gt;= Table3[start2]) * (TIPS!K284&lt;= Table3[end2])), "."))</f>
        <v>.</v>
      </c>
      <c r="K284" s="57"/>
      <c r="L284" s="80"/>
      <c r="M284" s="80"/>
      <c r="N284" s="80"/>
      <c r="O284" s="81"/>
      <c r="P284" s="102"/>
      <c r="Q284" s="190"/>
      <c r="R284" s="139"/>
    </row>
    <row r="285" spans="3:18" x14ac:dyDescent="0.35">
      <c r="C285" s="126">
        <v>45398</v>
      </c>
      <c r="D285" s="80" t="str">
        <v>PM</v>
      </c>
      <c r="E285" s="80" t="str">
        <v>April</v>
      </c>
      <c r="F285" s="80" t="str">
        <v>TUE</v>
      </c>
      <c r="G285" s="81">
        <v>131.962042</v>
      </c>
      <c r="H285" s="102" t="str">
        <v>DOUBLE</v>
      </c>
      <c r="I285" s="95"/>
      <c r="J285" s="193" t="str" cm="1">
        <f t="array" ref="J285">_xlfn.TEXTJOIN(", ", TRUE, IFERROR(_xlfn._xlws.FILTER(Table3[Holiday Name], (TIPS!K285 &gt;= Table3[start2]) * (TIPS!K285&lt;= Table3[end2])), "."))</f>
        <v>.</v>
      </c>
      <c r="K285" s="57"/>
      <c r="L285" s="80"/>
      <c r="M285" s="80"/>
      <c r="N285" s="80"/>
      <c r="O285" s="81"/>
      <c r="P285" s="102"/>
      <c r="Q285" s="190"/>
      <c r="R285" s="139"/>
    </row>
    <row r="286" spans="3:18" x14ac:dyDescent="0.35">
      <c r="C286" s="126">
        <v>45399</v>
      </c>
      <c r="D286" s="80" t="str">
        <v>AM</v>
      </c>
      <c r="E286" s="80" t="str">
        <v>April</v>
      </c>
      <c r="F286" s="80" t="str">
        <v>WED</v>
      </c>
      <c r="G286" s="81">
        <v>69.276480000000006</v>
      </c>
      <c r="H286" s="102" t="str">
        <v>DOUBLE</v>
      </c>
      <c r="I286" s="95"/>
      <c r="J286" s="193" t="str" cm="1">
        <f t="array" ref="J286">_xlfn.TEXTJOIN(", ", TRUE, IFERROR(_xlfn._xlws.FILTER(Table3[Holiday Name], (TIPS!K286 &gt;= Table3[start2]) * (TIPS!K286&lt;= Table3[end2])), "."))</f>
        <v>.</v>
      </c>
      <c r="K286" s="57"/>
      <c r="L286" s="80"/>
      <c r="M286" s="80"/>
      <c r="N286" s="80"/>
      <c r="O286" s="81"/>
      <c r="P286" s="102"/>
      <c r="Q286" s="190"/>
      <c r="R286" s="139"/>
    </row>
    <row r="287" spans="3:18" x14ac:dyDescent="0.35">
      <c r="C287" s="126">
        <v>45399</v>
      </c>
      <c r="D287" s="80" t="str">
        <v>PM</v>
      </c>
      <c r="E287" s="80" t="str">
        <v>April</v>
      </c>
      <c r="F287" s="80" t="str">
        <v>WED</v>
      </c>
      <c r="G287" s="81">
        <v>145.55123599999999</v>
      </c>
      <c r="H287" s="102" t="str">
        <v>DOUBLE</v>
      </c>
      <c r="I287" s="95"/>
      <c r="J287" s="193" t="str" cm="1">
        <f t="array" ref="J287">_xlfn.TEXTJOIN(", ", TRUE, IFERROR(_xlfn._xlws.FILTER(Table3[Holiday Name], (TIPS!K287 &gt;= Table3[start2]) * (TIPS!K287&lt;= Table3[end2])), "."))</f>
        <v>.</v>
      </c>
      <c r="K287" s="57"/>
      <c r="L287" s="80"/>
      <c r="M287" s="80"/>
      <c r="N287" s="80"/>
      <c r="O287" s="81"/>
      <c r="P287" s="102"/>
      <c r="Q287" s="190"/>
      <c r="R287" s="139"/>
    </row>
    <row r="288" spans="3:18" x14ac:dyDescent="0.35">
      <c r="C288" s="126">
        <v>45400</v>
      </c>
      <c r="D288" s="80" t="str">
        <v>AM</v>
      </c>
      <c r="E288" s="80" t="str">
        <v>April</v>
      </c>
      <c r="F288" s="80" t="str">
        <v>THU</v>
      </c>
      <c r="G288" s="81">
        <v>100.37970200000001</v>
      </c>
      <c r="H288" s="102" t="str">
        <v>DOUBLE</v>
      </c>
      <c r="I288" s="95"/>
      <c r="J288" s="193" t="str" cm="1">
        <f t="array" ref="J288">_xlfn.TEXTJOIN(", ", TRUE, IFERROR(_xlfn._xlws.FILTER(Table3[Holiday Name], (TIPS!K288 &gt;= Table3[start2]) * (TIPS!K288&lt;= Table3[end2])), "."))</f>
        <v>.</v>
      </c>
      <c r="K288" s="57"/>
      <c r="L288" s="80"/>
      <c r="M288" s="80"/>
      <c r="N288" s="80"/>
      <c r="O288" s="81"/>
      <c r="P288" s="102"/>
      <c r="Q288" s="190"/>
      <c r="R288" s="139"/>
    </row>
    <row r="289" spans="3:18" x14ac:dyDescent="0.35">
      <c r="C289" s="126">
        <v>45400</v>
      </c>
      <c r="D289" s="80" t="str">
        <v>PM</v>
      </c>
      <c r="E289" s="80" t="str">
        <v>April</v>
      </c>
      <c r="F289" s="80" t="str">
        <v>THU</v>
      </c>
      <c r="G289" s="81">
        <v>100.37970200000001</v>
      </c>
      <c r="H289" s="102" t="str">
        <v>DOUBLE</v>
      </c>
      <c r="I289" s="95"/>
      <c r="J289" s="193" t="str" cm="1">
        <f t="array" ref="J289">_xlfn.TEXTJOIN(", ", TRUE, IFERROR(_xlfn._xlws.FILTER(Table3[Holiday Name], (TIPS!K289 &gt;= Table3[start2]) * (TIPS!K289&lt;= Table3[end2])), "."))</f>
        <v>.</v>
      </c>
      <c r="K289" s="57"/>
      <c r="L289" s="80"/>
      <c r="M289" s="80"/>
      <c r="N289" s="80"/>
      <c r="O289" s="81"/>
      <c r="P289" s="102"/>
      <c r="Q289" s="190"/>
      <c r="R289" s="139"/>
    </row>
    <row r="290" spans="3:18" x14ac:dyDescent="0.35">
      <c r="C290" s="126">
        <v>45401</v>
      </c>
      <c r="D290" s="80" t="str">
        <v>PM</v>
      </c>
      <c r="E290" s="80" t="str">
        <v>April</v>
      </c>
      <c r="F290" s="80" t="str">
        <v>FRI</v>
      </c>
      <c r="G290" s="81">
        <v>216.12048000000001</v>
      </c>
      <c r="H290" s="102" t="str">
        <v>SINGLE</v>
      </c>
      <c r="I290" s="95"/>
      <c r="J290" s="193" t="str" cm="1">
        <f t="array" ref="J290">_xlfn.TEXTJOIN(", ", TRUE, IFERROR(_xlfn._xlws.FILTER(Table3[Holiday Name], (TIPS!K290 &gt;= Table3[start2]) * (TIPS!K290&lt;= Table3[end2])), "."))</f>
        <v>.</v>
      </c>
      <c r="K290" s="57"/>
      <c r="L290" s="80"/>
      <c r="M290" s="80"/>
      <c r="N290" s="80"/>
      <c r="O290" s="81"/>
      <c r="P290" s="102"/>
      <c r="Q290" s="190"/>
      <c r="R290" s="139"/>
    </row>
    <row r="291" spans="3:18" x14ac:dyDescent="0.35">
      <c r="C291" s="126">
        <v>45402</v>
      </c>
      <c r="D291" s="80" t="str">
        <v>AM</v>
      </c>
      <c r="E291" s="80" t="str">
        <v>April</v>
      </c>
      <c r="F291" s="80" t="str">
        <v>SAT</v>
      </c>
      <c r="G291" s="81">
        <v>203.769158</v>
      </c>
      <c r="H291" s="102" t="str">
        <v>DOUBLE</v>
      </c>
      <c r="I291" s="95"/>
      <c r="J291" s="193" t="str" cm="1">
        <f t="array" ref="J291">_xlfn.TEXTJOIN(", ", TRUE, IFERROR(_xlfn._xlws.FILTER(Table3[Holiday Name], (TIPS!K291 &gt;= Table3[start2]) * (TIPS!K291&lt;= Table3[end2])), "."))</f>
        <v>.</v>
      </c>
      <c r="K291" s="57"/>
      <c r="L291" s="80"/>
      <c r="M291" s="80"/>
      <c r="N291" s="80"/>
      <c r="O291" s="81"/>
      <c r="P291" s="102"/>
      <c r="Q291" s="190"/>
      <c r="R291" s="139"/>
    </row>
    <row r="292" spans="3:18" x14ac:dyDescent="0.35">
      <c r="C292" s="126">
        <v>45402</v>
      </c>
      <c r="D292" s="80" t="str">
        <v>PM</v>
      </c>
      <c r="E292" s="80" t="str">
        <v>April</v>
      </c>
      <c r="F292" s="80" t="str">
        <v>SAT</v>
      </c>
      <c r="G292" s="81">
        <v>205.899158</v>
      </c>
      <c r="H292" s="102" t="str">
        <v>DOUBLE</v>
      </c>
      <c r="I292" s="95"/>
      <c r="J292" s="193" t="str" cm="1">
        <f t="array" ref="J292">_xlfn.TEXTJOIN(", ", TRUE, IFERROR(_xlfn._xlws.FILTER(Table3[Holiday Name], (TIPS!K292 &gt;= Table3[start2]) * (TIPS!K292&lt;= Table3[end2])), "."))</f>
        <v>.</v>
      </c>
      <c r="K292" s="57"/>
      <c r="L292" s="80"/>
      <c r="M292" s="80"/>
      <c r="N292" s="80"/>
      <c r="O292" s="81"/>
      <c r="P292" s="102"/>
      <c r="Q292" s="190"/>
      <c r="R292" s="139"/>
    </row>
    <row r="293" spans="3:18" x14ac:dyDescent="0.35">
      <c r="C293" s="126">
        <v>45404</v>
      </c>
      <c r="D293" s="80" t="str">
        <v>AM</v>
      </c>
      <c r="E293" s="80" t="str">
        <v>April</v>
      </c>
      <c r="F293" s="80" t="str">
        <v>MON</v>
      </c>
      <c r="G293" s="81">
        <v>37.632892000000005</v>
      </c>
      <c r="H293" s="102" t="str">
        <v>SINGLE</v>
      </c>
      <c r="I293" s="95"/>
      <c r="J293" s="193" t="str" cm="1">
        <f t="array" ref="J293">_xlfn.TEXTJOIN(", ", TRUE, IFERROR(_xlfn._xlws.FILTER(Table3[Holiday Name], (TIPS!K293 &gt;= Table3[start2]) * (TIPS!K293&lt;= Table3[end2])), "."))</f>
        <v>.</v>
      </c>
      <c r="K293" s="57"/>
      <c r="L293" s="80"/>
      <c r="M293" s="80"/>
      <c r="N293" s="80"/>
      <c r="O293" s="81"/>
      <c r="P293" s="102"/>
      <c r="Q293" s="190"/>
      <c r="R293" s="139"/>
    </row>
    <row r="294" spans="3:18" x14ac:dyDescent="0.35">
      <c r="C294" s="126">
        <v>45408</v>
      </c>
      <c r="D294" s="80" t="str">
        <v>PM</v>
      </c>
      <c r="E294" s="80" t="str">
        <v>April</v>
      </c>
      <c r="F294" s="80" t="str">
        <v>FRI</v>
      </c>
      <c r="G294" s="81">
        <v>284.76803999999998</v>
      </c>
      <c r="H294" s="102" t="str">
        <v>SINGLE</v>
      </c>
      <c r="I294" s="95"/>
      <c r="J294" s="193" t="str" cm="1">
        <f t="array" ref="J294">_xlfn.TEXTJOIN(", ", TRUE, IFERROR(_xlfn._xlws.FILTER(Table3[Holiday Name], (TIPS!K294 &gt;= Table3[start2]) * (TIPS!K294&lt;= Table3[end2])), "."))</f>
        <v>.</v>
      </c>
      <c r="K294" s="57"/>
      <c r="L294" s="80"/>
      <c r="M294" s="80"/>
      <c r="N294" s="80"/>
      <c r="O294" s="81"/>
      <c r="P294" s="102"/>
      <c r="Q294" s="190"/>
      <c r="R294" s="139"/>
    </row>
    <row r="295" spans="3:18" x14ac:dyDescent="0.35">
      <c r="C295" s="126">
        <v>45409</v>
      </c>
      <c r="D295" s="80" t="str">
        <v>AM</v>
      </c>
      <c r="E295" s="80" t="str">
        <v>April</v>
      </c>
      <c r="F295" s="80" t="str">
        <v>SAT</v>
      </c>
      <c r="G295" s="81">
        <v>234.53430800000001</v>
      </c>
      <c r="H295" s="102" t="str">
        <v>DOUBLE</v>
      </c>
      <c r="I295" s="95"/>
      <c r="J295" s="193" t="str" cm="1">
        <f t="array" ref="J295">_xlfn.TEXTJOIN(", ", TRUE, IFERROR(_xlfn._xlws.FILTER(Table3[Holiday Name], (TIPS!K295 &gt;= Table3[start2]) * (TIPS!K295&lt;= Table3[end2])), "."))</f>
        <v>.</v>
      </c>
      <c r="K295" s="57"/>
      <c r="L295" s="80"/>
      <c r="M295" s="80"/>
      <c r="N295" s="80"/>
      <c r="O295" s="81"/>
      <c r="P295" s="102"/>
      <c r="Q295" s="190"/>
      <c r="R295" s="139"/>
    </row>
    <row r="296" spans="3:18" x14ac:dyDescent="0.35">
      <c r="C296" s="126">
        <v>45409</v>
      </c>
      <c r="D296" s="80" t="str">
        <v>PM</v>
      </c>
      <c r="E296" s="80" t="str">
        <v>April</v>
      </c>
      <c r="F296" s="80" t="str">
        <v>SAT</v>
      </c>
      <c r="G296" s="81">
        <v>234.53430800000001</v>
      </c>
      <c r="H296" s="102" t="str">
        <v>DOUBLE</v>
      </c>
      <c r="I296" s="95"/>
      <c r="J296" s="193" t="str" cm="1">
        <f t="array" ref="J296">_xlfn.TEXTJOIN(", ", TRUE, IFERROR(_xlfn._xlws.FILTER(Table3[Holiday Name], (TIPS!K296 &gt;= Table3[start2]) * (TIPS!K296&lt;= Table3[end2])), "."))</f>
        <v>.</v>
      </c>
      <c r="K296" s="57"/>
      <c r="L296" s="80"/>
      <c r="M296" s="80"/>
      <c r="N296" s="80"/>
      <c r="O296" s="81"/>
      <c r="P296" s="102"/>
      <c r="Q296" s="190"/>
      <c r="R296" s="139"/>
    </row>
    <row r="297" spans="3:18" x14ac:dyDescent="0.35">
      <c r="C297" s="126">
        <v>45410</v>
      </c>
      <c r="D297" s="80" t="str">
        <v>PM</v>
      </c>
      <c r="E297" s="80" t="str">
        <v>April</v>
      </c>
      <c r="F297" s="80" t="str">
        <v>SUN</v>
      </c>
      <c r="G297" s="81">
        <v>309.659424</v>
      </c>
      <c r="H297" s="102" t="str">
        <v>SINGLE</v>
      </c>
      <c r="I297" s="95"/>
      <c r="J297" s="193" t="str" cm="1">
        <f t="array" ref="J297">_xlfn.TEXTJOIN(", ", TRUE, IFERROR(_xlfn._xlws.FILTER(Table3[Holiday Name], (TIPS!K297 &gt;= Table3[start2]) * (TIPS!K297&lt;= Table3[end2])), "."))</f>
        <v>.</v>
      </c>
      <c r="K297" s="57"/>
      <c r="L297" s="80"/>
      <c r="M297" s="80"/>
      <c r="N297" s="80"/>
      <c r="O297" s="81"/>
      <c r="P297" s="102"/>
      <c r="Q297" s="190"/>
      <c r="R297" s="139"/>
    </row>
    <row r="298" spans="3:18" x14ac:dyDescent="0.35">
      <c r="C298" s="126">
        <v>45411</v>
      </c>
      <c r="D298" s="80" t="str">
        <v>AM</v>
      </c>
      <c r="E298" s="80" t="str">
        <v>April</v>
      </c>
      <c r="F298" s="80" t="str">
        <v>MON</v>
      </c>
      <c r="G298" s="81">
        <v>104.67538</v>
      </c>
      <c r="H298" s="102" t="str">
        <v>DOUBLE</v>
      </c>
      <c r="I298" s="95"/>
      <c r="J298" s="193" t="str" cm="1">
        <f t="array" ref="J298">_xlfn.TEXTJOIN(", ", TRUE, IFERROR(_xlfn._xlws.FILTER(Table3[Holiday Name], (TIPS!K298 &gt;= Table3[start2]) * (TIPS!K298&lt;= Table3[end2])), "."))</f>
        <v>.</v>
      </c>
      <c r="K298" s="57"/>
      <c r="L298" s="80"/>
      <c r="M298" s="80"/>
      <c r="N298" s="80"/>
      <c r="O298" s="81"/>
      <c r="P298" s="102"/>
      <c r="Q298" s="190"/>
      <c r="R298" s="139"/>
    </row>
    <row r="299" spans="3:18" x14ac:dyDescent="0.35">
      <c r="C299" s="126">
        <v>45411</v>
      </c>
      <c r="D299" s="80" t="str">
        <v>PM</v>
      </c>
      <c r="E299" s="80" t="str">
        <v>April</v>
      </c>
      <c r="F299" s="80" t="str">
        <v>MON</v>
      </c>
      <c r="G299" s="81">
        <v>117.92331999999999</v>
      </c>
      <c r="H299" s="102" t="str">
        <v>DOUBLE</v>
      </c>
      <c r="I299" s="95"/>
      <c r="J299" s="193" t="str" cm="1">
        <f t="array" ref="J299">_xlfn.TEXTJOIN(", ", TRUE, IFERROR(_xlfn._xlws.FILTER(Table3[Holiday Name], (TIPS!K299 &gt;= Table3[start2]) * (TIPS!K299&lt;= Table3[end2])), "."))</f>
        <v>.</v>
      </c>
      <c r="K299" s="57"/>
      <c r="L299" s="80"/>
      <c r="M299" s="80"/>
      <c r="N299" s="80"/>
      <c r="O299" s="81"/>
      <c r="P299" s="102"/>
      <c r="Q299" s="190"/>
      <c r="R299" s="139"/>
    </row>
    <row r="300" spans="3:18" x14ac:dyDescent="0.35">
      <c r="C300" s="126">
        <v>45413</v>
      </c>
      <c r="D300" s="80" t="str">
        <v>AM</v>
      </c>
      <c r="E300" s="80" t="str">
        <v>May</v>
      </c>
      <c r="F300" s="80" t="str">
        <v>WED</v>
      </c>
      <c r="G300" s="81">
        <v>121.366584</v>
      </c>
      <c r="H300" s="102" t="str">
        <v>DOUBLE</v>
      </c>
      <c r="I300" s="95"/>
      <c r="J300" s="193" t="str" cm="1">
        <f t="array" ref="J300">_xlfn.TEXTJOIN(", ", TRUE, IFERROR(_xlfn._xlws.FILTER(Table3[Holiday Name], (TIPS!K300 &gt;= Table3[start2]) * (TIPS!K300&lt;= Table3[end2])), "."))</f>
        <v>.</v>
      </c>
      <c r="K300" s="57"/>
      <c r="L300" s="80"/>
      <c r="M300" s="80"/>
      <c r="N300" s="80"/>
      <c r="O300" s="81"/>
      <c r="P300" s="102"/>
      <c r="Q300" s="190"/>
      <c r="R300" s="139"/>
    </row>
    <row r="301" spans="3:18" x14ac:dyDescent="0.35">
      <c r="C301" s="126">
        <v>45413</v>
      </c>
      <c r="D301" s="80" t="str">
        <v>PM</v>
      </c>
      <c r="E301" s="80" t="str">
        <v>May</v>
      </c>
      <c r="F301" s="80" t="str">
        <v>WED</v>
      </c>
      <c r="G301" s="81">
        <v>155.88106400000001</v>
      </c>
      <c r="H301" s="102" t="str">
        <v>DOUBLE</v>
      </c>
      <c r="I301" s="95"/>
      <c r="J301" s="193" t="str" cm="1">
        <f t="array" ref="J301">_xlfn.TEXTJOIN(", ", TRUE, IFERROR(_xlfn._xlws.FILTER(Table3[Holiday Name], (TIPS!K301 &gt;= Table3[start2]) * (TIPS!K301&lt;= Table3[end2])), "."))</f>
        <v>.</v>
      </c>
      <c r="K301" s="57"/>
      <c r="L301" s="80"/>
      <c r="M301" s="80"/>
      <c r="N301" s="80"/>
      <c r="O301" s="81"/>
      <c r="P301" s="102"/>
      <c r="Q301" s="190"/>
      <c r="R301" s="139"/>
    </row>
    <row r="302" spans="3:18" x14ac:dyDescent="0.35">
      <c r="C302" s="126">
        <v>45415</v>
      </c>
      <c r="D302" s="80" t="str">
        <v>PM</v>
      </c>
      <c r="E302" s="80" t="str">
        <v>May</v>
      </c>
      <c r="F302" s="80" t="str">
        <v>FRI</v>
      </c>
      <c r="G302" s="81">
        <v>262.33873999999997</v>
      </c>
      <c r="H302" s="102" t="str">
        <v>SINGLE</v>
      </c>
      <c r="I302" s="95"/>
      <c r="J302" s="193" t="str" cm="1">
        <f t="array" ref="J302">_xlfn.TEXTJOIN(", ", TRUE, IFERROR(_xlfn._xlws.FILTER(Table3[Holiday Name], (TIPS!K302 &gt;= Table3[start2]) * (TIPS!K302&lt;= Table3[end2])), "."))</f>
        <v>.</v>
      </c>
      <c r="K302" s="57"/>
      <c r="L302" s="80"/>
      <c r="M302" s="80"/>
      <c r="N302" s="80"/>
      <c r="O302" s="81"/>
      <c r="P302" s="102"/>
      <c r="Q302" s="190"/>
      <c r="R302" s="139"/>
    </row>
    <row r="303" spans="3:18" x14ac:dyDescent="0.35">
      <c r="C303" s="126">
        <v>45416</v>
      </c>
      <c r="D303" s="80" t="str">
        <v>AM</v>
      </c>
      <c r="E303" s="80" t="str">
        <v>May</v>
      </c>
      <c r="F303" s="80" t="str">
        <v>SAT</v>
      </c>
      <c r="G303" s="81">
        <v>194.77481399999999</v>
      </c>
      <c r="H303" s="102" t="str">
        <v>DOUBLE</v>
      </c>
      <c r="I303" s="95"/>
      <c r="J303" s="193" t="str" cm="1">
        <f t="array" ref="J303">_xlfn.TEXTJOIN(", ", TRUE, IFERROR(_xlfn._xlws.FILTER(Table3[Holiday Name], (TIPS!K303 &gt;= Table3[start2]) * (TIPS!K303&lt;= Table3[end2])), "."))</f>
        <v>.</v>
      </c>
      <c r="K303" s="57"/>
      <c r="L303" s="80"/>
      <c r="M303" s="80"/>
      <c r="N303" s="80"/>
      <c r="O303" s="81"/>
      <c r="P303" s="102"/>
      <c r="Q303" s="190"/>
      <c r="R303" s="139"/>
    </row>
    <row r="304" spans="3:18" x14ac:dyDescent="0.35">
      <c r="C304" s="126">
        <v>45416</v>
      </c>
      <c r="D304" s="80" t="str">
        <v>PM</v>
      </c>
      <c r="E304" s="80" t="str">
        <v>May</v>
      </c>
      <c r="F304" s="80" t="str">
        <v>SAT</v>
      </c>
      <c r="G304" s="81">
        <v>194.77481399999999</v>
      </c>
      <c r="H304" s="102" t="str">
        <v>DOUBLE</v>
      </c>
      <c r="I304" s="95"/>
      <c r="J304" s="193" t="str" cm="1">
        <f t="array" ref="J304">_xlfn.TEXTJOIN(", ", TRUE, IFERROR(_xlfn._xlws.FILTER(Table3[Holiday Name], (TIPS!K304 &gt;= Table3[start2]) * (TIPS!K304&lt;= Table3[end2])), "."))</f>
        <v>.</v>
      </c>
      <c r="K304" s="57"/>
      <c r="L304" s="80"/>
      <c r="M304" s="80"/>
      <c r="N304" s="80"/>
      <c r="O304" s="81"/>
      <c r="P304" s="102"/>
      <c r="Q304" s="190"/>
      <c r="R304" s="139"/>
    </row>
    <row r="305" spans="3:18" x14ac:dyDescent="0.35">
      <c r="C305" s="126">
        <v>45417</v>
      </c>
      <c r="D305" s="80" t="str">
        <v>PM</v>
      </c>
      <c r="E305" s="80" t="str">
        <v>May</v>
      </c>
      <c r="F305" s="80" t="str">
        <v>SUN</v>
      </c>
      <c r="G305" s="81">
        <v>330.93636000000004</v>
      </c>
      <c r="H305" s="102" t="str">
        <v>SINGLE</v>
      </c>
      <c r="I305" s="95"/>
      <c r="J305" s="193" t="str" cm="1">
        <f t="array" ref="J305">_xlfn.TEXTJOIN(", ", TRUE, IFERROR(_xlfn._xlws.FILTER(Table3[Holiday Name], (TIPS!K305 &gt;= Table3[start2]) * (TIPS!K305&lt;= Table3[end2])), "."))</f>
        <v>.</v>
      </c>
      <c r="K305" s="57"/>
      <c r="L305" s="80"/>
      <c r="M305" s="80"/>
      <c r="N305" s="80"/>
      <c r="O305" s="81"/>
      <c r="P305" s="102"/>
      <c r="Q305" s="190"/>
      <c r="R305" s="139"/>
    </row>
    <row r="306" spans="3:18" x14ac:dyDescent="0.35">
      <c r="C306" s="126">
        <v>45418</v>
      </c>
      <c r="D306" s="80" t="str">
        <v>PM</v>
      </c>
      <c r="E306" s="80" t="str">
        <v>May</v>
      </c>
      <c r="F306" s="80" t="str">
        <v>MON</v>
      </c>
      <c r="G306" s="81">
        <v>219.89998</v>
      </c>
      <c r="H306" s="102" t="str">
        <v>SINGLE</v>
      </c>
      <c r="I306" s="95"/>
      <c r="J306" s="193" t="str" cm="1">
        <f t="array" ref="J306">_xlfn.TEXTJOIN(", ", TRUE, IFERROR(_xlfn._xlws.FILTER(Table3[Holiday Name], (TIPS!K306 &gt;= Table3[start2]) * (TIPS!K306&lt;= Table3[end2])), "."))</f>
        <v>.</v>
      </c>
      <c r="K306" s="57"/>
      <c r="L306" s="80"/>
      <c r="M306" s="80"/>
      <c r="N306" s="80"/>
      <c r="O306" s="81"/>
      <c r="P306" s="102"/>
      <c r="Q306" s="190"/>
      <c r="R306" s="139"/>
    </row>
    <row r="307" spans="3:18" x14ac:dyDescent="0.35">
      <c r="C307" s="126">
        <v>45422</v>
      </c>
      <c r="D307" s="80" t="str">
        <v>PM</v>
      </c>
      <c r="E307" s="80" t="str">
        <v>May</v>
      </c>
      <c r="F307" s="80" t="str">
        <v>FRI</v>
      </c>
      <c r="G307" s="81">
        <v>220.57392000000004</v>
      </c>
      <c r="H307" s="102" t="str">
        <v>SINGLE</v>
      </c>
      <c r="I307" s="95"/>
      <c r="J307" s="193" t="str" cm="1">
        <f t="array" ref="J307">_xlfn.TEXTJOIN(", ", TRUE, IFERROR(_xlfn._xlws.FILTER(Table3[Holiday Name], (TIPS!K307 &gt;= Table3[start2]) * (TIPS!K307&lt;= Table3[end2])), "."))</f>
        <v>.</v>
      </c>
      <c r="K307" s="57"/>
      <c r="L307" s="80"/>
      <c r="M307" s="80"/>
      <c r="N307" s="80"/>
      <c r="O307" s="81"/>
      <c r="P307" s="102"/>
      <c r="Q307" s="190"/>
      <c r="R307" s="139"/>
    </row>
    <row r="308" spans="3:18" x14ac:dyDescent="0.35">
      <c r="C308" s="126">
        <v>45423</v>
      </c>
      <c r="D308" s="80" t="str">
        <v>AM</v>
      </c>
      <c r="E308" s="80" t="str">
        <v>May</v>
      </c>
      <c r="F308" s="80" t="str">
        <v>SAT</v>
      </c>
      <c r="G308" s="81">
        <v>180.02605600000001</v>
      </c>
      <c r="H308" s="102" t="str">
        <v>DOUBLE</v>
      </c>
      <c r="I308" s="95"/>
      <c r="J308" s="193" t="str" cm="1">
        <f t="array" ref="J308">_xlfn.TEXTJOIN(", ", TRUE, IFERROR(_xlfn._xlws.FILTER(Table3[Holiday Name], (TIPS!K308 &gt;= Table3[start2]) * (TIPS!K308&lt;= Table3[end2])), "."))</f>
        <v>.</v>
      </c>
      <c r="K308" s="57"/>
      <c r="L308" s="80"/>
      <c r="M308" s="80"/>
      <c r="N308" s="80"/>
      <c r="O308" s="81"/>
      <c r="P308" s="102"/>
      <c r="Q308" s="190"/>
      <c r="R308" s="139"/>
    </row>
    <row r="309" spans="3:18" x14ac:dyDescent="0.35">
      <c r="C309" s="126">
        <v>45423</v>
      </c>
      <c r="D309" s="80" t="str">
        <v>PM</v>
      </c>
      <c r="E309" s="80" t="str">
        <v>May</v>
      </c>
      <c r="F309" s="80" t="str">
        <v>SAT</v>
      </c>
      <c r="G309" s="81">
        <v>180.02605600000001</v>
      </c>
      <c r="H309" s="102" t="str">
        <v>DOUBLE</v>
      </c>
      <c r="I309" s="95"/>
      <c r="J309" s="193" t="str" cm="1">
        <f t="array" ref="J309">_xlfn.TEXTJOIN(", ", TRUE, IFERROR(_xlfn._xlws.FILTER(Table3[Holiday Name], (TIPS!K309 &gt;= Table3[start2]) * (TIPS!K309&lt;= Table3[end2])), "."))</f>
        <v>.</v>
      </c>
      <c r="K309" s="57"/>
      <c r="L309" s="80"/>
      <c r="M309" s="80"/>
      <c r="N309" s="80"/>
      <c r="O309" s="81"/>
      <c r="P309" s="102"/>
      <c r="Q309" s="190"/>
      <c r="R309" s="139"/>
    </row>
    <row r="310" spans="3:18" x14ac:dyDescent="0.35">
      <c r="C310" s="126">
        <v>45425</v>
      </c>
      <c r="D310" s="80" t="str">
        <v>AM</v>
      </c>
      <c r="E310" s="80" t="str">
        <v>May</v>
      </c>
      <c r="F310" s="80" t="str">
        <v>MON</v>
      </c>
      <c r="G310" s="81">
        <v>74.6875</v>
      </c>
      <c r="H310" s="102" t="str">
        <v>SINGLE</v>
      </c>
      <c r="I310" s="95"/>
      <c r="J310" s="193" t="str" cm="1">
        <f t="array" ref="J310">_xlfn.TEXTJOIN(", ", TRUE, IFERROR(_xlfn._xlws.FILTER(Table3[Holiday Name], (TIPS!K310 &gt;= Table3[start2]) * (TIPS!K310&lt;= Table3[end2])), "."))</f>
        <v>.</v>
      </c>
      <c r="K310" s="57"/>
      <c r="L310" s="80"/>
      <c r="M310" s="80"/>
      <c r="N310" s="80"/>
      <c r="O310" s="81"/>
      <c r="P310" s="102"/>
      <c r="Q310" s="190"/>
      <c r="R310" s="139"/>
    </row>
    <row r="311" spans="3:18" x14ac:dyDescent="0.35">
      <c r="C311" s="126">
        <v>45427</v>
      </c>
      <c r="D311" s="80" t="str">
        <v>PM</v>
      </c>
      <c r="E311" s="80" t="str">
        <v>May</v>
      </c>
      <c r="F311" s="80" t="str">
        <v>WED</v>
      </c>
      <c r="G311" s="81">
        <v>151.49395200000001</v>
      </c>
      <c r="H311" s="102" t="str">
        <v>SINGLE</v>
      </c>
      <c r="I311" s="95"/>
      <c r="J311" s="193" t="str" cm="1">
        <f t="array" ref="J311">_xlfn.TEXTJOIN(", ", TRUE, IFERROR(_xlfn._xlws.FILTER(Table3[Holiday Name], (TIPS!K311 &gt;= Table3[start2]) * (TIPS!K311&lt;= Table3[end2])), "."))</f>
        <v>.</v>
      </c>
      <c r="K311" s="57"/>
      <c r="L311" s="80"/>
      <c r="M311" s="80"/>
      <c r="N311" s="80"/>
      <c r="O311" s="81"/>
      <c r="P311" s="102"/>
      <c r="Q311" s="190"/>
      <c r="R311" s="139"/>
    </row>
    <row r="312" spans="3:18" x14ac:dyDescent="0.35">
      <c r="C312" s="126">
        <v>45430</v>
      </c>
      <c r="D312" s="80" t="str">
        <v>AM</v>
      </c>
      <c r="E312" s="80" t="str">
        <v>May</v>
      </c>
      <c r="F312" s="80" t="str">
        <v>SAT</v>
      </c>
      <c r="G312" s="81">
        <v>165.25896399999999</v>
      </c>
      <c r="H312" s="102" t="str">
        <v>DOUBLE</v>
      </c>
      <c r="I312" s="95"/>
      <c r="J312" s="193" t="str" cm="1">
        <f t="array" ref="J312">_xlfn.TEXTJOIN(", ", TRUE, IFERROR(_xlfn._xlws.FILTER(Table3[Holiday Name], (TIPS!K312 &gt;= Table3[start2]) * (TIPS!K312&lt;= Table3[end2])), "."))</f>
        <v>.</v>
      </c>
      <c r="K312" s="57"/>
      <c r="L312" s="80"/>
      <c r="M312" s="80"/>
      <c r="N312" s="80"/>
      <c r="O312" s="81"/>
      <c r="P312" s="102"/>
      <c r="Q312" s="190"/>
      <c r="R312" s="139"/>
    </row>
    <row r="313" spans="3:18" x14ac:dyDescent="0.35">
      <c r="C313" s="126">
        <v>45430</v>
      </c>
      <c r="D313" s="80" t="str">
        <v>PM</v>
      </c>
      <c r="E313" s="80" t="str">
        <v>May</v>
      </c>
      <c r="F313" s="80" t="str">
        <v>SAT</v>
      </c>
      <c r="G313" s="81">
        <v>280.04757199999995</v>
      </c>
      <c r="H313" s="102" t="str">
        <v>DOUBLE</v>
      </c>
      <c r="I313" s="95"/>
      <c r="J313" s="193" t="str" cm="1">
        <f t="array" ref="J313">_xlfn.TEXTJOIN(", ", TRUE, IFERROR(_xlfn._xlws.FILTER(Table3[Holiday Name], (TIPS!K313 &gt;= Table3[start2]) * (TIPS!K313&lt;= Table3[end2])), "."))</f>
        <v>.</v>
      </c>
      <c r="K313" s="57"/>
      <c r="L313" s="80"/>
      <c r="M313" s="80"/>
      <c r="N313" s="80"/>
      <c r="O313" s="81"/>
      <c r="P313" s="102"/>
      <c r="Q313" s="190"/>
      <c r="R313" s="139"/>
    </row>
    <row r="314" spans="3:18" x14ac:dyDescent="0.35">
      <c r="C314" s="126">
        <v>45431</v>
      </c>
      <c r="D314" s="80" t="str">
        <v>AM</v>
      </c>
      <c r="E314" s="80" t="str">
        <v>May</v>
      </c>
      <c r="F314" s="80" t="str">
        <v>SUN</v>
      </c>
      <c r="G314" s="81">
        <v>103.512664</v>
      </c>
      <c r="H314" s="102" t="str">
        <v>DOUBLE</v>
      </c>
      <c r="I314" s="95"/>
      <c r="J314" s="193" t="str" cm="1">
        <f t="array" ref="J314">_xlfn.TEXTJOIN(", ", TRUE, IFERROR(_xlfn._xlws.FILTER(Table3[Holiday Name], (TIPS!K314 &gt;= Table3[start2]) * (TIPS!K314&lt;= Table3[end2])), "."))</f>
        <v>.</v>
      </c>
      <c r="K314" s="57"/>
      <c r="L314" s="80"/>
      <c r="M314" s="80"/>
      <c r="N314" s="80"/>
      <c r="O314" s="81"/>
      <c r="P314" s="102"/>
      <c r="Q314" s="190"/>
      <c r="R314" s="139"/>
    </row>
    <row r="315" spans="3:18" x14ac:dyDescent="0.35">
      <c r="C315" s="126">
        <v>45431</v>
      </c>
      <c r="D315" s="80" t="str">
        <v>PM</v>
      </c>
      <c r="E315" s="80" t="str">
        <v>May</v>
      </c>
      <c r="F315" s="80" t="str">
        <v>SUN</v>
      </c>
      <c r="G315" s="81">
        <v>213.52000400000003</v>
      </c>
      <c r="H315" s="102" t="str">
        <v>DOUBLE</v>
      </c>
      <c r="I315" s="95"/>
      <c r="J315" s="193" t="str" cm="1">
        <f t="array" ref="J315">_xlfn.TEXTJOIN(", ", TRUE, IFERROR(_xlfn._xlws.FILTER(Table3[Holiday Name], (TIPS!K315 &gt;= Table3[start2]) * (TIPS!K315&lt;= Table3[end2])), "."))</f>
        <v>.</v>
      </c>
      <c r="K315" s="57"/>
      <c r="L315" s="80"/>
      <c r="M315" s="80"/>
      <c r="N315" s="80"/>
      <c r="O315" s="81"/>
      <c r="P315" s="102"/>
      <c r="Q315" s="190"/>
      <c r="R315" s="139"/>
    </row>
    <row r="316" spans="3:18" x14ac:dyDescent="0.35">
      <c r="C316" s="126">
        <v>45432</v>
      </c>
      <c r="D316" s="80" t="str">
        <v>PM</v>
      </c>
      <c r="E316" s="80" t="str">
        <v>May</v>
      </c>
      <c r="F316" s="80" t="str">
        <v>MON</v>
      </c>
      <c r="G316" s="81">
        <v>132.661508</v>
      </c>
      <c r="H316" s="102" t="str">
        <v>SINGLE</v>
      </c>
      <c r="I316" s="95"/>
      <c r="J316" s="193" t="str" cm="1">
        <f t="array" ref="J316">_xlfn.TEXTJOIN(", ", TRUE, IFERROR(_xlfn._xlws.FILTER(Table3[Holiday Name], (TIPS!K316 &gt;= Table3[start2]) * (TIPS!K316&lt;= Table3[end2])), "."))</f>
        <v>.</v>
      </c>
      <c r="K316" s="57"/>
      <c r="L316" s="80"/>
      <c r="M316" s="80"/>
      <c r="N316" s="80"/>
      <c r="O316" s="81"/>
      <c r="P316" s="102"/>
      <c r="Q316" s="190"/>
      <c r="R316" s="139"/>
    </row>
    <row r="317" spans="3:18" x14ac:dyDescent="0.35">
      <c r="C317" s="126">
        <v>45434</v>
      </c>
      <c r="D317" s="80" t="str">
        <v>PM</v>
      </c>
      <c r="E317" s="80" t="str">
        <v>May</v>
      </c>
      <c r="F317" s="80" t="str">
        <v>WED</v>
      </c>
      <c r="G317" s="81">
        <v>236.30309999999997</v>
      </c>
      <c r="H317" s="102" t="str">
        <v>SINGLE</v>
      </c>
      <c r="I317" s="95"/>
      <c r="J317" s="193" t="str" cm="1">
        <f t="array" ref="J317">_xlfn.TEXTJOIN(", ", TRUE, IFERROR(_xlfn._xlws.FILTER(Table3[Holiday Name], (TIPS!K317 &gt;= Table3[start2]) * (TIPS!K317&lt;= Table3[end2])), "."))</f>
        <v>.</v>
      </c>
      <c r="K317" s="57"/>
      <c r="L317" s="80"/>
      <c r="M317" s="80"/>
      <c r="N317" s="80"/>
      <c r="O317" s="81"/>
      <c r="P317" s="102"/>
      <c r="Q317" s="190"/>
      <c r="R317" s="139"/>
    </row>
    <row r="318" spans="3:18" x14ac:dyDescent="0.35">
      <c r="C318" s="126">
        <v>45435</v>
      </c>
      <c r="D318" s="80" t="str">
        <v>PM</v>
      </c>
      <c r="E318" s="80" t="str">
        <v>May</v>
      </c>
      <c r="F318" s="80" t="str">
        <v>THU</v>
      </c>
      <c r="G318" s="81">
        <v>210.908976</v>
      </c>
      <c r="H318" s="102" t="str">
        <v>SINGLE</v>
      </c>
      <c r="I318" s="95"/>
      <c r="J318" s="193" t="str" cm="1">
        <f t="array" ref="J318">_xlfn.TEXTJOIN(", ", TRUE, IFERROR(_xlfn._xlws.FILTER(Table3[Holiday Name], (TIPS!K318 &gt;= Table3[start2]) * (TIPS!K318&lt;= Table3[end2])), "."))</f>
        <v>.</v>
      </c>
      <c r="K318" s="57"/>
      <c r="L318" s="80"/>
      <c r="M318" s="80"/>
      <c r="N318" s="80"/>
      <c r="O318" s="81"/>
      <c r="P318" s="102"/>
      <c r="Q318" s="190"/>
      <c r="R318" s="139"/>
    </row>
    <row r="319" spans="3:18" x14ac:dyDescent="0.35">
      <c r="C319" s="126">
        <v>45436</v>
      </c>
      <c r="D319" s="80" t="str">
        <v>AM</v>
      </c>
      <c r="E319" s="80" t="str">
        <v>May</v>
      </c>
      <c r="F319" s="80" t="str">
        <v>FRI</v>
      </c>
      <c r="G319" s="81">
        <v>92.010459999999995</v>
      </c>
      <c r="H319" s="102" t="str">
        <v>DOUBLE</v>
      </c>
      <c r="I319" s="95"/>
      <c r="J319" s="193" t="str" cm="1">
        <f t="array" ref="J319">_xlfn.TEXTJOIN(", ", TRUE, IFERROR(_xlfn._xlws.FILTER(Table3[Holiday Name], (TIPS!K319 &gt;= Table3[start2]) * (TIPS!K319&lt;= Table3[end2])), "."))</f>
        <v>.</v>
      </c>
      <c r="K319" s="57"/>
      <c r="L319" s="80"/>
      <c r="M319" s="80"/>
      <c r="N319" s="80"/>
      <c r="O319" s="81"/>
      <c r="P319" s="102"/>
      <c r="Q319" s="190"/>
      <c r="R319" s="139"/>
    </row>
    <row r="320" spans="3:18" x14ac:dyDescent="0.35">
      <c r="C320" s="126">
        <v>45436</v>
      </c>
      <c r="D320" s="80" t="str">
        <v>PM</v>
      </c>
      <c r="E320" s="80" t="str">
        <v>May</v>
      </c>
      <c r="F320" s="80" t="str">
        <v>FRI</v>
      </c>
      <c r="G320" s="81">
        <v>223.43648400000001</v>
      </c>
      <c r="H320" s="102" t="str">
        <v>DOUBLE</v>
      </c>
      <c r="I320" s="95"/>
      <c r="J320" s="193" t="str" cm="1">
        <f t="array" ref="J320">_xlfn.TEXTJOIN(", ", TRUE, IFERROR(_xlfn._xlws.FILTER(Table3[Holiday Name], (TIPS!K320 &gt;= Table3[start2]) * (TIPS!K320&lt;= Table3[end2])), "."))</f>
        <v>.</v>
      </c>
      <c r="K320" s="57"/>
      <c r="L320" s="80"/>
      <c r="M320" s="80"/>
      <c r="N320" s="80"/>
      <c r="O320" s="81"/>
      <c r="P320" s="102"/>
      <c r="Q320" s="190"/>
      <c r="R320" s="139"/>
    </row>
    <row r="321" spans="3:18" x14ac:dyDescent="0.35">
      <c r="C321" s="126">
        <v>45437</v>
      </c>
      <c r="D321" s="80" t="str">
        <v>AM</v>
      </c>
      <c r="E321" s="80" t="str">
        <v>May</v>
      </c>
      <c r="F321" s="80" t="str">
        <v>SAT</v>
      </c>
      <c r="G321" s="81">
        <v>138.638608</v>
      </c>
      <c r="H321" s="102" t="str">
        <v>DOUBLE</v>
      </c>
      <c r="I321" s="95"/>
      <c r="J321" s="193" t="str" cm="1">
        <f t="array" ref="J321">_xlfn.TEXTJOIN(", ", TRUE, IFERROR(_xlfn._xlws.FILTER(Table3[Holiday Name], (TIPS!K321 &gt;= Table3[start2]) * (TIPS!K321&lt;= Table3[end2])), "."))</f>
        <v>.</v>
      </c>
      <c r="K321" s="57"/>
      <c r="L321" s="80"/>
      <c r="M321" s="80"/>
      <c r="N321" s="80"/>
      <c r="O321" s="81"/>
      <c r="P321" s="102"/>
      <c r="Q321" s="190"/>
      <c r="R321" s="139"/>
    </row>
    <row r="322" spans="3:18" x14ac:dyDescent="0.35">
      <c r="C322" s="126">
        <v>45437</v>
      </c>
      <c r="D322" s="80" t="str">
        <v>PM</v>
      </c>
      <c r="E322" s="80" t="str">
        <v>May</v>
      </c>
      <c r="F322" s="80" t="str">
        <v>SAT</v>
      </c>
      <c r="G322" s="81">
        <v>138.638608</v>
      </c>
      <c r="H322" s="102" t="str">
        <v>DOUBLE</v>
      </c>
      <c r="I322" s="95"/>
      <c r="J322" s="193" t="str" cm="1">
        <f t="array" ref="J322">_xlfn.TEXTJOIN(", ", TRUE, IFERROR(_xlfn._xlws.FILTER(Table3[Holiday Name], (TIPS!K322 &gt;= Table3[start2]) * (TIPS!K322&lt;= Table3[end2])), "."))</f>
        <v>.</v>
      </c>
      <c r="K322" s="57"/>
      <c r="L322" s="80"/>
      <c r="M322" s="80"/>
      <c r="N322" s="80"/>
      <c r="O322" s="81"/>
      <c r="P322" s="102"/>
      <c r="Q322" s="190"/>
      <c r="R322" s="139"/>
    </row>
    <row r="323" spans="3:18" x14ac:dyDescent="0.35">
      <c r="C323" s="126">
        <v>45438</v>
      </c>
      <c r="D323" s="80" t="str">
        <v>AM</v>
      </c>
      <c r="E323" s="80" t="str">
        <v>May</v>
      </c>
      <c r="F323" s="80" t="str">
        <v>SUN</v>
      </c>
      <c r="G323" s="81">
        <v>110.51574399999998</v>
      </c>
      <c r="H323" s="102" t="str">
        <v>SINGLE</v>
      </c>
      <c r="I323" s="95"/>
      <c r="J323" s="193" t="str" cm="1">
        <f t="array" ref="J323">_xlfn.TEXTJOIN(", ", TRUE, IFERROR(_xlfn._xlws.FILTER(Table3[Holiday Name], (TIPS!K323 &gt;= Table3[start2]) * (TIPS!K323&lt;= Table3[end2])), "."))</f>
        <v>.</v>
      </c>
      <c r="K323" s="57"/>
      <c r="L323" s="80"/>
      <c r="M323" s="80"/>
      <c r="N323" s="80"/>
      <c r="O323" s="81"/>
      <c r="P323" s="102"/>
      <c r="Q323" s="190"/>
      <c r="R323" s="139"/>
    </row>
    <row r="324" spans="3:18" x14ac:dyDescent="0.35">
      <c r="C324" s="126">
        <v>45444</v>
      </c>
      <c r="D324" s="80" t="str">
        <v>AM</v>
      </c>
      <c r="E324" s="80" t="str">
        <v>June</v>
      </c>
      <c r="F324" s="80" t="str">
        <v>SAT</v>
      </c>
      <c r="G324" s="81">
        <v>158.522908</v>
      </c>
      <c r="H324" s="102" t="str">
        <v>SINGLE</v>
      </c>
      <c r="I324" s="95"/>
      <c r="J324" s="193" t="str" cm="1">
        <f t="array" ref="J324">_xlfn.TEXTJOIN(", ", TRUE, IFERROR(_xlfn._xlws.FILTER(Table3[Holiday Name], (TIPS!K324 &gt;= Table3[start2]) * (TIPS!K324&lt;= Table3[end2])), "."))</f>
        <v>.</v>
      </c>
      <c r="K324" s="57"/>
      <c r="L324" s="80"/>
      <c r="M324" s="80"/>
      <c r="N324" s="80"/>
      <c r="O324" s="81"/>
      <c r="P324" s="102"/>
      <c r="Q324" s="190"/>
      <c r="R324" s="139"/>
    </row>
    <row r="325" spans="3:18" x14ac:dyDescent="0.35">
      <c r="C325" s="126">
        <v>45445</v>
      </c>
      <c r="D325" s="80" t="str">
        <v>AM</v>
      </c>
      <c r="E325" s="80" t="str">
        <v>June</v>
      </c>
      <c r="F325" s="80" t="str">
        <v>SUN</v>
      </c>
      <c r="G325" s="81">
        <v>132.892088</v>
      </c>
      <c r="H325" s="102" t="str">
        <v>SINGLE</v>
      </c>
      <c r="I325" s="95"/>
      <c r="J325" s="193" t="str" cm="1">
        <f t="array" ref="J325">_xlfn.TEXTJOIN(", ", TRUE, IFERROR(_xlfn._xlws.FILTER(Table3[Holiday Name], (TIPS!K325 &gt;= Table3[start2]) * (TIPS!K325&lt;= Table3[end2])), "."))</f>
        <v>.</v>
      </c>
      <c r="K325" s="57"/>
      <c r="L325" s="80"/>
      <c r="M325" s="80"/>
      <c r="N325" s="80"/>
      <c r="O325" s="81"/>
      <c r="P325" s="102"/>
      <c r="Q325" s="190"/>
      <c r="R325" s="139"/>
    </row>
    <row r="326" spans="3:18" x14ac:dyDescent="0.35">
      <c r="C326" s="126">
        <v>45446</v>
      </c>
      <c r="D326" s="80" t="str">
        <v>PM</v>
      </c>
      <c r="E326" s="80" t="str">
        <v>June</v>
      </c>
      <c r="F326" s="80" t="str">
        <v>MON</v>
      </c>
      <c r="G326" s="81">
        <v>99.568080000000009</v>
      </c>
      <c r="H326" s="102" t="str">
        <v>SINGLE</v>
      </c>
      <c r="I326" s="95"/>
      <c r="J326" s="193" t="str" cm="1">
        <f t="array" ref="J326">_xlfn.TEXTJOIN(", ", TRUE, IFERROR(_xlfn._xlws.FILTER(Table3[Holiday Name], (TIPS!K326 &gt;= Table3[start2]) * (TIPS!K326&lt;= Table3[end2])), "."))</f>
        <v>.</v>
      </c>
      <c r="K326" s="57"/>
      <c r="L326" s="80"/>
      <c r="M326" s="80"/>
      <c r="N326" s="80"/>
      <c r="O326" s="81"/>
      <c r="P326" s="102"/>
      <c r="Q326" s="190"/>
      <c r="R326" s="139"/>
    </row>
    <row r="327" spans="3:18" x14ac:dyDescent="0.35">
      <c r="C327" s="126">
        <v>45448</v>
      </c>
      <c r="D327" s="80" t="str">
        <v>PM</v>
      </c>
      <c r="E327" s="80" t="str">
        <v>June</v>
      </c>
      <c r="F327" s="80" t="str">
        <v>WED</v>
      </c>
      <c r="G327" s="81">
        <v>179.55335600000001</v>
      </c>
      <c r="H327" s="102" t="str">
        <v>SINGLE</v>
      </c>
      <c r="I327" s="95"/>
      <c r="J327" s="193" t="str" cm="1">
        <f t="array" ref="J327">_xlfn.TEXTJOIN(", ", TRUE, IFERROR(_xlfn._xlws.FILTER(Table3[Holiday Name], (TIPS!K327 &gt;= Table3[start2]) * (TIPS!K327&lt;= Table3[end2])), "."))</f>
        <v>.</v>
      </c>
      <c r="K327" s="57"/>
      <c r="L327" s="80"/>
      <c r="M327" s="80"/>
      <c r="N327" s="80"/>
      <c r="O327" s="81"/>
      <c r="P327" s="102"/>
      <c r="Q327" s="190"/>
      <c r="R327" s="139"/>
    </row>
    <row r="328" spans="3:18" x14ac:dyDescent="0.35">
      <c r="C328" s="126">
        <v>45449</v>
      </c>
      <c r="D328" s="80" t="str">
        <v>PM</v>
      </c>
      <c r="E328" s="80" t="str">
        <v>June</v>
      </c>
      <c r="F328" s="80" t="str">
        <v>THU</v>
      </c>
      <c r="G328" s="81">
        <v>211.11614399999999</v>
      </c>
      <c r="H328" s="102" t="str">
        <v>SINGLE</v>
      </c>
      <c r="I328" s="95"/>
      <c r="J328" s="193" t="str" cm="1">
        <f t="array" ref="J328">_xlfn.TEXTJOIN(", ", TRUE, IFERROR(_xlfn._xlws.FILTER(Table3[Holiday Name], (TIPS!K328 &gt;= Table3[start2]) * (TIPS!K328&lt;= Table3[end2])), "."))</f>
        <v>.</v>
      </c>
      <c r="K328" s="57"/>
      <c r="L328" s="80"/>
      <c r="M328" s="80"/>
      <c r="N328" s="80"/>
      <c r="O328" s="81"/>
      <c r="P328" s="102"/>
      <c r="Q328" s="190"/>
      <c r="R328" s="139"/>
    </row>
    <row r="329" spans="3:18" x14ac:dyDescent="0.35">
      <c r="C329" s="126">
        <v>45451</v>
      </c>
      <c r="D329" s="80" t="str">
        <v>AM</v>
      </c>
      <c r="E329" s="80" t="str">
        <v>June</v>
      </c>
      <c r="F329" s="80" t="str">
        <v>SAT</v>
      </c>
      <c r="G329" s="81">
        <v>222.51209999999998</v>
      </c>
      <c r="H329" s="102" t="str">
        <v>DOUBLE</v>
      </c>
      <c r="I329" s="95"/>
      <c r="J329" s="193" t="str" cm="1">
        <f t="array" ref="J329">_xlfn.TEXTJOIN(", ", TRUE, IFERROR(_xlfn._xlws.FILTER(Table3[Holiday Name], (TIPS!K329 &gt;= Table3[start2]) * (TIPS!K329&lt;= Table3[end2])), "."))</f>
        <v>.</v>
      </c>
      <c r="K329" s="57"/>
      <c r="L329" s="80"/>
      <c r="M329" s="80"/>
      <c r="N329" s="80"/>
      <c r="O329" s="81"/>
      <c r="P329" s="102"/>
      <c r="Q329" s="190"/>
      <c r="R329" s="139"/>
    </row>
    <row r="330" spans="3:18" x14ac:dyDescent="0.35">
      <c r="C330" s="126">
        <v>45451</v>
      </c>
      <c r="D330" s="80" t="str">
        <v>PM</v>
      </c>
      <c r="E330" s="80" t="str">
        <v>June</v>
      </c>
      <c r="F330" s="80" t="str">
        <v>SAT</v>
      </c>
      <c r="G330" s="81">
        <v>237.050104</v>
      </c>
      <c r="H330" s="102" t="str">
        <v>DOUBLE</v>
      </c>
      <c r="I330" s="95"/>
      <c r="J330" s="193" t="str" cm="1">
        <f t="array" ref="J330">_xlfn.TEXTJOIN(", ", TRUE, IFERROR(_xlfn._xlws.FILTER(Table3[Holiday Name], (TIPS!K330 &gt;= Table3[start2]) * (TIPS!K330&lt;= Table3[end2])), "."))</f>
        <v>.</v>
      </c>
      <c r="K330" s="57"/>
      <c r="L330" s="80"/>
      <c r="M330" s="80"/>
      <c r="N330" s="80"/>
      <c r="O330" s="81"/>
      <c r="P330" s="102"/>
      <c r="Q330" s="190"/>
      <c r="R330" s="139"/>
    </row>
    <row r="331" spans="3:18" x14ac:dyDescent="0.35">
      <c r="C331" s="126">
        <v>45452</v>
      </c>
      <c r="D331" s="80" t="str">
        <v>AM</v>
      </c>
      <c r="E331" s="80" t="str">
        <v>June</v>
      </c>
      <c r="F331" s="80" t="str">
        <v>SUN</v>
      </c>
      <c r="G331" s="81">
        <v>111.141576</v>
      </c>
      <c r="H331" s="102" t="str">
        <v>DOUBLE</v>
      </c>
      <c r="I331" s="95"/>
      <c r="J331" s="193" t="str" cm="1">
        <f t="array" ref="J331">_xlfn.TEXTJOIN(", ", TRUE, IFERROR(_xlfn._xlws.FILTER(Table3[Holiday Name], (TIPS!K331 &gt;= Table3[start2]) * (TIPS!K331&lt;= Table3[end2])), "."))</f>
        <v>.</v>
      </c>
      <c r="K331" s="57"/>
      <c r="L331" s="80"/>
      <c r="M331" s="80"/>
      <c r="N331" s="80"/>
      <c r="O331" s="81"/>
      <c r="P331" s="102"/>
      <c r="Q331" s="190"/>
      <c r="R331" s="139"/>
    </row>
    <row r="332" spans="3:18" ht="15" thickBot="1" x14ac:dyDescent="0.4">
      <c r="C332" s="127">
        <v>45452</v>
      </c>
      <c r="D332" s="109" t="str">
        <v>PM</v>
      </c>
      <c r="E332" s="109" t="str">
        <v>June</v>
      </c>
      <c r="F332" s="109" t="str">
        <v>SUN</v>
      </c>
      <c r="G332" s="108">
        <v>111.141576</v>
      </c>
      <c r="H332" s="150" t="str">
        <v>DOUBLE</v>
      </c>
      <c r="I332" s="107"/>
      <c r="J332" s="211" t="str" cm="1">
        <f t="array" ref="J332">_xlfn.TEXTJOIN(", ", TRUE, IFERROR(_xlfn._xlws.FILTER(Table3[Holiday Name], (TIPS!K332 &gt;= Table3[start2]) * (TIPS!K332&lt;= Table3[end2])), "."))</f>
        <v>.</v>
      </c>
      <c r="K332" s="152"/>
      <c r="L332" s="109"/>
      <c r="M332" s="109"/>
      <c r="N332" s="109"/>
      <c r="O332" s="108"/>
      <c r="P332" s="150"/>
      <c r="Q332" s="186"/>
      <c r="R332" s="139"/>
    </row>
    <row r="333" spans="3:18" x14ac:dyDescent="0.35">
      <c r="J333" s="212"/>
      <c r="K333" s="36"/>
      <c r="O333" s="22"/>
      <c r="R333" s="139"/>
    </row>
    <row r="334" spans="3:18" x14ac:dyDescent="0.35">
      <c r="J334" s="212"/>
      <c r="K334" s="36"/>
      <c r="O334" s="22"/>
      <c r="R334" s="139"/>
    </row>
    <row r="335" spans="3:18" x14ac:dyDescent="0.35">
      <c r="J335" s="212"/>
      <c r="K335" s="36"/>
      <c r="O335" s="22"/>
      <c r="R335" s="139"/>
    </row>
    <row r="336" spans="3:18" x14ac:dyDescent="0.35">
      <c r="J336" s="212"/>
      <c r="K336" s="36"/>
      <c r="O336" s="22"/>
      <c r="R336" s="139"/>
    </row>
    <row r="337" spans="10:18" x14ac:dyDescent="0.35">
      <c r="J337" s="212"/>
      <c r="K337" s="36"/>
      <c r="O337" s="22"/>
      <c r="R337" s="139"/>
    </row>
    <row r="338" spans="10:18" x14ac:dyDescent="0.35">
      <c r="J338" s="212"/>
      <c r="K338" s="36"/>
      <c r="O338" s="22"/>
      <c r="R338" s="139"/>
    </row>
    <row r="339" spans="10:18" x14ac:dyDescent="0.35">
      <c r="J339" s="212"/>
      <c r="K339" s="36"/>
      <c r="O339" s="22"/>
      <c r="R339" s="139"/>
    </row>
    <row r="340" spans="10:18" x14ac:dyDescent="0.35">
      <c r="J340" s="212"/>
      <c r="K340" s="36"/>
      <c r="O340" s="22"/>
      <c r="R340" s="139"/>
    </row>
    <row r="341" spans="10:18" x14ac:dyDescent="0.35">
      <c r="J341" s="212"/>
      <c r="K341" s="36"/>
      <c r="O341" s="22"/>
      <c r="R341" s="139"/>
    </row>
    <row r="342" spans="10:18" x14ac:dyDescent="0.35">
      <c r="J342" s="212"/>
      <c r="K342" s="36"/>
      <c r="O342" s="22"/>
      <c r="R342" s="139"/>
    </row>
    <row r="343" spans="10:18" x14ac:dyDescent="0.35">
      <c r="J343" s="212"/>
      <c r="K343" s="36"/>
      <c r="O343" s="22"/>
      <c r="R343" s="139"/>
    </row>
    <row r="344" spans="10:18" x14ac:dyDescent="0.35">
      <c r="J344" s="212"/>
      <c r="K344" s="36"/>
      <c r="O344" s="22"/>
      <c r="R344" s="139"/>
    </row>
  </sheetData>
  <mergeCells count="11">
    <mergeCell ref="D31:F31"/>
    <mergeCell ref="B2:Q4"/>
    <mergeCell ref="C5:H6"/>
    <mergeCell ref="I5:N6"/>
    <mergeCell ref="O5:Q6"/>
    <mergeCell ref="C29:F30"/>
    <mergeCell ref="C38:F38"/>
    <mergeCell ref="C39:F39"/>
    <mergeCell ref="C40:H41"/>
    <mergeCell ref="I49:Q50"/>
    <mergeCell ref="I54:I90"/>
  </mergeCells>
  <conditionalFormatting sqref="D37:F37">
    <cfRule type="containsText" dxfId="19" priority="8" operator="containsText" text="Outside Limits">
      <formula>NOT(ISERROR(SEARCH("Outside Limits",D37)))</formula>
    </cfRule>
    <cfRule type="containsText" dxfId="18" priority="9" operator="containsText" text="Within Limits">
      <formula>NOT(ISERROR(SEARCH("Within Limits",D37)))</formula>
    </cfRule>
  </conditionalFormatting>
  <conditionalFormatting sqref="J54:J332">
    <cfRule type="cellIs" dxfId="17" priority="1" operator="notEqual">
      <formula>"."</formula>
    </cfRule>
  </conditionalFormatting>
  <conditionalFormatting sqref="O54:O146">
    <cfRule type="cellIs" dxfId="16" priority="3" operator="equal">
      <formula>""</formula>
    </cfRule>
    <cfRule type="cellIs" dxfId="15" priority="6" operator="greaterThan">
      <formula>$L$52</formula>
    </cfRule>
    <cfRule type="cellIs" dxfId="14" priority="7" operator="lessThan">
      <formula>$J$52</formula>
    </cfRule>
  </conditionalFormatting>
  <conditionalFormatting sqref="Q8:Q28">
    <cfRule type="cellIs" dxfId="13" priority="4" operator="equal">
      <formula>""</formula>
    </cfRule>
    <cfRule type="cellIs" dxfId="12" priority="5" operator="lessThan">
      <formula>-0.05</formula>
    </cfRule>
    <cfRule type="cellIs" dxfId="11" priority="10" operator="between">
      <formula>-0.05</formula>
      <formula>0.05</formula>
    </cfRule>
    <cfRule type="cellIs" dxfId="10" priority="11" operator="greaterThan">
      <formula>0.05</formula>
    </cfRule>
  </conditionalFormatting>
  <pageMargins left="0.7" right="0.7" top="0.75" bottom="0.75" header="0.3" footer="0.3"/>
  <customProperties>
    <customPr name="LastActive" r:id="rId1"/>
  </customProperties>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6F5617F4-80AF-47D4-8614-C00CFA01CF03}">
          <x14:formula1>
            <xm:f>'DROPDOWN LISTS'!$D$2:$D$5</xm:f>
          </x14:formula1>
          <xm:sqref>B9</xm:sqref>
        </x14:dataValidation>
        <x14:dataValidation type="list" allowBlank="1" showInputMessage="1" showErrorMessage="1" xr:uid="{F5ED7F77-56BD-4276-BC8E-2A2C3F0E24AE}">
          <x14:formula1>
            <xm:f>'DROPDOWN LISTS'!$A$2:$A$4</xm:f>
          </x14:formula1>
          <xm:sqref>B6</xm:sqref>
        </x14:dataValidation>
        <x14:dataValidation type="list" allowBlank="1" showInputMessage="1" showErrorMessage="1" xr:uid="{34A8ACEF-07B7-449D-91B1-21CE217E4EF1}">
          <x14:formula1>
            <xm:f>OFFSET('DROPDOWN LISTS'!$A$1,1,MATCH($B$6,'DROPDOWN LISTS'!$B$1:$C$1,0),_xlfn.SWITCH($B$6,"Entire Year",0,"Day of Week",7,"Month of Year",12),1)</xm:f>
          </x14:formula1>
          <xm:sqref>B7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1CA39-70DD-4144-9C46-88921DE7EDC5}">
  <sheetPr codeName="Sheet3"/>
  <dimension ref="J3:U734"/>
  <sheetViews>
    <sheetView workbookViewId="0">
      <selection activeCell="Y5" sqref="Y5"/>
    </sheetView>
  </sheetViews>
  <sheetFormatPr defaultRowHeight="14.5" x14ac:dyDescent="0.35"/>
  <cols>
    <col min="10" max="10" width="10.08984375" bestFit="1" customWidth="1"/>
    <col min="18" max="18" width="9.08984375" bestFit="1" customWidth="1"/>
    <col min="19" max="19" width="10.08984375" bestFit="1" customWidth="1"/>
    <col min="21" max="21" width="9.08984375" bestFit="1" customWidth="1"/>
  </cols>
  <sheetData>
    <row r="3" spans="10:21" x14ac:dyDescent="0.35">
      <c r="J3" s="36" cm="1">
        <f t="array" ref="J3:O734">_xlfn.CHOOSECOLS(RAW[],1,2,3,4,14,17)</f>
        <v>45091</v>
      </c>
      <c r="K3" t="str">
        <v>AM</v>
      </c>
      <c r="L3" t="str">
        <v>June</v>
      </c>
      <c r="M3" t="str">
        <v>WED</v>
      </c>
      <c r="N3">
        <v>0</v>
      </c>
      <c r="O3">
        <v>0</v>
      </c>
      <c r="P3" s="22">
        <f>IFERROR(O3/N3,0)</f>
        <v>0</v>
      </c>
      <c r="R3" s="22">
        <f>MAX(P3:P734)</f>
        <v>64.901717433962276</v>
      </c>
      <c r="S3" s="36">
        <f>_xlfn.XLOOKUP(R3,$P$3:$P$734,$J$3:$J$734)</f>
        <v>45287</v>
      </c>
      <c r="T3" s="22">
        <f>_xlfn.MINIFS($P$3:$P$734,$O$3:$O$734,"&lt;&gt;"&amp;0)</f>
        <v>6.6248869565217383</v>
      </c>
      <c r="U3" s="36">
        <f>_xlfn.XLOOKUP(T3,$P$3:$P$734,$J$3:$J$734)</f>
        <v>45334</v>
      </c>
    </row>
    <row r="4" spans="10:21" x14ac:dyDescent="0.35">
      <c r="J4" s="36">
        <v>45091</v>
      </c>
      <c r="K4" t="str">
        <v>PM</v>
      </c>
      <c r="L4" t="str">
        <v>June</v>
      </c>
      <c r="M4" t="str">
        <v>WED</v>
      </c>
      <c r="N4">
        <v>0</v>
      </c>
      <c r="O4">
        <v>0</v>
      </c>
      <c r="P4" s="22">
        <f t="shared" ref="P4:P67" si="0">IFERROR(O4/N4,0)</f>
        <v>0</v>
      </c>
      <c r="R4" s="43">
        <f>MAX(O3:O734)</f>
        <v>441.84240000000005</v>
      </c>
      <c r="S4" s="36">
        <f>_xlfn.XLOOKUP(R4,$O$3:$O$734,$J$3:$J$734)</f>
        <v>45424</v>
      </c>
      <c r="T4" s="22">
        <f>_xlfn.MINIFS($O$3:$O$734,$O$3:$O$734,"&lt;&gt;"&amp;0)</f>
        <v>12.697699999999999</v>
      </c>
      <c r="U4" s="36">
        <f>_xlfn.XLOOKUP(T4,$O$3:$O$734,$J$3:$J$734)</f>
        <v>45334</v>
      </c>
    </row>
    <row r="5" spans="10:21" x14ac:dyDescent="0.35">
      <c r="J5" s="36">
        <v>45092</v>
      </c>
      <c r="K5" t="str">
        <v>AM</v>
      </c>
      <c r="L5" t="str">
        <v>June</v>
      </c>
      <c r="M5" t="str">
        <v>THU</v>
      </c>
      <c r="N5">
        <v>0</v>
      </c>
      <c r="O5">
        <v>0</v>
      </c>
      <c r="P5" s="22">
        <f t="shared" si="0"/>
        <v>0</v>
      </c>
    </row>
    <row r="6" spans="10:21" x14ac:dyDescent="0.35">
      <c r="J6" s="36">
        <v>45092</v>
      </c>
      <c r="K6" t="str">
        <v>PM</v>
      </c>
      <c r="L6" t="str">
        <v>June</v>
      </c>
      <c r="M6" t="str">
        <v>THU</v>
      </c>
      <c r="N6">
        <v>0</v>
      </c>
      <c r="O6">
        <v>0</v>
      </c>
      <c r="P6" s="22">
        <f t="shared" si="0"/>
        <v>0</v>
      </c>
    </row>
    <row r="7" spans="10:21" x14ac:dyDescent="0.35">
      <c r="J7" s="36">
        <v>45093</v>
      </c>
      <c r="K7" t="str">
        <v>AM</v>
      </c>
      <c r="L7" t="str">
        <v>June</v>
      </c>
      <c r="M7" t="str">
        <v>FRI</v>
      </c>
      <c r="N7">
        <v>0</v>
      </c>
      <c r="O7">
        <v>0</v>
      </c>
      <c r="P7" s="22">
        <f t="shared" si="0"/>
        <v>0</v>
      </c>
    </row>
    <row r="8" spans="10:21" x14ac:dyDescent="0.35">
      <c r="J8" s="36">
        <v>45093</v>
      </c>
      <c r="K8" t="str">
        <v>PM</v>
      </c>
      <c r="L8" t="str">
        <v>June</v>
      </c>
      <c r="M8" t="str">
        <v>FRI</v>
      </c>
      <c r="N8">
        <v>4.75</v>
      </c>
      <c r="O8">
        <v>124.41805200000002</v>
      </c>
      <c r="P8" s="22">
        <f t="shared" si="0"/>
        <v>26.193274105263161</v>
      </c>
    </row>
    <row r="9" spans="10:21" x14ac:dyDescent="0.35">
      <c r="J9" s="36">
        <v>45094</v>
      </c>
      <c r="K9" t="str">
        <v>AM</v>
      </c>
      <c r="L9" t="str">
        <v>June</v>
      </c>
      <c r="M9" t="str">
        <v>SAT</v>
      </c>
      <c r="N9">
        <v>0</v>
      </c>
      <c r="O9">
        <v>0</v>
      </c>
      <c r="P9" s="22">
        <f t="shared" si="0"/>
        <v>0</v>
      </c>
    </row>
    <row r="10" spans="10:21" x14ac:dyDescent="0.35">
      <c r="J10" s="36">
        <v>45094</v>
      </c>
      <c r="K10" t="str">
        <v>PM</v>
      </c>
      <c r="L10" t="str">
        <v>June</v>
      </c>
      <c r="M10" t="str">
        <v>SAT</v>
      </c>
      <c r="N10">
        <v>5.5</v>
      </c>
      <c r="O10">
        <v>294.42299999999994</v>
      </c>
      <c r="P10" s="22">
        <f t="shared" si="0"/>
        <v>53.531454545454537</v>
      </c>
    </row>
    <row r="11" spans="10:21" x14ac:dyDescent="0.35">
      <c r="J11" s="36">
        <v>45095</v>
      </c>
      <c r="K11" t="str">
        <v>AM</v>
      </c>
      <c r="L11" t="str">
        <v>June</v>
      </c>
      <c r="M11" t="str">
        <v>SUN</v>
      </c>
      <c r="N11">
        <v>0</v>
      </c>
      <c r="O11">
        <v>0</v>
      </c>
      <c r="P11" s="22">
        <f t="shared" si="0"/>
        <v>0</v>
      </c>
    </row>
    <row r="12" spans="10:21" x14ac:dyDescent="0.35">
      <c r="J12" s="36">
        <v>45095</v>
      </c>
      <c r="K12" t="str">
        <v>PM</v>
      </c>
      <c r="L12" t="str">
        <v>June</v>
      </c>
      <c r="M12" t="str">
        <v>SUN</v>
      </c>
      <c r="N12">
        <v>5.5</v>
      </c>
      <c r="O12">
        <v>158.63176000000001</v>
      </c>
      <c r="P12" s="22">
        <f t="shared" si="0"/>
        <v>28.842138181818186</v>
      </c>
    </row>
    <row r="13" spans="10:21" x14ac:dyDescent="0.35">
      <c r="J13" s="36">
        <v>45096</v>
      </c>
      <c r="K13" t="str">
        <v>AM</v>
      </c>
      <c r="L13" t="str">
        <v>June</v>
      </c>
      <c r="M13" t="str">
        <v>MON</v>
      </c>
      <c r="N13">
        <v>0</v>
      </c>
      <c r="O13">
        <v>0</v>
      </c>
      <c r="P13" s="22">
        <f t="shared" si="0"/>
        <v>0</v>
      </c>
    </row>
    <row r="14" spans="10:21" x14ac:dyDescent="0.35">
      <c r="J14" s="36">
        <v>45096</v>
      </c>
      <c r="K14" t="str">
        <v>PM</v>
      </c>
      <c r="L14" t="str">
        <v>June</v>
      </c>
      <c r="M14" t="str">
        <v>MON</v>
      </c>
      <c r="N14">
        <v>4</v>
      </c>
      <c r="O14">
        <v>67.102400000000003</v>
      </c>
      <c r="P14" s="22">
        <f t="shared" si="0"/>
        <v>16.775600000000001</v>
      </c>
    </row>
    <row r="15" spans="10:21" x14ac:dyDescent="0.35">
      <c r="J15" s="36">
        <v>45097</v>
      </c>
      <c r="K15" t="str">
        <v>AM</v>
      </c>
      <c r="L15" t="str">
        <v>June</v>
      </c>
      <c r="M15" t="str">
        <v>TUE</v>
      </c>
      <c r="N15">
        <v>0</v>
      </c>
      <c r="O15">
        <v>0</v>
      </c>
      <c r="P15" s="22">
        <f t="shared" si="0"/>
        <v>0</v>
      </c>
    </row>
    <row r="16" spans="10:21" x14ac:dyDescent="0.35">
      <c r="J16" s="36">
        <v>45097</v>
      </c>
      <c r="K16" t="str">
        <v>PM</v>
      </c>
      <c r="L16" t="str">
        <v>June</v>
      </c>
      <c r="M16" t="str">
        <v>TUE</v>
      </c>
      <c r="N16">
        <v>3.5833333333333335</v>
      </c>
      <c r="O16">
        <v>80.306155999999987</v>
      </c>
      <c r="P16" s="22">
        <f t="shared" si="0"/>
        <v>22.411020279069763</v>
      </c>
    </row>
    <row r="17" spans="10:16" x14ac:dyDescent="0.35">
      <c r="J17" s="36">
        <v>45098</v>
      </c>
      <c r="K17" t="str">
        <v>AM</v>
      </c>
      <c r="L17" t="str">
        <v>June</v>
      </c>
      <c r="M17" t="str">
        <v>WED</v>
      </c>
      <c r="N17">
        <v>0</v>
      </c>
      <c r="O17">
        <v>0</v>
      </c>
      <c r="P17" s="22">
        <f t="shared" si="0"/>
        <v>0</v>
      </c>
    </row>
    <row r="18" spans="10:16" x14ac:dyDescent="0.35">
      <c r="J18" s="36">
        <v>45098</v>
      </c>
      <c r="K18" t="str">
        <v>PM</v>
      </c>
      <c r="L18" t="str">
        <v>June</v>
      </c>
      <c r="M18" t="str">
        <v>WED</v>
      </c>
      <c r="N18">
        <v>6.4333333333333336</v>
      </c>
      <c r="O18">
        <v>164.05465600000002</v>
      </c>
      <c r="P18" s="22">
        <f t="shared" si="0"/>
        <v>25.500723730569952</v>
      </c>
    </row>
    <row r="19" spans="10:16" x14ac:dyDescent="0.35">
      <c r="J19" s="36">
        <v>45099</v>
      </c>
      <c r="K19" t="str">
        <v>AM</v>
      </c>
      <c r="L19" t="str">
        <v>June</v>
      </c>
      <c r="M19" t="str">
        <v>THU</v>
      </c>
      <c r="N19">
        <v>0</v>
      </c>
      <c r="O19">
        <v>0</v>
      </c>
      <c r="P19" s="22">
        <f t="shared" si="0"/>
        <v>0</v>
      </c>
    </row>
    <row r="20" spans="10:16" x14ac:dyDescent="0.35">
      <c r="J20" s="36">
        <v>45099</v>
      </c>
      <c r="K20" t="str">
        <v>PM</v>
      </c>
      <c r="L20" t="str">
        <v>June</v>
      </c>
      <c r="M20" t="str">
        <v>THU</v>
      </c>
      <c r="N20">
        <v>0</v>
      </c>
      <c r="O20">
        <v>0</v>
      </c>
      <c r="P20" s="22">
        <f t="shared" si="0"/>
        <v>0</v>
      </c>
    </row>
    <row r="21" spans="10:16" x14ac:dyDescent="0.35">
      <c r="J21" s="36">
        <v>45100</v>
      </c>
      <c r="K21" t="str">
        <v>AM</v>
      </c>
      <c r="L21" t="str">
        <v>June</v>
      </c>
      <c r="M21" t="str">
        <v>FRI</v>
      </c>
      <c r="N21">
        <v>0</v>
      </c>
      <c r="O21">
        <v>0</v>
      </c>
      <c r="P21" s="22">
        <f t="shared" si="0"/>
        <v>0</v>
      </c>
    </row>
    <row r="22" spans="10:16" x14ac:dyDescent="0.35">
      <c r="J22" s="36">
        <v>45100</v>
      </c>
      <c r="K22" t="str">
        <v>PM</v>
      </c>
      <c r="L22" t="str">
        <v>June</v>
      </c>
      <c r="M22" t="str">
        <v>FRI</v>
      </c>
      <c r="N22">
        <v>5.8</v>
      </c>
      <c r="O22">
        <v>212.73854399999999</v>
      </c>
      <c r="P22" s="22">
        <f t="shared" si="0"/>
        <v>36.679059310344826</v>
      </c>
    </row>
    <row r="23" spans="10:16" x14ac:dyDescent="0.35">
      <c r="J23" s="36">
        <v>45101</v>
      </c>
      <c r="K23" t="str">
        <v>AM</v>
      </c>
      <c r="L23" t="str">
        <v>June</v>
      </c>
      <c r="M23" t="str">
        <v>SAT</v>
      </c>
      <c r="N23">
        <v>0</v>
      </c>
      <c r="O23">
        <v>0</v>
      </c>
      <c r="P23" s="22">
        <f t="shared" si="0"/>
        <v>0</v>
      </c>
    </row>
    <row r="24" spans="10:16" x14ac:dyDescent="0.35">
      <c r="J24" s="36">
        <v>45101</v>
      </c>
      <c r="K24" t="str">
        <v>PM</v>
      </c>
      <c r="L24" t="str">
        <v>June</v>
      </c>
      <c r="M24" t="str">
        <v>SAT</v>
      </c>
      <c r="N24">
        <v>0</v>
      </c>
      <c r="O24">
        <v>0</v>
      </c>
      <c r="P24" s="22">
        <f t="shared" si="0"/>
        <v>0</v>
      </c>
    </row>
    <row r="25" spans="10:16" x14ac:dyDescent="0.35">
      <c r="J25" s="36">
        <v>45102</v>
      </c>
      <c r="K25" t="str">
        <v>AM</v>
      </c>
      <c r="L25" t="str">
        <v>June</v>
      </c>
      <c r="M25" t="str">
        <v>SUN</v>
      </c>
      <c r="N25">
        <v>0</v>
      </c>
      <c r="O25">
        <v>0</v>
      </c>
      <c r="P25" s="22">
        <f t="shared" si="0"/>
        <v>0</v>
      </c>
    </row>
    <row r="26" spans="10:16" x14ac:dyDescent="0.35">
      <c r="J26" s="36">
        <v>45102</v>
      </c>
      <c r="K26" t="str">
        <v>PM</v>
      </c>
      <c r="L26" t="str">
        <v>June</v>
      </c>
      <c r="M26" t="str">
        <v>SUN</v>
      </c>
      <c r="N26">
        <v>4.4833333333333334</v>
      </c>
      <c r="O26">
        <v>230.30097999999998</v>
      </c>
      <c r="P26" s="22">
        <f t="shared" si="0"/>
        <v>51.368248327137543</v>
      </c>
    </row>
    <row r="27" spans="10:16" x14ac:dyDescent="0.35">
      <c r="J27" s="36">
        <v>45103</v>
      </c>
      <c r="K27" t="str">
        <v>AM</v>
      </c>
      <c r="L27" t="str">
        <v>June</v>
      </c>
      <c r="M27" t="str">
        <v>MON</v>
      </c>
      <c r="N27">
        <v>0</v>
      </c>
      <c r="O27">
        <v>0</v>
      </c>
      <c r="P27" s="22">
        <f t="shared" si="0"/>
        <v>0</v>
      </c>
    </row>
    <row r="28" spans="10:16" x14ac:dyDescent="0.35">
      <c r="J28" s="36">
        <v>45103</v>
      </c>
      <c r="K28" t="str">
        <v>PM</v>
      </c>
      <c r="L28" t="str">
        <v>June</v>
      </c>
      <c r="M28" t="str">
        <v>MON</v>
      </c>
      <c r="N28">
        <v>4.8166666666666664</v>
      </c>
      <c r="O28">
        <v>141.32609200000002</v>
      </c>
      <c r="P28" s="22">
        <f t="shared" si="0"/>
        <v>29.341057162629763</v>
      </c>
    </row>
    <row r="29" spans="10:16" x14ac:dyDescent="0.35">
      <c r="J29" s="36">
        <v>45104</v>
      </c>
      <c r="K29" t="str">
        <v>AM</v>
      </c>
      <c r="L29" t="str">
        <v>June</v>
      </c>
      <c r="M29" t="str">
        <v>TUE</v>
      </c>
      <c r="N29">
        <v>0</v>
      </c>
      <c r="O29">
        <v>0</v>
      </c>
      <c r="P29" s="22">
        <f t="shared" si="0"/>
        <v>0</v>
      </c>
    </row>
    <row r="30" spans="10:16" x14ac:dyDescent="0.35">
      <c r="J30" s="36">
        <v>45104</v>
      </c>
      <c r="K30" t="str">
        <v>PM</v>
      </c>
      <c r="L30" t="str">
        <v>June</v>
      </c>
      <c r="M30" t="str">
        <v>TUE</v>
      </c>
      <c r="N30">
        <v>6.7333333333333334</v>
      </c>
      <c r="O30">
        <v>237.84255200000001</v>
      </c>
      <c r="P30" s="22">
        <f t="shared" si="0"/>
        <v>35.323151287128717</v>
      </c>
    </row>
    <row r="31" spans="10:16" x14ac:dyDescent="0.35">
      <c r="J31" s="36">
        <v>45105</v>
      </c>
      <c r="K31" t="str">
        <v>AM</v>
      </c>
      <c r="L31" t="str">
        <v>June</v>
      </c>
      <c r="M31" t="str">
        <v>WED</v>
      </c>
      <c r="N31">
        <v>0</v>
      </c>
      <c r="O31">
        <v>0</v>
      </c>
      <c r="P31" s="22">
        <f t="shared" si="0"/>
        <v>0</v>
      </c>
    </row>
    <row r="32" spans="10:16" x14ac:dyDescent="0.35">
      <c r="J32" s="36">
        <v>45105</v>
      </c>
      <c r="K32" t="str">
        <v>PM</v>
      </c>
      <c r="L32" t="str">
        <v>June</v>
      </c>
      <c r="M32" t="str">
        <v>WED</v>
      </c>
      <c r="N32">
        <v>4.7333333333333334</v>
      </c>
      <c r="O32">
        <v>191.79007999999999</v>
      </c>
      <c r="P32" s="22">
        <f t="shared" si="0"/>
        <v>40.519030985915492</v>
      </c>
    </row>
    <row r="33" spans="10:16" x14ac:dyDescent="0.35">
      <c r="J33" s="36">
        <v>45106</v>
      </c>
      <c r="K33" t="str">
        <v>AM</v>
      </c>
      <c r="L33" t="str">
        <v>June</v>
      </c>
      <c r="M33" t="str">
        <v>THU</v>
      </c>
      <c r="N33">
        <v>0</v>
      </c>
      <c r="O33">
        <v>0</v>
      </c>
      <c r="P33" s="22">
        <f t="shared" si="0"/>
        <v>0</v>
      </c>
    </row>
    <row r="34" spans="10:16" x14ac:dyDescent="0.35">
      <c r="J34" s="36">
        <v>45106</v>
      </c>
      <c r="K34" t="str">
        <v>PM</v>
      </c>
      <c r="L34" t="str">
        <v>June</v>
      </c>
      <c r="M34" t="str">
        <v>THU</v>
      </c>
      <c r="N34">
        <v>0</v>
      </c>
      <c r="O34">
        <v>0</v>
      </c>
      <c r="P34" s="22">
        <f t="shared" si="0"/>
        <v>0</v>
      </c>
    </row>
    <row r="35" spans="10:16" x14ac:dyDescent="0.35">
      <c r="J35" s="36">
        <v>45107</v>
      </c>
      <c r="K35" t="str">
        <v>AM</v>
      </c>
      <c r="L35" t="str">
        <v>June</v>
      </c>
      <c r="M35" t="str">
        <v>FRI</v>
      </c>
      <c r="N35">
        <v>0</v>
      </c>
      <c r="O35">
        <v>0</v>
      </c>
      <c r="P35" s="22">
        <f t="shared" si="0"/>
        <v>0</v>
      </c>
    </row>
    <row r="36" spans="10:16" x14ac:dyDescent="0.35">
      <c r="J36" s="36">
        <v>45107</v>
      </c>
      <c r="K36" t="str">
        <v>PM</v>
      </c>
      <c r="L36" t="str">
        <v>June</v>
      </c>
      <c r="M36" t="str">
        <v>FRI</v>
      </c>
      <c r="N36">
        <v>6.25</v>
      </c>
      <c r="O36">
        <v>165.05888400000001</v>
      </c>
      <c r="P36" s="22">
        <f t="shared" si="0"/>
        <v>26.409421440000003</v>
      </c>
    </row>
    <row r="37" spans="10:16" x14ac:dyDescent="0.35">
      <c r="J37" s="36">
        <v>45108</v>
      </c>
      <c r="K37" t="str">
        <v>AM</v>
      </c>
      <c r="L37" t="str">
        <v>July</v>
      </c>
      <c r="M37" t="str">
        <v>SAT</v>
      </c>
      <c r="N37">
        <v>0</v>
      </c>
      <c r="O37">
        <v>0</v>
      </c>
      <c r="P37" s="22">
        <f t="shared" si="0"/>
        <v>0</v>
      </c>
    </row>
    <row r="38" spans="10:16" x14ac:dyDescent="0.35">
      <c r="J38" s="36">
        <v>45108</v>
      </c>
      <c r="K38" t="str">
        <v>PM</v>
      </c>
      <c r="L38" t="str">
        <v>July</v>
      </c>
      <c r="M38" t="str">
        <v>SAT</v>
      </c>
      <c r="N38">
        <v>6.25</v>
      </c>
      <c r="O38">
        <v>221.20686000000001</v>
      </c>
      <c r="P38" s="22">
        <f t="shared" si="0"/>
        <v>35.393097600000004</v>
      </c>
    </row>
    <row r="39" spans="10:16" x14ac:dyDescent="0.35">
      <c r="J39" s="36">
        <v>45109</v>
      </c>
      <c r="K39" t="str">
        <v>AM</v>
      </c>
      <c r="L39" t="str">
        <v>July</v>
      </c>
      <c r="M39" t="str">
        <v>SUN</v>
      </c>
      <c r="N39">
        <v>0</v>
      </c>
      <c r="O39">
        <v>0</v>
      </c>
      <c r="P39" s="22">
        <f t="shared" si="0"/>
        <v>0</v>
      </c>
    </row>
    <row r="40" spans="10:16" x14ac:dyDescent="0.35">
      <c r="J40" s="36">
        <v>45109</v>
      </c>
      <c r="K40" t="str">
        <v>PM</v>
      </c>
      <c r="L40" t="str">
        <v>July</v>
      </c>
      <c r="M40" t="str">
        <v>SUN</v>
      </c>
      <c r="N40">
        <v>6.2666666666666666</v>
      </c>
      <c r="O40">
        <v>184.44623999999999</v>
      </c>
      <c r="P40" s="22">
        <f t="shared" si="0"/>
        <v>29.432910638297869</v>
      </c>
    </row>
    <row r="41" spans="10:16" x14ac:dyDescent="0.35">
      <c r="J41" s="36">
        <v>45110</v>
      </c>
      <c r="K41" t="str">
        <v>AM</v>
      </c>
      <c r="L41" t="str">
        <v>July</v>
      </c>
      <c r="M41" t="str">
        <v>MON</v>
      </c>
      <c r="N41">
        <v>0</v>
      </c>
      <c r="O41">
        <v>0</v>
      </c>
      <c r="P41" s="22">
        <f t="shared" si="0"/>
        <v>0</v>
      </c>
    </row>
    <row r="42" spans="10:16" x14ac:dyDescent="0.35">
      <c r="J42" s="36">
        <v>45110</v>
      </c>
      <c r="K42" t="str">
        <v>PM</v>
      </c>
      <c r="L42" t="str">
        <v>July</v>
      </c>
      <c r="M42" t="str">
        <v>MON</v>
      </c>
      <c r="N42">
        <v>0</v>
      </c>
      <c r="O42">
        <v>0</v>
      </c>
      <c r="P42" s="22">
        <f t="shared" si="0"/>
        <v>0</v>
      </c>
    </row>
    <row r="43" spans="10:16" x14ac:dyDescent="0.35">
      <c r="J43" s="36">
        <v>45111</v>
      </c>
      <c r="K43" t="str">
        <v>AM</v>
      </c>
      <c r="L43" t="str">
        <v>July</v>
      </c>
      <c r="M43" t="str">
        <v>TUE</v>
      </c>
      <c r="N43">
        <v>0</v>
      </c>
      <c r="O43">
        <v>0</v>
      </c>
      <c r="P43" s="22">
        <f t="shared" si="0"/>
        <v>0</v>
      </c>
    </row>
    <row r="44" spans="10:16" x14ac:dyDescent="0.35">
      <c r="J44" s="36">
        <v>45111</v>
      </c>
      <c r="K44" t="str">
        <v>PM</v>
      </c>
      <c r="L44" t="str">
        <v>July</v>
      </c>
      <c r="M44" t="str">
        <v>TUE</v>
      </c>
      <c r="N44">
        <v>0</v>
      </c>
      <c r="O44">
        <v>0</v>
      </c>
      <c r="P44" s="22">
        <f t="shared" si="0"/>
        <v>0</v>
      </c>
    </row>
    <row r="45" spans="10:16" x14ac:dyDescent="0.35">
      <c r="J45" s="36">
        <v>45112</v>
      </c>
      <c r="K45" t="str">
        <v>AM</v>
      </c>
      <c r="L45" t="str">
        <v>July</v>
      </c>
      <c r="M45" t="str">
        <v>WED</v>
      </c>
      <c r="N45">
        <v>0</v>
      </c>
      <c r="O45">
        <v>0</v>
      </c>
      <c r="P45" s="22">
        <f t="shared" si="0"/>
        <v>0</v>
      </c>
    </row>
    <row r="46" spans="10:16" x14ac:dyDescent="0.35">
      <c r="J46" s="36">
        <v>45112</v>
      </c>
      <c r="K46" t="str">
        <v>PM</v>
      </c>
      <c r="L46" t="str">
        <v>July</v>
      </c>
      <c r="M46" t="str">
        <v>WED</v>
      </c>
      <c r="N46">
        <v>5.7</v>
      </c>
      <c r="O46">
        <v>203.96432799999999</v>
      </c>
      <c r="P46" s="22">
        <f t="shared" si="0"/>
        <v>35.783215438596493</v>
      </c>
    </row>
    <row r="47" spans="10:16" x14ac:dyDescent="0.35">
      <c r="J47" s="36">
        <v>45113</v>
      </c>
      <c r="K47" t="str">
        <v>AM</v>
      </c>
      <c r="L47" t="str">
        <v>July</v>
      </c>
      <c r="M47" t="str">
        <v>THU</v>
      </c>
      <c r="N47">
        <v>0</v>
      </c>
      <c r="O47">
        <v>0</v>
      </c>
      <c r="P47" s="22">
        <f t="shared" si="0"/>
        <v>0</v>
      </c>
    </row>
    <row r="48" spans="10:16" x14ac:dyDescent="0.35">
      <c r="J48" s="36">
        <v>45113</v>
      </c>
      <c r="K48" t="str">
        <v>PM</v>
      </c>
      <c r="L48" t="str">
        <v>July</v>
      </c>
      <c r="M48" t="str">
        <v>THU</v>
      </c>
      <c r="N48">
        <v>5.916666666666667</v>
      </c>
      <c r="O48">
        <v>191.58984399999997</v>
      </c>
      <c r="P48" s="22">
        <f t="shared" si="0"/>
        <v>32.381382084507038</v>
      </c>
    </row>
    <row r="49" spans="10:16" x14ac:dyDescent="0.35">
      <c r="J49" s="36">
        <v>45114</v>
      </c>
      <c r="K49" t="str">
        <v>AM</v>
      </c>
      <c r="L49" t="str">
        <v>July</v>
      </c>
      <c r="M49" t="str">
        <v>FRI</v>
      </c>
      <c r="N49">
        <v>0</v>
      </c>
      <c r="O49">
        <v>0</v>
      </c>
      <c r="P49" s="22">
        <f t="shared" si="0"/>
        <v>0</v>
      </c>
    </row>
    <row r="50" spans="10:16" x14ac:dyDescent="0.35">
      <c r="J50" s="36">
        <v>45114</v>
      </c>
      <c r="K50" t="str">
        <v>PM</v>
      </c>
      <c r="L50" t="str">
        <v>July</v>
      </c>
      <c r="M50" t="str">
        <v>FRI</v>
      </c>
      <c r="N50">
        <v>5.666666666666667</v>
      </c>
      <c r="O50">
        <v>167.95578399999999</v>
      </c>
      <c r="P50" s="22">
        <f t="shared" si="0"/>
        <v>29.639255999999996</v>
      </c>
    </row>
    <row r="51" spans="10:16" x14ac:dyDescent="0.35">
      <c r="J51" s="36">
        <v>45115</v>
      </c>
      <c r="K51" t="str">
        <v>AM</v>
      </c>
      <c r="L51" t="str">
        <v>July</v>
      </c>
      <c r="M51" t="str">
        <v>SAT</v>
      </c>
      <c r="N51">
        <v>0</v>
      </c>
      <c r="O51">
        <v>0</v>
      </c>
      <c r="P51" s="22">
        <f t="shared" si="0"/>
        <v>0</v>
      </c>
    </row>
    <row r="52" spans="10:16" x14ac:dyDescent="0.35">
      <c r="J52" s="36">
        <v>45115</v>
      </c>
      <c r="K52" t="str">
        <v>PM</v>
      </c>
      <c r="L52" t="str">
        <v>July</v>
      </c>
      <c r="M52" t="str">
        <v>SAT</v>
      </c>
      <c r="N52">
        <v>5.5166666666666666</v>
      </c>
      <c r="O52">
        <v>238.67122000000001</v>
      </c>
      <c r="P52" s="22">
        <f t="shared" si="0"/>
        <v>43.263665256797587</v>
      </c>
    </row>
    <row r="53" spans="10:16" x14ac:dyDescent="0.35">
      <c r="J53" s="36">
        <v>45116</v>
      </c>
      <c r="K53" t="str">
        <v>AM</v>
      </c>
      <c r="L53" t="str">
        <v>July</v>
      </c>
      <c r="M53" t="str">
        <v>SUN</v>
      </c>
      <c r="N53">
        <v>0</v>
      </c>
      <c r="O53">
        <v>0</v>
      </c>
      <c r="P53" s="22">
        <f t="shared" si="0"/>
        <v>0</v>
      </c>
    </row>
    <row r="54" spans="10:16" x14ac:dyDescent="0.35">
      <c r="J54" s="36">
        <v>45116</v>
      </c>
      <c r="K54" t="str">
        <v>PM</v>
      </c>
      <c r="L54" t="str">
        <v>July</v>
      </c>
      <c r="M54" t="str">
        <v>SUN</v>
      </c>
      <c r="N54">
        <v>0</v>
      </c>
      <c r="O54">
        <v>0</v>
      </c>
      <c r="P54" s="22">
        <f t="shared" si="0"/>
        <v>0</v>
      </c>
    </row>
    <row r="55" spans="10:16" x14ac:dyDescent="0.35">
      <c r="J55" s="36">
        <v>45117</v>
      </c>
      <c r="K55" t="str">
        <v>AM</v>
      </c>
      <c r="L55" t="str">
        <v>July</v>
      </c>
      <c r="M55" t="str">
        <v>MON</v>
      </c>
      <c r="N55">
        <v>0</v>
      </c>
      <c r="O55">
        <v>0</v>
      </c>
      <c r="P55" s="22">
        <f t="shared" si="0"/>
        <v>0</v>
      </c>
    </row>
    <row r="56" spans="10:16" x14ac:dyDescent="0.35">
      <c r="J56" s="36">
        <v>45117</v>
      </c>
      <c r="K56" t="str">
        <v>PM</v>
      </c>
      <c r="L56" t="str">
        <v>July</v>
      </c>
      <c r="M56" t="str">
        <v>MON</v>
      </c>
      <c r="N56">
        <v>4.95</v>
      </c>
      <c r="O56">
        <v>190.56170799999998</v>
      </c>
      <c r="P56" s="22">
        <f t="shared" si="0"/>
        <v>38.497314747474739</v>
      </c>
    </row>
    <row r="57" spans="10:16" x14ac:dyDescent="0.35">
      <c r="J57" s="36">
        <v>45118</v>
      </c>
      <c r="K57" t="str">
        <v>AM</v>
      </c>
      <c r="L57" t="str">
        <v>July</v>
      </c>
      <c r="M57" t="str">
        <v>TUE</v>
      </c>
      <c r="N57">
        <v>0</v>
      </c>
      <c r="O57">
        <v>0</v>
      </c>
      <c r="P57" s="22">
        <f t="shared" si="0"/>
        <v>0</v>
      </c>
    </row>
    <row r="58" spans="10:16" x14ac:dyDescent="0.35">
      <c r="J58" s="36">
        <v>45118</v>
      </c>
      <c r="K58" t="str">
        <v>PM</v>
      </c>
      <c r="L58" t="str">
        <v>July</v>
      </c>
      <c r="M58" t="str">
        <v>TUE</v>
      </c>
      <c r="N58">
        <v>4.55</v>
      </c>
      <c r="O58">
        <v>175.82314799999997</v>
      </c>
      <c r="P58" s="22">
        <f t="shared" si="0"/>
        <v>38.642450109890106</v>
      </c>
    </row>
    <row r="59" spans="10:16" x14ac:dyDescent="0.35">
      <c r="J59" s="36">
        <v>45119</v>
      </c>
      <c r="K59" t="str">
        <v>AM</v>
      </c>
      <c r="L59" t="str">
        <v>July</v>
      </c>
      <c r="M59" t="str">
        <v>WED</v>
      </c>
      <c r="N59">
        <v>0</v>
      </c>
      <c r="O59">
        <v>0</v>
      </c>
      <c r="P59" s="22">
        <f t="shared" si="0"/>
        <v>0</v>
      </c>
    </row>
    <row r="60" spans="10:16" x14ac:dyDescent="0.35">
      <c r="J60" s="36">
        <v>45119</v>
      </c>
      <c r="K60" t="str">
        <v>PM</v>
      </c>
      <c r="L60" t="str">
        <v>July</v>
      </c>
      <c r="M60" t="str">
        <v>WED</v>
      </c>
      <c r="N60">
        <v>4.333333333333333</v>
      </c>
      <c r="O60">
        <v>147.38756000000001</v>
      </c>
      <c r="P60" s="22">
        <f t="shared" si="0"/>
        <v>34.012513846153851</v>
      </c>
    </row>
    <row r="61" spans="10:16" x14ac:dyDescent="0.35">
      <c r="J61" s="36">
        <v>45120</v>
      </c>
      <c r="K61" t="str">
        <v>AM</v>
      </c>
      <c r="L61" t="str">
        <v>July</v>
      </c>
      <c r="M61" t="str">
        <v>THU</v>
      </c>
      <c r="N61">
        <v>0</v>
      </c>
      <c r="O61">
        <v>0</v>
      </c>
      <c r="P61" s="22">
        <f t="shared" si="0"/>
        <v>0</v>
      </c>
    </row>
    <row r="62" spans="10:16" x14ac:dyDescent="0.35">
      <c r="J62" s="36">
        <v>45120</v>
      </c>
      <c r="K62" t="str">
        <v>PM</v>
      </c>
      <c r="L62" t="str">
        <v>July</v>
      </c>
      <c r="M62" t="str">
        <v>THU</v>
      </c>
      <c r="N62">
        <v>0</v>
      </c>
      <c r="O62">
        <v>0</v>
      </c>
      <c r="P62" s="22">
        <f t="shared" si="0"/>
        <v>0</v>
      </c>
    </row>
    <row r="63" spans="10:16" x14ac:dyDescent="0.35">
      <c r="J63" s="36">
        <v>45121</v>
      </c>
      <c r="K63" t="str">
        <v>AM</v>
      </c>
      <c r="L63" t="str">
        <v>July</v>
      </c>
      <c r="M63" t="str">
        <v>FRI</v>
      </c>
      <c r="N63">
        <v>0</v>
      </c>
      <c r="O63">
        <v>0</v>
      </c>
      <c r="P63" s="22">
        <f t="shared" si="0"/>
        <v>0</v>
      </c>
    </row>
    <row r="64" spans="10:16" x14ac:dyDescent="0.35">
      <c r="J64" s="36">
        <v>45121</v>
      </c>
      <c r="K64" t="str">
        <v>PM</v>
      </c>
      <c r="L64" t="str">
        <v>July</v>
      </c>
      <c r="M64" t="str">
        <v>FRI</v>
      </c>
      <c r="N64">
        <v>4.7833333333333332</v>
      </c>
      <c r="O64">
        <v>203.24042800000001</v>
      </c>
      <c r="P64" s="22">
        <f t="shared" si="0"/>
        <v>42.489288083623698</v>
      </c>
    </row>
    <row r="65" spans="10:16" x14ac:dyDescent="0.35">
      <c r="J65" s="36">
        <v>45122</v>
      </c>
      <c r="K65" t="str">
        <v>AM</v>
      </c>
      <c r="L65" t="str">
        <v>July</v>
      </c>
      <c r="M65" t="str">
        <v>SAT</v>
      </c>
      <c r="N65">
        <v>0</v>
      </c>
      <c r="O65">
        <v>0</v>
      </c>
      <c r="P65" s="22">
        <f t="shared" si="0"/>
        <v>0</v>
      </c>
    </row>
    <row r="66" spans="10:16" x14ac:dyDescent="0.35">
      <c r="J66" s="36">
        <v>45122</v>
      </c>
      <c r="K66" t="str">
        <v>PM</v>
      </c>
      <c r="L66" t="str">
        <v>July</v>
      </c>
      <c r="M66" t="str">
        <v>SAT</v>
      </c>
      <c r="N66">
        <v>4.3</v>
      </c>
      <c r="O66">
        <v>116.77434399999999</v>
      </c>
      <c r="P66" s="22">
        <f t="shared" si="0"/>
        <v>27.15682418604651</v>
      </c>
    </row>
    <row r="67" spans="10:16" x14ac:dyDescent="0.35">
      <c r="J67" s="36">
        <v>45123</v>
      </c>
      <c r="K67" t="str">
        <v>AM</v>
      </c>
      <c r="L67" t="str">
        <v>July</v>
      </c>
      <c r="M67" t="str">
        <v>SUN</v>
      </c>
      <c r="N67">
        <v>0</v>
      </c>
      <c r="O67">
        <v>0</v>
      </c>
      <c r="P67" s="22">
        <f t="shared" si="0"/>
        <v>0</v>
      </c>
    </row>
    <row r="68" spans="10:16" x14ac:dyDescent="0.35">
      <c r="J68" s="36">
        <v>45123</v>
      </c>
      <c r="K68" t="str">
        <v>PM</v>
      </c>
      <c r="L68" t="str">
        <v>July</v>
      </c>
      <c r="M68" t="str">
        <v>SUN</v>
      </c>
      <c r="N68">
        <v>0</v>
      </c>
      <c r="O68">
        <v>0</v>
      </c>
      <c r="P68" s="22">
        <f t="shared" ref="P68:P131" si="1">IFERROR(O68/N68,0)</f>
        <v>0</v>
      </c>
    </row>
    <row r="69" spans="10:16" x14ac:dyDescent="0.35">
      <c r="J69" s="36">
        <v>45124</v>
      </c>
      <c r="K69" t="str">
        <v>AM</v>
      </c>
      <c r="L69" t="str">
        <v>July</v>
      </c>
      <c r="M69" t="str">
        <v>MON</v>
      </c>
      <c r="N69">
        <v>0</v>
      </c>
      <c r="O69">
        <v>0</v>
      </c>
      <c r="P69" s="22">
        <f t="shared" si="1"/>
        <v>0</v>
      </c>
    </row>
    <row r="70" spans="10:16" x14ac:dyDescent="0.35">
      <c r="J70" s="36">
        <v>45124</v>
      </c>
      <c r="K70" t="str">
        <v>PM</v>
      </c>
      <c r="L70" t="str">
        <v>July</v>
      </c>
      <c r="M70" t="str">
        <v>MON</v>
      </c>
      <c r="N70">
        <v>0</v>
      </c>
      <c r="O70">
        <v>0</v>
      </c>
      <c r="P70" s="22">
        <f t="shared" si="1"/>
        <v>0</v>
      </c>
    </row>
    <row r="71" spans="10:16" x14ac:dyDescent="0.35">
      <c r="J71" s="36">
        <v>45125</v>
      </c>
      <c r="K71" t="str">
        <v>AM</v>
      </c>
      <c r="L71" t="str">
        <v>July</v>
      </c>
      <c r="M71" t="str">
        <v>TUE</v>
      </c>
      <c r="N71">
        <v>0</v>
      </c>
      <c r="O71">
        <v>0</v>
      </c>
      <c r="P71" s="22">
        <f t="shared" si="1"/>
        <v>0</v>
      </c>
    </row>
    <row r="72" spans="10:16" x14ac:dyDescent="0.35">
      <c r="J72" s="36">
        <v>45125</v>
      </c>
      <c r="K72" t="str">
        <v>PM</v>
      </c>
      <c r="L72" t="str">
        <v>July</v>
      </c>
      <c r="M72" t="str">
        <v>TUE</v>
      </c>
      <c r="N72">
        <v>4.2166666666666668</v>
      </c>
      <c r="O72">
        <v>124.95961999999999</v>
      </c>
      <c r="P72" s="22">
        <f t="shared" si="1"/>
        <v>29.634692490118574</v>
      </c>
    </row>
    <row r="73" spans="10:16" x14ac:dyDescent="0.35">
      <c r="J73" s="36">
        <v>45126</v>
      </c>
      <c r="K73" t="str">
        <v>AM</v>
      </c>
      <c r="L73" t="str">
        <v>July</v>
      </c>
      <c r="M73" t="str">
        <v>WED</v>
      </c>
      <c r="N73">
        <v>0</v>
      </c>
      <c r="O73">
        <v>0</v>
      </c>
      <c r="P73" s="22">
        <f t="shared" si="1"/>
        <v>0</v>
      </c>
    </row>
    <row r="74" spans="10:16" x14ac:dyDescent="0.35">
      <c r="J74" s="36">
        <v>45126</v>
      </c>
      <c r="K74" t="str">
        <v>PM</v>
      </c>
      <c r="L74" t="str">
        <v>July</v>
      </c>
      <c r="M74" t="str">
        <v>WED</v>
      </c>
      <c r="N74">
        <v>4.8499999999999996</v>
      </c>
      <c r="O74">
        <v>165.92441199999999</v>
      </c>
      <c r="P74" s="22">
        <f t="shared" si="1"/>
        <v>34.211218969072164</v>
      </c>
    </row>
    <row r="75" spans="10:16" x14ac:dyDescent="0.35">
      <c r="J75" s="36">
        <v>45127</v>
      </c>
      <c r="K75" t="str">
        <v>AM</v>
      </c>
      <c r="L75" t="str">
        <v>July</v>
      </c>
      <c r="M75" t="str">
        <v>THU</v>
      </c>
      <c r="N75">
        <v>0</v>
      </c>
      <c r="O75">
        <v>0</v>
      </c>
      <c r="P75" s="22">
        <f t="shared" si="1"/>
        <v>0</v>
      </c>
    </row>
    <row r="76" spans="10:16" x14ac:dyDescent="0.35">
      <c r="J76" s="36">
        <v>45127</v>
      </c>
      <c r="K76" t="str">
        <v>PM</v>
      </c>
      <c r="L76" t="str">
        <v>July</v>
      </c>
      <c r="M76" t="str">
        <v>THU</v>
      </c>
      <c r="N76">
        <v>0</v>
      </c>
      <c r="O76">
        <v>0</v>
      </c>
      <c r="P76" s="22">
        <f t="shared" si="1"/>
        <v>0</v>
      </c>
    </row>
    <row r="77" spans="10:16" x14ac:dyDescent="0.35">
      <c r="J77" s="36">
        <v>45128</v>
      </c>
      <c r="K77" t="str">
        <v>AM</v>
      </c>
      <c r="L77" t="str">
        <v>July</v>
      </c>
      <c r="M77" t="str">
        <v>FRI</v>
      </c>
      <c r="N77">
        <v>0</v>
      </c>
      <c r="O77">
        <v>0</v>
      </c>
      <c r="P77" s="22">
        <f t="shared" si="1"/>
        <v>0</v>
      </c>
    </row>
    <row r="78" spans="10:16" x14ac:dyDescent="0.35">
      <c r="J78" s="36">
        <v>45128</v>
      </c>
      <c r="K78" t="str">
        <v>PM</v>
      </c>
      <c r="L78" t="str">
        <v>July</v>
      </c>
      <c r="M78" t="str">
        <v>FRI</v>
      </c>
      <c r="N78">
        <v>5.9666666666666668</v>
      </c>
      <c r="O78">
        <v>241.94436000000002</v>
      </c>
      <c r="P78" s="22">
        <f t="shared" si="1"/>
        <v>40.54933407821229</v>
      </c>
    </row>
    <row r="79" spans="10:16" x14ac:dyDescent="0.35">
      <c r="J79" s="36">
        <v>45129</v>
      </c>
      <c r="K79" t="str">
        <v>AM</v>
      </c>
      <c r="L79" t="str">
        <v>July</v>
      </c>
      <c r="M79" t="str">
        <v>SAT</v>
      </c>
      <c r="N79">
        <v>0</v>
      </c>
      <c r="O79">
        <v>0</v>
      </c>
      <c r="P79" s="22">
        <f t="shared" si="1"/>
        <v>0</v>
      </c>
    </row>
    <row r="80" spans="10:16" x14ac:dyDescent="0.35">
      <c r="J80" s="36">
        <v>45129</v>
      </c>
      <c r="K80" t="str">
        <v>PM</v>
      </c>
      <c r="L80" t="str">
        <v>July</v>
      </c>
      <c r="M80" t="str">
        <v>SAT</v>
      </c>
      <c r="N80">
        <v>6.1166666666666663</v>
      </c>
      <c r="O80">
        <v>333.681308</v>
      </c>
      <c r="P80" s="22">
        <f t="shared" si="1"/>
        <v>54.552802397820166</v>
      </c>
    </row>
    <row r="81" spans="10:16" x14ac:dyDescent="0.35">
      <c r="J81" s="36">
        <v>45130</v>
      </c>
      <c r="K81" t="str">
        <v>AM</v>
      </c>
      <c r="L81" t="str">
        <v>July</v>
      </c>
      <c r="M81" t="str">
        <v>SUN</v>
      </c>
      <c r="N81">
        <v>0</v>
      </c>
      <c r="O81">
        <v>0</v>
      </c>
      <c r="P81" s="22">
        <f t="shared" si="1"/>
        <v>0</v>
      </c>
    </row>
    <row r="82" spans="10:16" x14ac:dyDescent="0.35">
      <c r="J82" s="36">
        <v>45130</v>
      </c>
      <c r="K82" t="str">
        <v>PM</v>
      </c>
      <c r="L82" t="str">
        <v>July</v>
      </c>
      <c r="M82" t="str">
        <v>SUN</v>
      </c>
      <c r="N82">
        <v>0</v>
      </c>
      <c r="O82">
        <v>0</v>
      </c>
      <c r="P82" s="22">
        <f t="shared" si="1"/>
        <v>0</v>
      </c>
    </row>
    <row r="83" spans="10:16" x14ac:dyDescent="0.35">
      <c r="J83" s="36">
        <v>45131</v>
      </c>
      <c r="K83" t="str">
        <v>AM</v>
      </c>
      <c r="L83" t="str">
        <v>July</v>
      </c>
      <c r="M83" t="str">
        <v>MON</v>
      </c>
      <c r="N83">
        <v>0</v>
      </c>
      <c r="O83">
        <v>0</v>
      </c>
      <c r="P83" s="22">
        <f t="shared" si="1"/>
        <v>0</v>
      </c>
    </row>
    <row r="84" spans="10:16" x14ac:dyDescent="0.35">
      <c r="J84" s="36">
        <v>45131</v>
      </c>
      <c r="K84" t="str">
        <v>PM</v>
      </c>
      <c r="L84" t="str">
        <v>July</v>
      </c>
      <c r="M84" t="str">
        <v>MON</v>
      </c>
      <c r="N84">
        <v>4.5166666666666666</v>
      </c>
      <c r="O84">
        <v>170.00901999999999</v>
      </c>
      <c r="P84" s="22">
        <f t="shared" si="1"/>
        <v>37.640373431734318</v>
      </c>
    </row>
    <row r="85" spans="10:16" x14ac:dyDescent="0.35">
      <c r="J85" s="36">
        <v>45132</v>
      </c>
      <c r="K85" t="str">
        <v>AM</v>
      </c>
      <c r="L85" t="str">
        <v>July</v>
      </c>
      <c r="M85" t="str">
        <v>TUE</v>
      </c>
      <c r="N85">
        <v>0</v>
      </c>
      <c r="O85">
        <v>0</v>
      </c>
      <c r="P85" s="22">
        <f t="shared" si="1"/>
        <v>0</v>
      </c>
    </row>
    <row r="86" spans="10:16" x14ac:dyDescent="0.35">
      <c r="J86" s="36">
        <v>45132</v>
      </c>
      <c r="K86" t="str">
        <v>PM</v>
      </c>
      <c r="L86" t="str">
        <v>July</v>
      </c>
      <c r="M86" t="str">
        <v>TUE</v>
      </c>
      <c r="N86">
        <v>4.7666666666666666</v>
      </c>
      <c r="O86">
        <v>151.1086</v>
      </c>
      <c r="P86" s="22">
        <f t="shared" si="1"/>
        <v>31.701104895104894</v>
      </c>
    </row>
    <row r="87" spans="10:16" x14ac:dyDescent="0.35">
      <c r="J87" s="36">
        <v>45133</v>
      </c>
      <c r="K87" t="str">
        <v>AM</v>
      </c>
      <c r="L87" t="str">
        <v>July</v>
      </c>
      <c r="M87" t="str">
        <v>WED</v>
      </c>
      <c r="N87">
        <v>0</v>
      </c>
      <c r="O87">
        <v>0</v>
      </c>
      <c r="P87" s="22">
        <f t="shared" si="1"/>
        <v>0</v>
      </c>
    </row>
    <row r="88" spans="10:16" x14ac:dyDescent="0.35">
      <c r="J88" s="36">
        <v>45133</v>
      </c>
      <c r="K88" t="str">
        <v>PM</v>
      </c>
      <c r="L88" t="str">
        <v>July</v>
      </c>
      <c r="M88" t="str">
        <v>WED</v>
      </c>
      <c r="N88">
        <v>5.2666666666666666</v>
      </c>
      <c r="O88">
        <v>185.11517599999999</v>
      </c>
      <c r="P88" s="22">
        <f t="shared" si="1"/>
        <v>35.148451139240507</v>
      </c>
    </row>
    <row r="89" spans="10:16" x14ac:dyDescent="0.35">
      <c r="J89" s="36">
        <v>45134</v>
      </c>
      <c r="K89" t="str">
        <v>AM</v>
      </c>
      <c r="L89" t="str">
        <v>July</v>
      </c>
      <c r="M89" t="str">
        <v>THU</v>
      </c>
      <c r="N89">
        <v>0</v>
      </c>
      <c r="O89">
        <v>0</v>
      </c>
      <c r="P89" s="22">
        <f t="shared" si="1"/>
        <v>0</v>
      </c>
    </row>
    <row r="90" spans="10:16" x14ac:dyDescent="0.35">
      <c r="J90" s="36">
        <v>45134</v>
      </c>
      <c r="K90" t="str">
        <v>PM</v>
      </c>
      <c r="L90" t="str">
        <v>July</v>
      </c>
      <c r="M90" t="str">
        <v>THU</v>
      </c>
      <c r="N90">
        <v>0</v>
      </c>
      <c r="O90">
        <v>0</v>
      </c>
      <c r="P90" s="22">
        <f t="shared" si="1"/>
        <v>0</v>
      </c>
    </row>
    <row r="91" spans="10:16" x14ac:dyDescent="0.35">
      <c r="J91" s="36">
        <v>45135</v>
      </c>
      <c r="K91" t="str">
        <v>AM</v>
      </c>
      <c r="L91" t="str">
        <v>July</v>
      </c>
      <c r="M91" t="str">
        <v>FRI</v>
      </c>
      <c r="N91">
        <v>0</v>
      </c>
      <c r="O91">
        <v>0</v>
      </c>
      <c r="P91" s="22">
        <f t="shared" si="1"/>
        <v>0</v>
      </c>
    </row>
    <row r="92" spans="10:16" x14ac:dyDescent="0.35">
      <c r="J92" s="36">
        <v>45135</v>
      </c>
      <c r="K92" t="str">
        <v>PM</v>
      </c>
      <c r="L92" t="str">
        <v>July</v>
      </c>
      <c r="M92" t="str">
        <v>FRI</v>
      </c>
      <c r="N92">
        <v>5.1833333333333336</v>
      </c>
      <c r="O92">
        <v>238.50191599999999</v>
      </c>
      <c r="P92" s="22">
        <f t="shared" si="1"/>
        <v>46.013231382636654</v>
      </c>
    </row>
    <row r="93" spans="10:16" x14ac:dyDescent="0.35">
      <c r="J93" s="36">
        <v>45136</v>
      </c>
      <c r="K93" t="str">
        <v>AM</v>
      </c>
      <c r="L93" t="str">
        <v>July</v>
      </c>
      <c r="M93" t="str">
        <v>SAT</v>
      </c>
      <c r="N93">
        <v>0</v>
      </c>
      <c r="O93">
        <v>0</v>
      </c>
      <c r="P93" s="22">
        <f t="shared" si="1"/>
        <v>0</v>
      </c>
    </row>
    <row r="94" spans="10:16" x14ac:dyDescent="0.35">
      <c r="J94" s="36">
        <v>45136</v>
      </c>
      <c r="K94" t="str">
        <v>PM</v>
      </c>
      <c r="L94" t="str">
        <v>July</v>
      </c>
      <c r="M94" t="str">
        <v>SAT</v>
      </c>
      <c r="N94">
        <v>4.45</v>
      </c>
      <c r="O94">
        <v>172.51180399999998</v>
      </c>
      <c r="P94" s="22">
        <f t="shared" si="1"/>
        <v>38.766697528089885</v>
      </c>
    </row>
    <row r="95" spans="10:16" x14ac:dyDescent="0.35">
      <c r="J95" s="36">
        <v>45137</v>
      </c>
      <c r="K95" t="str">
        <v>AM</v>
      </c>
      <c r="L95" t="str">
        <v>July</v>
      </c>
      <c r="M95" t="str">
        <v>SUN</v>
      </c>
      <c r="N95">
        <v>5.4666666666666668</v>
      </c>
      <c r="O95">
        <v>129.63104000000001</v>
      </c>
      <c r="P95" s="22">
        <f t="shared" si="1"/>
        <v>23.71299512195122</v>
      </c>
    </row>
    <row r="96" spans="10:16" x14ac:dyDescent="0.35">
      <c r="J96" s="36">
        <v>45137</v>
      </c>
      <c r="K96" t="str">
        <v>PM</v>
      </c>
      <c r="L96" t="str">
        <v>July</v>
      </c>
      <c r="M96" t="str">
        <v>SUN</v>
      </c>
      <c r="N96">
        <v>0</v>
      </c>
      <c r="O96">
        <v>0</v>
      </c>
      <c r="P96" s="22">
        <f t="shared" si="1"/>
        <v>0</v>
      </c>
    </row>
    <row r="97" spans="10:16" x14ac:dyDescent="0.35">
      <c r="J97" s="36">
        <v>45138</v>
      </c>
      <c r="K97" t="str">
        <v>AM</v>
      </c>
      <c r="L97" t="str">
        <v>July</v>
      </c>
      <c r="M97" t="str">
        <v>MON</v>
      </c>
      <c r="N97">
        <v>0</v>
      </c>
      <c r="O97">
        <v>0</v>
      </c>
      <c r="P97" s="22">
        <f t="shared" si="1"/>
        <v>0</v>
      </c>
    </row>
    <row r="98" spans="10:16" x14ac:dyDescent="0.35">
      <c r="J98" s="36">
        <v>45138</v>
      </c>
      <c r="K98" t="str">
        <v>PM</v>
      </c>
      <c r="L98" t="str">
        <v>July</v>
      </c>
      <c r="M98" t="str">
        <v>MON</v>
      </c>
      <c r="N98">
        <v>4.3833333333333337</v>
      </c>
      <c r="O98">
        <v>206.59433999999999</v>
      </c>
      <c r="P98" s="22">
        <f t="shared" si="1"/>
        <v>47.131788593155889</v>
      </c>
    </row>
    <row r="99" spans="10:16" x14ac:dyDescent="0.35">
      <c r="J99" s="36">
        <v>45139</v>
      </c>
      <c r="K99" t="str">
        <v>AM</v>
      </c>
      <c r="L99" t="str">
        <v>August</v>
      </c>
      <c r="M99" t="str">
        <v>TUE</v>
      </c>
      <c r="N99">
        <v>0</v>
      </c>
      <c r="O99">
        <v>0</v>
      </c>
      <c r="P99" s="22">
        <f t="shared" si="1"/>
        <v>0</v>
      </c>
    </row>
    <row r="100" spans="10:16" x14ac:dyDescent="0.35">
      <c r="J100" s="36">
        <v>45139</v>
      </c>
      <c r="K100" t="str">
        <v>PM</v>
      </c>
      <c r="L100" t="str">
        <v>August</v>
      </c>
      <c r="M100" t="str">
        <v>TUE</v>
      </c>
      <c r="N100">
        <v>5.4333333333333336</v>
      </c>
      <c r="O100">
        <v>138.13836000000001</v>
      </c>
      <c r="P100" s="22">
        <f t="shared" si="1"/>
        <v>25.424238036809815</v>
      </c>
    </row>
    <row r="101" spans="10:16" x14ac:dyDescent="0.35">
      <c r="J101" s="36">
        <v>45140</v>
      </c>
      <c r="K101" t="str">
        <v>AM</v>
      </c>
      <c r="L101" t="str">
        <v>August</v>
      </c>
      <c r="M101" t="str">
        <v>WED</v>
      </c>
      <c r="N101">
        <v>3.5833333333333335</v>
      </c>
      <c r="O101">
        <v>114.396716</v>
      </c>
      <c r="P101" s="22">
        <f t="shared" si="1"/>
        <v>31.924664930232556</v>
      </c>
    </row>
    <row r="102" spans="10:16" x14ac:dyDescent="0.35">
      <c r="J102" s="36">
        <v>45140</v>
      </c>
      <c r="K102" t="str">
        <v>PM</v>
      </c>
      <c r="L102" t="str">
        <v>August</v>
      </c>
      <c r="M102" t="str">
        <v>WED</v>
      </c>
      <c r="N102">
        <v>3.5</v>
      </c>
      <c r="O102">
        <v>94.560599999999994</v>
      </c>
      <c r="P102" s="22">
        <f t="shared" si="1"/>
        <v>27.017314285714285</v>
      </c>
    </row>
    <row r="103" spans="10:16" x14ac:dyDescent="0.35">
      <c r="J103" s="36">
        <v>45141</v>
      </c>
      <c r="K103" t="str">
        <v>AM</v>
      </c>
      <c r="L103" t="str">
        <v>August</v>
      </c>
      <c r="M103" t="str">
        <v>THU</v>
      </c>
      <c r="N103">
        <v>0</v>
      </c>
      <c r="O103">
        <v>0</v>
      </c>
      <c r="P103" s="22">
        <f t="shared" si="1"/>
        <v>0</v>
      </c>
    </row>
    <row r="104" spans="10:16" x14ac:dyDescent="0.35">
      <c r="J104" s="36">
        <v>45141</v>
      </c>
      <c r="K104" t="str">
        <v>PM</v>
      </c>
      <c r="L104" t="str">
        <v>August</v>
      </c>
      <c r="M104" t="str">
        <v>THU</v>
      </c>
      <c r="N104">
        <v>0</v>
      </c>
      <c r="O104">
        <v>0</v>
      </c>
      <c r="P104" s="22">
        <f t="shared" si="1"/>
        <v>0</v>
      </c>
    </row>
    <row r="105" spans="10:16" x14ac:dyDescent="0.35">
      <c r="J105" s="36">
        <v>45142</v>
      </c>
      <c r="K105" t="str">
        <v>AM</v>
      </c>
      <c r="L105" t="str">
        <v>August</v>
      </c>
      <c r="M105" t="str">
        <v>FRI</v>
      </c>
      <c r="N105">
        <v>4.7833333333333332</v>
      </c>
      <c r="O105">
        <v>162.478084</v>
      </c>
      <c r="P105" s="22">
        <f t="shared" si="1"/>
        <v>33.967543693379788</v>
      </c>
    </row>
    <row r="106" spans="10:16" x14ac:dyDescent="0.35">
      <c r="J106" s="36">
        <v>45142</v>
      </c>
      <c r="K106" t="str">
        <v>PM</v>
      </c>
      <c r="L106" t="str">
        <v>August</v>
      </c>
      <c r="M106" t="str">
        <v>FRI</v>
      </c>
      <c r="N106">
        <v>4.6166666666666663</v>
      </c>
      <c r="O106">
        <v>180.67177999999998</v>
      </c>
      <c r="P106" s="22">
        <f t="shared" si="1"/>
        <v>39.134681588447656</v>
      </c>
    </row>
    <row r="107" spans="10:16" x14ac:dyDescent="0.35">
      <c r="J107" s="36">
        <v>45143</v>
      </c>
      <c r="K107" t="str">
        <v>AM</v>
      </c>
      <c r="L107" t="str">
        <v>August</v>
      </c>
      <c r="M107" t="str">
        <v>SAT</v>
      </c>
      <c r="N107">
        <v>0</v>
      </c>
      <c r="O107">
        <v>0</v>
      </c>
      <c r="P107" s="22">
        <f t="shared" si="1"/>
        <v>0</v>
      </c>
    </row>
    <row r="108" spans="10:16" x14ac:dyDescent="0.35">
      <c r="J108" s="36">
        <v>45143</v>
      </c>
      <c r="K108" t="str">
        <v>PM</v>
      </c>
      <c r="L108" t="str">
        <v>August</v>
      </c>
      <c r="M108" t="str">
        <v>SAT</v>
      </c>
      <c r="N108">
        <v>6.25</v>
      </c>
      <c r="O108">
        <v>266.82144400000004</v>
      </c>
      <c r="P108" s="22">
        <f t="shared" si="1"/>
        <v>42.691431040000005</v>
      </c>
    </row>
    <row r="109" spans="10:16" x14ac:dyDescent="0.35">
      <c r="J109" s="36">
        <v>45144</v>
      </c>
      <c r="K109" t="str">
        <v>AM</v>
      </c>
      <c r="L109" t="str">
        <v>August</v>
      </c>
      <c r="M109" t="str">
        <v>SUN</v>
      </c>
      <c r="N109">
        <v>0</v>
      </c>
      <c r="O109">
        <v>0</v>
      </c>
      <c r="P109" s="22">
        <f t="shared" si="1"/>
        <v>0</v>
      </c>
    </row>
    <row r="110" spans="10:16" x14ac:dyDescent="0.35">
      <c r="J110" s="36">
        <v>45144</v>
      </c>
      <c r="K110" t="str">
        <v>PM</v>
      </c>
      <c r="L110" t="str">
        <v>August</v>
      </c>
      <c r="M110" t="str">
        <v>SUN</v>
      </c>
      <c r="N110">
        <v>0</v>
      </c>
      <c r="O110">
        <v>0</v>
      </c>
      <c r="P110" s="22">
        <f t="shared" si="1"/>
        <v>0</v>
      </c>
    </row>
    <row r="111" spans="10:16" x14ac:dyDescent="0.35">
      <c r="J111" s="36">
        <v>45145</v>
      </c>
      <c r="K111" t="str">
        <v>AM</v>
      </c>
      <c r="L111" t="str">
        <v>August</v>
      </c>
      <c r="M111" t="str">
        <v>MON</v>
      </c>
      <c r="N111">
        <v>3.75</v>
      </c>
      <c r="O111">
        <v>85.479011999999997</v>
      </c>
      <c r="P111" s="22">
        <f t="shared" si="1"/>
        <v>22.794403199999998</v>
      </c>
    </row>
    <row r="112" spans="10:16" x14ac:dyDescent="0.35">
      <c r="J112" s="36">
        <v>45145</v>
      </c>
      <c r="K112" t="str">
        <v>PM</v>
      </c>
      <c r="L112" t="str">
        <v>August</v>
      </c>
      <c r="M112" t="str">
        <v>MON</v>
      </c>
      <c r="N112">
        <v>4.6166666666666663</v>
      </c>
      <c r="O112">
        <v>201.50010799999998</v>
      </c>
      <c r="P112" s="22">
        <f t="shared" si="1"/>
        <v>43.646232779783396</v>
      </c>
    </row>
    <row r="113" spans="10:16" x14ac:dyDescent="0.35">
      <c r="J113" s="36">
        <v>45146</v>
      </c>
      <c r="K113" t="str">
        <v>AM</v>
      </c>
      <c r="L113" t="str">
        <v>August</v>
      </c>
      <c r="M113" t="str">
        <v>TUE</v>
      </c>
      <c r="N113">
        <v>3.8666666666666667</v>
      </c>
      <c r="O113">
        <v>125.16169600000001</v>
      </c>
      <c r="P113" s="22">
        <f t="shared" si="1"/>
        <v>32.369404137931035</v>
      </c>
    </row>
    <row r="114" spans="10:16" x14ac:dyDescent="0.35">
      <c r="J114" s="36">
        <v>45146</v>
      </c>
      <c r="K114" t="str">
        <v>PM</v>
      </c>
      <c r="L114" t="str">
        <v>August</v>
      </c>
      <c r="M114" t="str">
        <v>TUE</v>
      </c>
      <c r="N114">
        <v>0</v>
      </c>
      <c r="O114">
        <v>0</v>
      </c>
      <c r="P114" s="22">
        <f t="shared" si="1"/>
        <v>0</v>
      </c>
    </row>
    <row r="115" spans="10:16" x14ac:dyDescent="0.35">
      <c r="J115" s="36">
        <v>45147</v>
      </c>
      <c r="K115" t="str">
        <v>AM</v>
      </c>
      <c r="L115" t="str">
        <v>August</v>
      </c>
      <c r="M115" t="str">
        <v>WED</v>
      </c>
      <c r="N115">
        <v>0</v>
      </c>
      <c r="O115">
        <v>0</v>
      </c>
      <c r="P115" s="22">
        <f t="shared" si="1"/>
        <v>0</v>
      </c>
    </row>
    <row r="116" spans="10:16" x14ac:dyDescent="0.35">
      <c r="J116" s="36">
        <v>45147</v>
      </c>
      <c r="K116" t="str">
        <v>PM</v>
      </c>
      <c r="L116" t="str">
        <v>August</v>
      </c>
      <c r="M116" t="str">
        <v>WED</v>
      </c>
      <c r="N116">
        <v>5.9</v>
      </c>
      <c r="O116">
        <v>132.90529599999999</v>
      </c>
      <c r="P116" s="22">
        <f t="shared" si="1"/>
        <v>22.5263213559322</v>
      </c>
    </row>
    <row r="117" spans="10:16" x14ac:dyDescent="0.35">
      <c r="J117" s="36">
        <v>45148</v>
      </c>
      <c r="K117" t="str">
        <v>AM</v>
      </c>
      <c r="L117" t="str">
        <v>August</v>
      </c>
      <c r="M117" t="str">
        <v>THU</v>
      </c>
      <c r="N117">
        <v>0</v>
      </c>
      <c r="O117">
        <v>0</v>
      </c>
      <c r="P117" s="22">
        <f t="shared" si="1"/>
        <v>0</v>
      </c>
    </row>
    <row r="118" spans="10:16" x14ac:dyDescent="0.35">
      <c r="J118" s="36">
        <v>45148</v>
      </c>
      <c r="K118" t="str">
        <v>PM</v>
      </c>
      <c r="L118" t="str">
        <v>August</v>
      </c>
      <c r="M118" t="str">
        <v>THU</v>
      </c>
      <c r="N118">
        <v>0</v>
      </c>
      <c r="O118">
        <v>0</v>
      </c>
      <c r="P118" s="22">
        <f t="shared" si="1"/>
        <v>0</v>
      </c>
    </row>
    <row r="119" spans="10:16" x14ac:dyDescent="0.35">
      <c r="J119" s="36">
        <v>45149</v>
      </c>
      <c r="K119" t="str">
        <v>AM</v>
      </c>
      <c r="L119" t="str">
        <v>August</v>
      </c>
      <c r="M119" t="str">
        <v>FRI</v>
      </c>
      <c r="N119">
        <v>0</v>
      </c>
      <c r="O119">
        <v>0</v>
      </c>
      <c r="P119" s="22">
        <f t="shared" si="1"/>
        <v>0</v>
      </c>
    </row>
    <row r="120" spans="10:16" x14ac:dyDescent="0.35">
      <c r="J120" s="36">
        <v>45149</v>
      </c>
      <c r="K120" t="str">
        <v>PM</v>
      </c>
      <c r="L120" t="str">
        <v>August</v>
      </c>
      <c r="M120" t="str">
        <v>FRI</v>
      </c>
      <c r="N120">
        <v>7.15</v>
      </c>
      <c r="O120">
        <v>185.53326000000001</v>
      </c>
      <c r="P120" s="22">
        <f t="shared" si="1"/>
        <v>25.948707692307693</v>
      </c>
    </row>
    <row r="121" spans="10:16" x14ac:dyDescent="0.35">
      <c r="J121" s="36">
        <v>45150</v>
      </c>
      <c r="K121" t="str">
        <v>AM</v>
      </c>
      <c r="L121" t="str">
        <v>August</v>
      </c>
      <c r="M121" t="str">
        <v>SAT</v>
      </c>
      <c r="N121">
        <v>0</v>
      </c>
      <c r="O121">
        <v>0</v>
      </c>
      <c r="P121" s="22">
        <f t="shared" si="1"/>
        <v>0</v>
      </c>
    </row>
    <row r="122" spans="10:16" x14ac:dyDescent="0.35">
      <c r="J122" s="36">
        <v>45150</v>
      </c>
      <c r="K122" t="str">
        <v>PM</v>
      </c>
      <c r="L122" t="str">
        <v>August</v>
      </c>
      <c r="M122" t="str">
        <v>SAT</v>
      </c>
      <c r="N122">
        <v>7.583333333333333</v>
      </c>
      <c r="O122">
        <v>308.20174799999995</v>
      </c>
      <c r="P122" s="22">
        <f t="shared" si="1"/>
        <v>40.641988747252739</v>
      </c>
    </row>
    <row r="123" spans="10:16" x14ac:dyDescent="0.35">
      <c r="J123" s="36">
        <v>45151</v>
      </c>
      <c r="K123" t="str">
        <v>AM</v>
      </c>
      <c r="L123" t="str">
        <v>August</v>
      </c>
      <c r="M123" t="str">
        <v>SUN</v>
      </c>
      <c r="N123">
        <v>0</v>
      </c>
      <c r="O123">
        <v>0</v>
      </c>
      <c r="P123" s="22">
        <f t="shared" si="1"/>
        <v>0</v>
      </c>
    </row>
    <row r="124" spans="10:16" x14ac:dyDescent="0.35">
      <c r="J124" s="36">
        <v>45151</v>
      </c>
      <c r="K124" t="str">
        <v>PM</v>
      </c>
      <c r="L124" t="str">
        <v>August</v>
      </c>
      <c r="M124" t="str">
        <v>SUN</v>
      </c>
      <c r="N124">
        <v>0</v>
      </c>
      <c r="O124">
        <v>0</v>
      </c>
      <c r="P124" s="22">
        <f t="shared" si="1"/>
        <v>0</v>
      </c>
    </row>
    <row r="125" spans="10:16" x14ac:dyDescent="0.35">
      <c r="J125" s="36">
        <v>45152</v>
      </c>
      <c r="K125" t="str">
        <v>AM</v>
      </c>
      <c r="L125" t="str">
        <v>August</v>
      </c>
      <c r="M125" t="str">
        <v>MON</v>
      </c>
      <c r="N125">
        <v>5.3833333333333337</v>
      </c>
      <c r="O125">
        <v>121.035892</v>
      </c>
      <c r="P125" s="22">
        <f t="shared" si="1"/>
        <v>22.483447430340558</v>
      </c>
    </row>
    <row r="126" spans="10:16" x14ac:dyDescent="0.35">
      <c r="J126" s="36">
        <v>45152</v>
      </c>
      <c r="K126" t="str">
        <v>PM</v>
      </c>
      <c r="L126" t="str">
        <v>August</v>
      </c>
      <c r="M126" t="str">
        <v>MON</v>
      </c>
      <c r="N126">
        <v>0</v>
      </c>
      <c r="O126">
        <v>0</v>
      </c>
      <c r="P126" s="22">
        <f t="shared" si="1"/>
        <v>0</v>
      </c>
    </row>
    <row r="127" spans="10:16" x14ac:dyDescent="0.35">
      <c r="J127" s="36">
        <v>45153</v>
      </c>
      <c r="K127" t="str">
        <v>AM</v>
      </c>
      <c r="L127" t="str">
        <v>August</v>
      </c>
      <c r="M127" t="str">
        <v>TUE</v>
      </c>
      <c r="N127">
        <v>3.3166666666666669</v>
      </c>
      <c r="O127">
        <v>52.001628000000004</v>
      </c>
      <c r="P127" s="22">
        <f t="shared" si="1"/>
        <v>15.678882814070352</v>
      </c>
    </row>
    <row r="128" spans="10:16" x14ac:dyDescent="0.35">
      <c r="J128" s="36">
        <v>45153</v>
      </c>
      <c r="K128" t="str">
        <v>PM</v>
      </c>
      <c r="L128" t="str">
        <v>August</v>
      </c>
      <c r="M128" t="str">
        <v>TUE</v>
      </c>
      <c r="N128">
        <v>4.2833333333333332</v>
      </c>
      <c r="O128">
        <v>100.28976399999999</v>
      </c>
      <c r="P128" s="22">
        <f t="shared" si="1"/>
        <v>23.413952684824903</v>
      </c>
    </row>
    <row r="129" spans="10:16" x14ac:dyDescent="0.35">
      <c r="J129" s="36">
        <v>45154</v>
      </c>
      <c r="K129" t="str">
        <v>AM</v>
      </c>
      <c r="L129" t="str">
        <v>August</v>
      </c>
      <c r="M129" t="str">
        <v>WED</v>
      </c>
      <c r="N129">
        <v>3.7666666666666666</v>
      </c>
      <c r="O129">
        <v>133.81860800000001</v>
      </c>
      <c r="P129" s="22">
        <f t="shared" si="1"/>
        <v>35.527064070796463</v>
      </c>
    </row>
    <row r="130" spans="10:16" x14ac:dyDescent="0.35">
      <c r="J130" s="36">
        <v>45154</v>
      </c>
      <c r="K130" t="str">
        <v>PM</v>
      </c>
      <c r="L130" t="str">
        <v>August</v>
      </c>
      <c r="M130" t="str">
        <v>WED</v>
      </c>
      <c r="N130">
        <v>5.95</v>
      </c>
      <c r="O130">
        <v>292.53746799999999</v>
      </c>
      <c r="P130" s="22">
        <f t="shared" si="1"/>
        <v>49.165961008403357</v>
      </c>
    </row>
    <row r="131" spans="10:16" x14ac:dyDescent="0.35">
      <c r="J131" s="36">
        <v>45155</v>
      </c>
      <c r="K131" t="str">
        <v>AM</v>
      </c>
      <c r="L131" t="str">
        <v>August</v>
      </c>
      <c r="M131" t="str">
        <v>THU</v>
      </c>
      <c r="N131">
        <v>0</v>
      </c>
      <c r="O131">
        <v>0</v>
      </c>
      <c r="P131" s="22">
        <f t="shared" si="1"/>
        <v>0</v>
      </c>
    </row>
    <row r="132" spans="10:16" x14ac:dyDescent="0.35">
      <c r="J132" s="36">
        <v>45155</v>
      </c>
      <c r="K132" t="str">
        <v>PM</v>
      </c>
      <c r="L132" t="str">
        <v>August</v>
      </c>
      <c r="M132" t="str">
        <v>THU</v>
      </c>
      <c r="N132">
        <v>0</v>
      </c>
      <c r="O132">
        <v>0</v>
      </c>
      <c r="P132" s="22">
        <f t="shared" ref="P132:P195" si="2">IFERROR(O132/N132,0)</f>
        <v>0</v>
      </c>
    </row>
    <row r="133" spans="10:16" x14ac:dyDescent="0.35">
      <c r="J133" s="36">
        <v>45156</v>
      </c>
      <c r="K133" t="str">
        <v>AM</v>
      </c>
      <c r="L133" t="str">
        <v>August</v>
      </c>
      <c r="M133" t="str">
        <v>FRI</v>
      </c>
      <c r="N133">
        <v>0</v>
      </c>
      <c r="O133">
        <v>0</v>
      </c>
      <c r="P133" s="22">
        <f t="shared" si="2"/>
        <v>0</v>
      </c>
    </row>
    <row r="134" spans="10:16" x14ac:dyDescent="0.35">
      <c r="J134" s="36">
        <v>45156</v>
      </c>
      <c r="K134" t="str">
        <v>PM</v>
      </c>
      <c r="L134" t="str">
        <v>August</v>
      </c>
      <c r="M134" t="str">
        <v>FRI</v>
      </c>
      <c r="N134">
        <v>5.166666666666667</v>
      </c>
      <c r="O134">
        <v>179.999664</v>
      </c>
      <c r="P134" s="22">
        <f t="shared" si="2"/>
        <v>34.838644645161288</v>
      </c>
    </row>
    <row r="135" spans="10:16" x14ac:dyDescent="0.35">
      <c r="J135" s="36">
        <v>45157</v>
      </c>
      <c r="K135" t="str">
        <v>AM</v>
      </c>
      <c r="L135" t="str">
        <v>August</v>
      </c>
      <c r="M135" t="str">
        <v>SAT</v>
      </c>
      <c r="N135">
        <v>0</v>
      </c>
      <c r="O135">
        <v>0</v>
      </c>
      <c r="P135" s="22">
        <f t="shared" si="2"/>
        <v>0</v>
      </c>
    </row>
    <row r="136" spans="10:16" x14ac:dyDescent="0.35">
      <c r="J136" s="36">
        <v>45157</v>
      </c>
      <c r="K136" t="str">
        <v>PM</v>
      </c>
      <c r="L136" t="str">
        <v>August</v>
      </c>
      <c r="M136" t="str">
        <v>SAT</v>
      </c>
      <c r="N136">
        <v>6.4666666666666668</v>
      </c>
      <c r="O136">
        <v>316.70870400000001</v>
      </c>
      <c r="P136" s="22">
        <f t="shared" si="2"/>
        <v>48.975572783505157</v>
      </c>
    </row>
    <row r="137" spans="10:16" x14ac:dyDescent="0.35">
      <c r="J137" s="36">
        <v>45158</v>
      </c>
      <c r="K137" t="str">
        <v>AM</v>
      </c>
      <c r="L137" t="str">
        <v>August</v>
      </c>
      <c r="M137" t="str">
        <v>SUN</v>
      </c>
      <c r="N137">
        <v>0</v>
      </c>
      <c r="O137">
        <v>0</v>
      </c>
      <c r="P137" s="22">
        <f t="shared" si="2"/>
        <v>0</v>
      </c>
    </row>
    <row r="138" spans="10:16" x14ac:dyDescent="0.35">
      <c r="J138" s="36">
        <v>45158</v>
      </c>
      <c r="K138" t="str">
        <v>PM</v>
      </c>
      <c r="L138" t="str">
        <v>August</v>
      </c>
      <c r="M138" t="str">
        <v>SUN</v>
      </c>
      <c r="N138">
        <v>0</v>
      </c>
      <c r="O138">
        <v>0</v>
      </c>
      <c r="P138" s="22">
        <f t="shared" si="2"/>
        <v>0</v>
      </c>
    </row>
    <row r="139" spans="10:16" x14ac:dyDescent="0.35">
      <c r="J139" s="36">
        <v>45159</v>
      </c>
      <c r="K139" t="str">
        <v>AM</v>
      </c>
      <c r="L139" t="str">
        <v>August</v>
      </c>
      <c r="M139" t="str">
        <v>MON</v>
      </c>
      <c r="N139">
        <v>4.7833333333333332</v>
      </c>
      <c r="O139">
        <v>148.91608400000001</v>
      </c>
      <c r="P139" s="22">
        <f t="shared" si="2"/>
        <v>31.132282369337982</v>
      </c>
    </row>
    <row r="140" spans="10:16" x14ac:dyDescent="0.35">
      <c r="J140" s="36">
        <v>45159</v>
      </c>
      <c r="K140" t="str">
        <v>PM</v>
      </c>
      <c r="L140" t="str">
        <v>August</v>
      </c>
      <c r="M140" t="str">
        <v>MON</v>
      </c>
      <c r="N140">
        <v>0</v>
      </c>
      <c r="O140">
        <v>0</v>
      </c>
      <c r="P140" s="22">
        <f t="shared" si="2"/>
        <v>0</v>
      </c>
    </row>
    <row r="141" spans="10:16" x14ac:dyDescent="0.35">
      <c r="J141" s="36">
        <v>45160</v>
      </c>
      <c r="K141" t="str">
        <v>AM</v>
      </c>
      <c r="L141" t="str">
        <v>August</v>
      </c>
      <c r="M141" t="str">
        <v>TUE</v>
      </c>
      <c r="N141">
        <v>5.5666666666666664</v>
      </c>
      <c r="O141">
        <v>169.04360800000001</v>
      </c>
      <c r="P141" s="22">
        <f t="shared" si="2"/>
        <v>30.367115209580842</v>
      </c>
    </row>
    <row r="142" spans="10:16" x14ac:dyDescent="0.35">
      <c r="J142" s="36">
        <v>45160</v>
      </c>
      <c r="K142" t="str">
        <v>PM</v>
      </c>
      <c r="L142" t="str">
        <v>August</v>
      </c>
      <c r="M142" t="str">
        <v>TUE</v>
      </c>
      <c r="N142">
        <v>3.95</v>
      </c>
      <c r="O142">
        <v>65.265259999999998</v>
      </c>
      <c r="P142" s="22">
        <f t="shared" si="2"/>
        <v>16.522850632911393</v>
      </c>
    </row>
    <row r="143" spans="10:16" x14ac:dyDescent="0.35">
      <c r="J143" s="36">
        <v>45161</v>
      </c>
      <c r="K143" t="str">
        <v>AM</v>
      </c>
      <c r="L143" t="str">
        <v>August</v>
      </c>
      <c r="M143" t="str">
        <v>WED</v>
      </c>
      <c r="N143">
        <v>3.45</v>
      </c>
      <c r="O143">
        <v>82.299660000000003</v>
      </c>
      <c r="P143" s="22">
        <f t="shared" si="2"/>
        <v>23.854973913043477</v>
      </c>
    </row>
    <row r="144" spans="10:16" x14ac:dyDescent="0.35">
      <c r="J144" s="36">
        <v>45161</v>
      </c>
      <c r="K144" t="str">
        <v>PM</v>
      </c>
      <c r="L144" t="str">
        <v>August</v>
      </c>
      <c r="M144" t="str">
        <v>WED</v>
      </c>
      <c r="N144">
        <v>3.55</v>
      </c>
      <c r="O144">
        <v>151.97421999999997</v>
      </c>
      <c r="P144" s="22">
        <f t="shared" si="2"/>
        <v>42.809639436619712</v>
      </c>
    </row>
    <row r="145" spans="10:16" x14ac:dyDescent="0.35">
      <c r="J145" s="36">
        <v>45162</v>
      </c>
      <c r="K145" t="str">
        <v>AM</v>
      </c>
      <c r="L145" t="str">
        <v>August</v>
      </c>
      <c r="M145" t="str">
        <v>THU</v>
      </c>
      <c r="N145">
        <v>0</v>
      </c>
      <c r="O145">
        <v>0</v>
      </c>
      <c r="P145" s="22">
        <f t="shared" si="2"/>
        <v>0</v>
      </c>
    </row>
    <row r="146" spans="10:16" x14ac:dyDescent="0.35">
      <c r="J146" s="36">
        <v>45162</v>
      </c>
      <c r="K146" t="str">
        <v>PM</v>
      </c>
      <c r="L146" t="str">
        <v>August</v>
      </c>
      <c r="M146" t="str">
        <v>THU</v>
      </c>
      <c r="N146">
        <v>0</v>
      </c>
      <c r="O146">
        <v>0</v>
      </c>
      <c r="P146" s="22">
        <f t="shared" si="2"/>
        <v>0</v>
      </c>
    </row>
    <row r="147" spans="10:16" x14ac:dyDescent="0.35">
      <c r="J147" s="36">
        <v>45163</v>
      </c>
      <c r="K147" t="str">
        <v>AM</v>
      </c>
      <c r="L147" t="str">
        <v>August</v>
      </c>
      <c r="M147" t="str">
        <v>FRI</v>
      </c>
      <c r="N147">
        <v>0</v>
      </c>
      <c r="O147">
        <v>0</v>
      </c>
      <c r="P147" s="22">
        <f t="shared" si="2"/>
        <v>0</v>
      </c>
    </row>
    <row r="148" spans="10:16" x14ac:dyDescent="0.35">
      <c r="J148" s="36">
        <v>45163</v>
      </c>
      <c r="K148" t="str">
        <v>PM</v>
      </c>
      <c r="L148" t="str">
        <v>August</v>
      </c>
      <c r="M148" t="str">
        <v>FRI</v>
      </c>
      <c r="N148">
        <v>5.166666666666667</v>
      </c>
      <c r="O148">
        <v>225.458944</v>
      </c>
      <c r="P148" s="22">
        <f t="shared" si="2"/>
        <v>43.637214967741933</v>
      </c>
    </row>
    <row r="149" spans="10:16" x14ac:dyDescent="0.35">
      <c r="J149" s="36">
        <v>45164</v>
      </c>
      <c r="K149" t="str">
        <v>AM</v>
      </c>
      <c r="L149" t="str">
        <v>August</v>
      </c>
      <c r="M149" t="str">
        <v>SAT</v>
      </c>
      <c r="N149">
        <v>4.583333333333333</v>
      </c>
      <c r="O149">
        <v>90.991011999999998</v>
      </c>
      <c r="P149" s="22">
        <f t="shared" si="2"/>
        <v>19.852584436363639</v>
      </c>
    </row>
    <row r="150" spans="10:16" x14ac:dyDescent="0.35">
      <c r="J150" s="36">
        <v>45164</v>
      </c>
      <c r="K150" t="str">
        <v>PM</v>
      </c>
      <c r="L150" t="str">
        <v>August</v>
      </c>
      <c r="M150" t="str">
        <v>SAT</v>
      </c>
      <c r="N150">
        <v>4.9833333333333334</v>
      </c>
      <c r="O150">
        <v>232.13966000000002</v>
      </c>
      <c r="P150" s="22">
        <f t="shared" si="2"/>
        <v>46.583209364548502</v>
      </c>
    </row>
    <row r="151" spans="10:16" x14ac:dyDescent="0.35">
      <c r="J151" s="36">
        <v>45165</v>
      </c>
      <c r="K151" t="str">
        <v>AM</v>
      </c>
      <c r="L151" t="str">
        <v>August</v>
      </c>
      <c r="M151" t="str">
        <v>SUN</v>
      </c>
      <c r="N151">
        <v>4.0583333333333336</v>
      </c>
      <c r="O151">
        <v>167.970966</v>
      </c>
      <c r="P151" s="22">
        <f t="shared" si="2"/>
        <v>41.389149733059547</v>
      </c>
    </row>
    <row r="152" spans="10:16" x14ac:dyDescent="0.35">
      <c r="J152" s="36">
        <v>45165</v>
      </c>
      <c r="K152" t="str">
        <v>PM</v>
      </c>
      <c r="L152" t="str">
        <v>August</v>
      </c>
      <c r="M152" t="str">
        <v>SUN</v>
      </c>
      <c r="N152">
        <v>4.05</v>
      </c>
      <c r="O152">
        <v>156.953216</v>
      </c>
      <c r="P152" s="22">
        <f t="shared" si="2"/>
        <v>38.753880493827161</v>
      </c>
    </row>
    <row r="153" spans="10:16" x14ac:dyDescent="0.35">
      <c r="J153" s="36">
        <v>45166</v>
      </c>
      <c r="K153" t="str">
        <v>AM</v>
      </c>
      <c r="L153" t="str">
        <v>August</v>
      </c>
      <c r="M153" t="str">
        <v>MON</v>
      </c>
      <c r="N153">
        <v>2.9833333333333334</v>
      </c>
      <c r="O153">
        <v>52.754260000000002</v>
      </c>
      <c r="P153" s="22">
        <f t="shared" si="2"/>
        <v>17.682992178770949</v>
      </c>
    </row>
    <row r="154" spans="10:16" x14ac:dyDescent="0.35">
      <c r="J154" s="36">
        <v>45166</v>
      </c>
      <c r="K154" t="str">
        <v>PM</v>
      </c>
      <c r="L154" t="str">
        <v>August</v>
      </c>
      <c r="M154" t="str">
        <v>MON</v>
      </c>
      <c r="N154">
        <v>2.5</v>
      </c>
      <c r="O154">
        <v>25.844839999999998</v>
      </c>
      <c r="P154" s="22">
        <f t="shared" si="2"/>
        <v>10.337935999999999</v>
      </c>
    </row>
    <row r="155" spans="10:16" x14ac:dyDescent="0.35">
      <c r="J155" s="36">
        <v>45167</v>
      </c>
      <c r="K155" t="str">
        <v>AM</v>
      </c>
      <c r="L155" t="str">
        <v>August</v>
      </c>
      <c r="M155" t="str">
        <v>TUE</v>
      </c>
      <c r="N155">
        <v>0</v>
      </c>
      <c r="O155">
        <v>0</v>
      </c>
      <c r="P155" s="22">
        <f t="shared" si="2"/>
        <v>0</v>
      </c>
    </row>
    <row r="156" spans="10:16" x14ac:dyDescent="0.35">
      <c r="J156" s="36">
        <v>45167</v>
      </c>
      <c r="K156" t="str">
        <v>PM</v>
      </c>
      <c r="L156" t="str">
        <v>August</v>
      </c>
      <c r="M156" t="str">
        <v>TUE</v>
      </c>
      <c r="N156">
        <v>0</v>
      </c>
      <c r="O156">
        <v>0</v>
      </c>
      <c r="P156" s="22">
        <f t="shared" si="2"/>
        <v>0</v>
      </c>
    </row>
    <row r="157" spans="10:16" x14ac:dyDescent="0.35">
      <c r="J157" s="36">
        <v>45168</v>
      </c>
      <c r="K157" t="str">
        <v>AM</v>
      </c>
      <c r="L157" t="str">
        <v>August</v>
      </c>
      <c r="M157" t="str">
        <v>WED</v>
      </c>
      <c r="N157">
        <v>3.55</v>
      </c>
      <c r="O157">
        <v>114.16381999999999</v>
      </c>
      <c r="P157" s="22">
        <f t="shared" si="2"/>
        <v>32.158822535211264</v>
      </c>
    </row>
    <row r="158" spans="10:16" x14ac:dyDescent="0.35">
      <c r="J158" s="36">
        <v>45168</v>
      </c>
      <c r="K158" t="str">
        <v>PM</v>
      </c>
      <c r="L158" t="str">
        <v>August</v>
      </c>
      <c r="M158" t="str">
        <v>WED</v>
      </c>
      <c r="N158">
        <v>4.45</v>
      </c>
      <c r="O158">
        <v>126.29014799999999</v>
      </c>
      <c r="P158" s="22">
        <f t="shared" si="2"/>
        <v>28.37980853932584</v>
      </c>
    </row>
    <row r="159" spans="10:16" x14ac:dyDescent="0.35">
      <c r="J159" s="36">
        <v>45169</v>
      </c>
      <c r="K159" t="str">
        <v>AM</v>
      </c>
      <c r="L159" t="str">
        <v>August</v>
      </c>
      <c r="M159" t="str">
        <v>THU</v>
      </c>
      <c r="N159">
        <v>0</v>
      </c>
      <c r="O159">
        <v>0</v>
      </c>
      <c r="P159" s="22">
        <f t="shared" si="2"/>
        <v>0</v>
      </c>
    </row>
    <row r="160" spans="10:16" x14ac:dyDescent="0.35">
      <c r="J160" s="36">
        <v>45169</v>
      </c>
      <c r="K160" t="str">
        <v>PM</v>
      </c>
      <c r="L160" t="str">
        <v>August</v>
      </c>
      <c r="M160" t="str">
        <v>THU</v>
      </c>
      <c r="N160">
        <v>0</v>
      </c>
      <c r="O160">
        <v>0</v>
      </c>
      <c r="P160" s="22">
        <f t="shared" si="2"/>
        <v>0</v>
      </c>
    </row>
    <row r="161" spans="10:16" x14ac:dyDescent="0.35">
      <c r="J161" s="36">
        <v>45170</v>
      </c>
      <c r="K161" t="str">
        <v>AM</v>
      </c>
      <c r="L161" t="str">
        <v>September</v>
      </c>
      <c r="M161" t="str">
        <v>FRI</v>
      </c>
      <c r="N161">
        <v>0</v>
      </c>
      <c r="O161">
        <v>0</v>
      </c>
      <c r="P161" s="22">
        <f t="shared" si="2"/>
        <v>0</v>
      </c>
    </row>
    <row r="162" spans="10:16" x14ac:dyDescent="0.35">
      <c r="J162" s="36">
        <v>45170</v>
      </c>
      <c r="K162" t="str">
        <v>PM</v>
      </c>
      <c r="L162" t="str">
        <v>September</v>
      </c>
      <c r="M162" t="str">
        <v>FRI</v>
      </c>
      <c r="N162">
        <v>0</v>
      </c>
      <c r="O162">
        <v>0</v>
      </c>
      <c r="P162" s="22">
        <f t="shared" si="2"/>
        <v>0</v>
      </c>
    </row>
    <row r="163" spans="10:16" x14ac:dyDescent="0.35">
      <c r="J163" s="36">
        <v>45171</v>
      </c>
      <c r="K163" t="str">
        <v>AM</v>
      </c>
      <c r="L163" t="str">
        <v>September</v>
      </c>
      <c r="M163" t="str">
        <v>SAT</v>
      </c>
      <c r="N163">
        <v>0</v>
      </c>
      <c r="O163">
        <v>0</v>
      </c>
      <c r="P163" s="22">
        <f t="shared" si="2"/>
        <v>0</v>
      </c>
    </row>
    <row r="164" spans="10:16" x14ac:dyDescent="0.35">
      <c r="J164" s="36">
        <v>45171</v>
      </c>
      <c r="K164" t="str">
        <v>PM</v>
      </c>
      <c r="L164" t="str">
        <v>September</v>
      </c>
      <c r="M164" t="str">
        <v>SAT</v>
      </c>
      <c r="N164">
        <v>7.4</v>
      </c>
      <c r="O164">
        <v>318.34183999999999</v>
      </c>
      <c r="P164" s="22">
        <f t="shared" si="2"/>
        <v>43.019167567567564</v>
      </c>
    </row>
    <row r="165" spans="10:16" x14ac:dyDescent="0.35">
      <c r="J165" s="36">
        <v>45172</v>
      </c>
      <c r="K165" t="str">
        <v>AM</v>
      </c>
      <c r="L165" t="str">
        <v>September</v>
      </c>
      <c r="M165" t="str">
        <v>SUN</v>
      </c>
      <c r="N165">
        <v>0</v>
      </c>
      <c r="O165">
        <v>0</v>
      </c>
      <c r="P165" s="22">
        <f t="shared" si="2"/>
        <v>0</v>
      </c>
    </row>
    <row r="166" spans="10:16" x14ac:dyDescent="0.35">
      <c r="J166" s="36">
        <v>45172</v>
      </c>
      <c r="K166" t="str">
        <v>PM</v>
      </c>
      <c r="L166" t="str">
        <v>September</v>
      </c>
      <c r="M166" t="str">
        <v>SUN</v>
      </c>
      <c r="N166">
        <v>5.25</v>
      </c>
      <c r="O166">
        <v>192.6677</v>
      </c>
      <c r="P166" s="22">
        <f t="shared" si="2"/>
        <v>36.698609523809523</v>
      </c>
    </row>
    <row r="167" spans="10:16" x14ac:dyDescent="0.35">
      <c r="J167" s="36">
        <v>45173</v>
      </c>
      <c r="K167" t="str">
        <v>AM</v>
      </c>
      <c r="L167" t="str">
        <v>September</v>
      </c>
      <c r="M167" t="str">
        <v>MON</v>
      </c>
      <c r="N167">
        <v>0</v>
      </c>
      <c r="O167">
        <v>0</v>
      </c>
      <c r="P167" s="22">
        <f t="shared" si="2"/>
        <v>0</v>
      </c>
    </row>
    <row r="168" spans="10:16" x14ac:dyDescent="0.35">
      <c r="J168" s="36">
        <v>45173</v>
      </c>
      <c r="K168" t="str">
        <v>PM</v>
      </c>
      <c r="L168" t="str">
        <v>September</v>
      </c>
      <c r="M168" t="str">
        <v>MON</v>
      </c>
      <c r="N168">
        <v>5.9333333333333336</v>
      </c>
      <c r="O168">
        <v>195.94261600000002</v>
      </c>
      <c r="P168" s="22">
        <f t="shared" si="2"/>
        <v>33.024036404494382</v>
      </c>
    </row>
    <row r="169" spans="10:16" x14ac:dyDescent="0.35">
      <c r="J169" s="36">
        <v>45174</v>
      </c>
      <c r="K169" t="str">
        <v>AM</v>
      </c>
      <c r="L169" t="str">
        <v>September</v>
      </c>
      <c r="M169" t="str">
        <v>TUE</v>
      </c>
      <c r="N169">
        <v>0</v>
      </c>
      <c r="O169">
        <v>0</v>
      </c>
      <c r="P169" s="22">
        <f t="shared" si="2"/>
        <v>0</v>
      </c>
    </row>
    <row r="170" spans="10:16" x14ac:dyDescent="0.35">
      <c r="J170" s="36">
        <v>45174</v>
      </c>
      <c r="K170" t="str">
        <v>PM</v>
      </c>
      <c r="L170" t="str">
        <v>September</v>
      </c>
      <c r="M170" t="str">
        <v>TUE</v>
      </c>
      <c r="N170">
        <v>6.1</v>
      </c>
      <c r="O170">
        <v>149.30824799999999</v>
      </c>
      <c r="P170" s="22">
        <f t="shared" si="2"/>
        <v>24.476761967213115</v>
      </c>
    </row>
    <row r="171" spans="10:16" x14ac:dyDescent="0.35">
      <c r="J171" s="36">
        <v>45175</v>
      </c>
      <c r="K171" t="str">
        <v>AM</v>
      </c>
      <c r="L171" t="str">
        <v>September</v>
      </c>
      <c r="M171" t="str">
        <v>WED</v>
      </c>
      <c r="N171">
        <v>2.6666666666666665</v>
      </c>
      <c r="O171">
        <v>42.626280000000001</v>
      </c>
      <c r="P171" s="22">
        <f t="shared" si="2"/>
        <v>15.984855000000001</v>
      </c>
    </row>
    <row r="172" spans="10:16" x14ac:dyDescent="0.35">
      <c r="J172" s="36">
        <v>45175</v>
      </c>
      <c r="K172" t="str">
        <v>PM</v>
      </c>
      <c r="L172" t="str">
        <v>September</v>
      </c>
      <c r="M172" t="str">
        <v>WED</v>
      </c>
      <c r="N172">
        <v>0</v>
      </c>
      <c r="O172">
        <v>0</v>
      </c>
      <c r="P172" s="22">
        <f t="shared" si="2"/>
        <v>0</v>
      </c>
    </row>
    <row r="173" spans="10:16" x14ac:dyDescent="0.35">
      <c r="J173" s="36">
        <v>45176</v>
      </c>
      <c r="K173" t="str">
        <v>AM</v>
      </c>
      <c r="L173" t="str">
        <v>September</v>
      </c>
      <c r="M173" t="str">
        <v>THU</v>
      </c>
      <c r="N173">
        <v>0</v>
      </c>
      <c r="O173">
        <v>0</v>
      </c>
      <c r="P173" s="22">
        <f t="shared" si="2"/>
        <v>0</v>
      </c>
    </row>
    <row r="174" spans="10:16" x14ac:dyDescent="0.35">
      <c r="J174" s="36">
        <v>45176</v>
      </c>
      <c r="K174" t="str">
        <v>PM</v>
      </c>
      <c r="L174" t="str">
        <v>September</v>
      </c>
      <c r="M174" t="str">
        <v>THU</v>
      </c>
      <c r="N174">
        <v>0</v>
      </c>
      <c r="O174">
        <v>0</v>
      </c>
      <c r="P174" s="22">
        <f t="shared" si="2"/>
        <v>0</v>
      </c>
    </row>
    <row r="175" spans="10:16" x14ac:dyDescent="0.35">
      <c r="J175" s="36">
        <v>45177</v>
      </c>
      <c r="K175" t="str">
        <v>AM</v>
      </c>
      <c r="L175" t="str">
        <v>September</v>
      </c>
      <c r="M175" t="str">
        <v>FRI</v>
      </c>
      <c r="N175">
        <v>0</v>
      </c>
      <c r="O175">
        <v>0</v>
      </c>
      <c r="P175" s="22">
        <f t="shared" si="2"/>
        <v>0</v>
      </c>
    </row>
    <row r="176" spans="10:16" x14ac:dyDescent="0.35">
      <c r="J176" s="36">
        <v>45177</v>
      </c>
      <c r="K176" t="str">
        <v>PM</v>
      </c>
      <c r="L176" t="str">
        <v>September</v>
      </c>
      <c r="M176" t="str">
        <v>FRI</v>
      </c>
      <c r="N176">
        <v>5.6833333333333336</v>
      </c>
      <c r="O176">
        <v>220.24354</v>
      </c>
      <c r="P176" s="22">
        <f t="shared" si="2"/>
        <v>38.75252903225806</v>
      </c>
    </row>
    <row r="177" spans="10:16" x14ac:dyDescent="0.35">
      <c r="J177" s="36">
        <v>45178</v>
      </c>
      <c r="K177" t="str">
        <v>AM</v>
      </c>
      <c r="L177" t="str">
        <v>September</v>
      </c>
      <c r="M177" t="str">
        <v>SAT</v>
      </c>
      <c r="N177">
        <v>4.6500000000000004</v>
      </c>
      <c r="O177">
        <v>106.108092</v>
      </c>
      <c r="P177" s="22">
        <f t="shared" si="2"/>
        <v>22.818944516129029</v>
      </c>
    </row>
    <row r="178" spans="10:16" x14ac:dyDescent="0.35">
      <c r="J178" s="36">
        <v>45178</v>
      </c>
      <c r="K178" t="str">
        <v>PM</v>
      </c>
      <c r="L178" t="str">
        <v>September</v>
      </c>
      <c r="M178" t="str">
        <v>SAT</v>
      </c>
      <c r="N178">
        <v>0</v>
      </c>
      <c r="O178">
        <v>0</v>
      </c>
      <c r="P178" s="22">
        <f t="shared" si="2"/>
        <v>0</v>
      </c>
    </row>
    <row r="179" spans="10:16" x14ac:dyDescent="0.35">
      <c r="J179" s="36">
        <v>45179</v>
      </c>
      <c r="K179" t="str">
        <v>AM</v>
      </c>
      <c r="L179" t="str">
        <v>September</v>
      </c>
      <c r="M179" t="str">
        <v>SUN</v>
      </c>
      <c r="N179">
        <v>4.166666666666667</v>
      </c>
      <c r="O179">
        <v>123.7079</v>
      </c>
      <c r="P179" s="22">
        <f t="shared" si="2"/>
        <v>29.689895999999997</v>
      </c>
    </row>
    <row r="180" spans="10:16" x14ac:dyDescent="0.35">
      <c r="J180" s="36">
        <v>45179</v>
      </c>
      <c r="K180" t="str">
        <v>PM</v>
      </c>
      <c r="L180" t="str">
        <v>September</v>
      </c>
      <c r="M180" t="str">
        <v>SUN</v>
      </c>
      <c r="N180">
        <v>4.166666666666667</v>
      </c>
      <c r="O180">
        <v>123.7079</v>
      </c>
      <c r="P180" s="22">
        <f t="shared" si="2"/>
        <v>29.689895999999997</v>
      </c>
    </row>
    <row r="181" spans="10:16" x14ac:dyDescent="0.35">
      <c r="J181" s="36">
        <v>45180</v>
      </c>
      <c r="K181" t="str">
        <v>AM</v>
      </c>
      <c r="L181" t="str">
        <v>September</v>
      </c>
      <c r="M181" t="str">
        <v>MON</v>
      </c>
      <c r="N181">
        <v>3.35</v>
      </c>
      <c r="O181">
        <v>68.743099999999998</v>
      </c>
      <c r="P181" s="22">
        <f t="shared" si="2"/>
        <v>20.520328358208953</v>
      </c>
    </row>
    <row r="182" spans="10:16" x14ac:dyDescent="0.35">
      <c r="J182" s="36">
        <v>45180</v>
      </c>
      <c r="K182" t="str">
        <v>PM</v>
      </c>
      <c r="L182" t="str">
        <v>September</v>
      </c>
      <c r="M182" t="str">
        <v>MON</v>
      </c>
      <c r="N182">
        <v>3.6666666666666665</v>
      </c>
      <c r="O182">
        <v>76.038240000000002</v>
      </c>
      <c r="P182" s="22">
        <f t="shared" si="2"/>
        <v>20.737701818181819</v>
      </c>
    </row>
    <row r="183" spans="10:16" x14ac:dyDescent="0.35">
      <c r="J183" s="36">
        <v>45181</v>
      </c>
      <c r="K183" t="str">
        <v>AM</v>
      </c>
      <c r="L183" t="str">
        <v>September</v>
      </c>
      <c r="M183" t="str">
        <v>TUE</v>
      </c>
      <c r="N183">
        <v>0</v>
      </c>
      <c r="O183">
        <v>0</v>
      </c>
      <c r="P183" s="22">
        <f t="shared" si="2"/>
        <v>0</v>
      </c>
    </row>
    <row r="184" spans="10:16" x14ac:dyDescent="0.35">
      <c r="J184" s="36">
        <v>45181</v>
      </c>
      <c r="K184" t="str">
        <v>PM</v>
      </c>
      <c r="L184" t="str">
        <v>September</v>
      </c>
      <c r="M184" t="str">
        <v>TUE</v>
      </c>
      <c r="N184">
        <v>0</v>
      </c>
      <c r="O184">
        <v>0</v>
      </c>
      <c r="P184" s="22">
        <f t="shared" si="2"/>
        <v>0</v>
      </c>
    </row>
    <row r="185" spans="10:16" x14ac:dyDescent="0.35">
      <c r="J185" s="36">
        <v>45182</v>
      </c>
      <c r="K185" t="str">
        <v>AM</v>
      </c>
      <c r="L185" t="str">
        <v>September</v>
      </c>
      <c r="M185" t="str">
        <v>WED</v>
      </c>
      <c r="N185">
        <v>4.4333333333333336</v>
      </c>
      <c r="O185">
        <v>108.471272</v>
      </c>
      <c r="P185" s="22">
        <f t="shared" si="2"/>
        <v>24.467204210526315</v>
      </c>
    </row>
    <row r="186" spans="10:16" x14ac:dyDescent="0.35">
      <c r="J186" s="36">
        <v>45182</v>
      </c>
      <c r="K186" t="str">
        <v>PM</v>
      </c>
      <c r="L186" t="str">
        <v>September</v>
      </c>
      <c r="M186" t="str">
        <v>WED</v>
      </c>
      <c r="N186">
        <v>0</v>
      </c>
      <c r="O186">
        <v>0</v>
      </c>
      <c r="P186" s="22">
        <f t="shared" si="2"/>
        <v>0</v>
      </c>
    </row>
    <row r="187" spans="10:16" x14ac:dyDescent="0.35">
      <c r="J187" s="36">
        <v>45183</v>
      </c>
      <c r="K187" t="str">
        <v>AM</v>
      </c>
      <c r="L187" t="str">
        <v>September</v>
      </c>
      <c r="M187" t="str">
        <v>THU</v>
      </c>
      <c r="N187">
        <v>0</v>
      </c>
      <c r="O187">
        <v>0</v>
      </c>
      <c r="P187" s="22">
        <f t="shared" si="2"/>
        <v>0</v>
      </c>
    </row>
    <row r="188" spans="10:16" x14ac:dyDescent="0.35">
      <c r="J188" s="36">
        <v>45183</v>
      </c>
      <c r="K188" t="str">
        <v>PM</v>
      </c>
      <c r="L188" t="str">
        <v>September</v>
      </c>
      <c r="M188" t="str">
        <v>THU</v>
      </c>
      <c r="N188">
        <v>0</v>
      </c>
      <c r="O188">
        <v>0</v>
      </c>
      <c r="P188" s="22">
        <f t="shared" si="2"/>
        <v>0</v>
      </c>
    </row>
    <row r="189" spans="10:16" x14ac:dyDescent="0.35">
      <c r="J189" s="36">
        <v>45184</v>
      </c>
      <c r="K189" t="str">
        <v>AM</v>
      </c>
      <c r="L189" t="str">
        <v>September</v>
      </c>
      <c r="M189" t="str">
        <v>FRI</v>
      </c>
      <c r="N189">
        <v>3.6333333333333333</v>
      </c>
      <c r="O189">
        <v>109.82080000000001</v>
      </c>
      <c r="P189" s="22">
        <f t="shared" si="2"/>
        <v>30.225908256880736</v>
      </c>
    </row>
    <row r="190" spans="10:16" x14ac:dyDescent="0.35">
      <c r="J190" s="36">
        <v>45184</v>
      </c>
      <c r="K190" t="str">
        <v>PM</v>
      </c>
      <c r="L190" t="str">
        <v>September</v>
      </c>
      <c r="M190" t="str">
        <v>FRI</v>
      </c>
      <c r="N190">
        <v>4.4833333333333334</v>
      </c>
      <c r="O190">
        <v>129.09727599999999</v>
      </c>
      <c r="P190" s="22">
        <f t="shared" si="2"/>
        <v>28.794931449814126</v>
      </c>
    </row>
    <row r="191" spans="10:16" x14ac:dyDescent="0.35">
      <c r="J191" s="36">
        <v>45185</v>
      </c>
      <c r="K191" t="str">
        <v>AM</v>
      </c>
      <c r="L191" t="str">
        <v>September</v>
      </c>
      <c r="M191" t="str">
        <v>SAT</v>
      </c>
      <c r="N191">
        <v>5.666666666666667</v>
      </c>
      <c r="O191">
        <v>201.58923199999998</v>
      </c>
      <c r="P191" s="22">
        <f t="shared" si="2"/>
        <v>35.574570352941173</v>
      </c>
    </row>
    <row r="192" spans="10:16" x14ac:dyDescent="0.35">
      <c r="J192" s="36">
        <v>45185</v>
      </c>
      <c r="K192" t="str">
        <v>PM</v>
      </c>
      <c r="L192" t="str">
        <v>September</v>
      </c>
      <c r="M192" t="str">
        <v>SAT</v>
      </c>
      <c r="N192">
        <v>0</v>
      </c>
      <c r="O192">
        <v>0</v>
      </c>
      <c r="P192" s="22">
        <f t="shared" si="2"/>
        <v>0</v>
      </c>
    </row>
    <row r="193" spans="10:16" x14ac:dyDescent="0.35">
      <c r="J193" s="36">
        <v>45186</v>
      </c>
      <c r="K193" t="str">
        <v>AM</v>
      </c>
      <c r="L193" t="str">
        <v>September</v>
      </c>
      <c r="M193" t="str">
        <v>SUN</v>
      </c>
      <c r="N193">
        <v>4.0666666666666664</v>
      </c>
      <c r="O193">
        <v>161.95194000000001</v>
      </c>
      <c r="P193" s="22">
        <f t="shared" si="2"/>
        <v>39.824247540983613</v>
      </c>
    </row>
    <row r="194" spans="10:16" x14ac:dyDescent="0.35">
      <c r="J194" s="36">
        <v>45186</v>
      </c>
      <c r="K194" t="str">
        <v>PM</v>
      </c>
      <c r="L194" t="str">
        <v>September</v>
      </c>
      <c r="M194" t="str">
        <v>SUN</v>
      </c>
      <c r="N194">
        <v>3</v>
      </c>
      <c r="O194">
        <v>159.67993999999999</v>
      </c>
      <c r="P194" s="22">
        <f t="shared" si="2"/>
        <v>53.22664666666666</v>
      </c>
    </row>
    <row r="195" spans="10:16" x14ac:dyDescent="0.35">
      <c r="J195" s="36">
        <v>45187</v>
      </c>
      <c r="K195" t="str">
        <v>AM</v>
      </c>
      <c r="L195" t="str">
        <v>September</v>
      </c>
      <c r="M195" t="str">
        <v>MON</v>
      </c>
      <c r="N195">
        <v>3.7333333333333334</v>
      </c>
      <c r="O195">
        <v>58.22184</v>
      </c>
      <c r="P195" s="22">
        <f t="shared" si="2"/>
        <v>15.595135714285714</v>
      </c>
    </row>
    <row r="196" spans="10:16" x14ac:dyDescent="0.35">
      <c r="J196" s="36">
        <v>45187</v>
      </c>
      <c r="K196" t="str">
        <v>PM</v>
      </c>
      <c r="L196" t="str">
        <v>September</v>
      </c>
      <c r="M196" t="str">
        <v>MON</v>
      </c>
      <c r="N196">
        <v>4.0999999999999996</v>
      </c>
      <c r="O196">
        <v>85.087944000000007</v>
      </c>
      <c r="P196" s="22">
        <f t="shared" ref="P196:P259" si="3">IFERROR(O196/N196,0)</f>
        <v>20.753157073170737</v>
      </c>
    </row>
    <row r="197" spans="10:16" x14ac:dyDescent="0.35">
      <c r="J197" s="36">
        <v>45188</v>
      </c>
      <c r="K197" t="str">
        <v>AM</v>
      </c>
      <c r="L197" t="str">
        <v>September</v>
      </c>
      <c r="M197" t="str">
        <v>TUE</v>
      </c>
      <c r="N197">
        <v>0</v>
      </c>
      <c r="O197">
        <v>0</v>
      </c>
      <c r="P197" s="22">
        <f t="shared" si="3"/>
        <v>0</v>
      </c>
    </row>
    <row r="198" spans="10:16" x14ac:dyDescent="0.35">
      <c r="J198" s="36">
        <v>45188</v>
      </c>
      <c r="K198" t="str">
        <v>PM</v>
      </c>
      <c r="L198" t="str">
        <v>September</v>
      </c>
      <c r="M198" t="str">
        <v>TUE</v>
      </c>
      <c r="N198">
        <v>0</v>
      </c>
      <c r="O198">
        <v>0</v>
      </c>
      <c r="P198" s="22">
        <f t="shared" si="3"/>
        <v>0</v>
      </c>
    </row>
    <row r="199" spans="10:16" x14ac:dyDescent="0.35">
      <c r="J199" s="36">
        <v>45189</v>
      </c>
      <c r="K199" t="str">
        <v>AM</v>
      </c>
      <c r="L199" t="str">
        <v>September</v>
      </c>
      <c r="M199" t="str">
        <v>WED</v>
      </c>
      <c r="N199">
        <v>0</v>
      </c>
      <c r="O199">
        <v>0</v>
      </c>
      <c r="P199" s="22">
        <f t="shared" si="3"/>
        <v>0</v>
      </c>
    </row>
    <row r="200" spans="10:16" x14ac:dyDescent="0.35">
      <c r="J200" s="36">
        <v>45189</v>
      </c>
      <c r="K200" t="str">
        <v>PM</v>
      </c>
      <c r="L200" t="str">
        <v>September</v>
      </c>
      <c r="M200" t="str">
        <v>WED</v>
      </c>
      <c r="N200">
        <v>0</v>
      </c>
      <c r="O200">
        <v>0</v>
      </c>
      <c r="P200" s="22">
        <f t="shared" si="3"/>
        <v>0</v>
      </c>
    </row>
    <row r="201" spans="10:16" x14ac:dyDescent="0.35">
      <c r="J201" s="36">
        <v>45190</v>
      </c>
      <c r="K201" t="str">
        <v>AM</v>
      </c>
      <c r="L201" t="str">
        <v>September</v>
      </c>
      <c r="M201" t="str">
        <v>THU</v>
      </c>
      <c r="N201">
        <v>0</v>
      </c>
      <c r="O201">
        <v>0</v>
      </c>
      <c r="P201" s="22">
        <f t="shared" si="3"/>
        <v>0</v>
      </c>
    </row>
    <row r="202" spans="10:16" x14ac:dyDescent="0.35">
      <c r="J202" s="36">
        <v>45190</v>
      </c>
      <c r="K202" t="str">
        <v>PM</v>
      </c>
      <c r="L202" t="str">
        <v>September</v>
      </c>
      <c r="M202" t="str">
        <v>THU</v>
      </c>
      <c r="N202">
        <v>0</v>
      </c>
      <c r="O202">
        <v>0</v>
      </c>
      <c r="P202" s="22">
        <f t="shared" si="3"/>
        <v>0</v>
      </c>
    </row>
    <row r="203" spans="10:16" x14ac:dyDescent="0.35">
      <c r="J203" s="36">
        <v>45191</v>
      </c>
      <c r="K203" t="str">
        <v>AM</v>
      </c>
      <c r="L203" t="str">
        <v>September</v>
      </c>
      <c r="M203" t="str">
        <v>FRI</v>
      </c>
      <c r="N203">
        <v>0</v>
      </c>
      <c r="O203">
        <v>0</v>
      </c>
      <c r="P203" s="22">
        <f t="shared" si="3"/>
        <v>0</v>
      </c>
    </row>
    <row r="204" spans="10:16" x14ac:dyDescent="0.35">
      <c r="J204" s="36">
        <v>45191</v>
      </c>
      <c r="K204" t="str">
        <v>PM</v>
      </c>
      <c r="L204" t="str">
        <v>September</v>
      </c>
      <c r="M204" t="str">
        <v>FRI</v>
      </c>
      <c r="N204">
        <v>0</v>
      </c>
      <c r="O204">
        <v>0</v>
      </c>
      <c r="P204" s="22">
        <f t="shared" si="3"/>
        <v>0</v>
      </c>
    </row>
    <row r="205" spans="10:16" x14ac:dyDescent="0.35">
      <c r="J205" s="36">
        <v>45192</v>
      </c>
      <c r="K205" t="str">
        <v>AM</v>
      </c>
      <c r="L205" t="str">
        <v>September</v>
      </c>
      <c r="M205" t="str">
        <v>SAT</v>
      </c>
      <c r="N205">
        <v>5.666666666666667</v>
      </c>
      <c r="O205">
        <v>156.81897599999999</v>
      </c>
      <c r="P205" s="22">
        <f t="shared" si="3"/>
        <v>27.673936941176468</v>
      </c>
    </row>
    <row r="206" spans="10:16" x14ac:dyDescent="0.35">
      <c r="J206" s="36">
        <v>45192</v>
      </c>
      <c r="K206" t="str">
        <v>PM</v>
      </c>
      <c r="L206" t="str">
        <v>September</v>
      </c>
      <c r="M206" t="str">
        <v>SAT</v>
      </c>
      <c r="N206">
        <v>0</v>
      </c>
      <c r="O206">
        <v>0</v>
      </c>
      <c r="P206" s="22">
        <f t="shared" si="3"/>
        <v>0</v>
      </c>
    </row>
    <row r="207" spans="10:16" x14ac:dyDescent="0.35">
      <c r="J207" s="36">
        <v>45193</v>
      </c>
      <c r="K207" t="str">
        <v>AM</v>
      </c>
      <c r="L207" t="str">
        <v>September</v>
      </c>
      <c r="M207" t="str">
        <v>SUN</v>
      </c>
      <c r="N207">
        <v>4.0166666666666666</v>
      </c>
      <c r="O207">
        <v>187.39946</v>
      </c>
      <c r="P207" s="22">
        <f t="shared" si="3"/>
        <v>46.655467219917014</v>
      </c>
    </row>
    <row r="208" spans="10:16" x14ac:dyDescent="0.35">
      <c r="J208" s="36">
        <v>45193</v>
      </c>
      <c r="K208" t="str">
        <v>PM</v>
      </c>
      <c r="L208" t="str">
        <v>September</v>
      </c>
      <c r="M208" t="str">
        <v>SUN</v>
      </c>
      <c r="N208">
        <v>4.0166666666666666</v>
      </c>
      <c r="O208">
        <v>187.39946</v>
      </c>
      <c r="P208" s="22">
        <f t="shared" si="3"/>
        <v>46.655467219917014</v>
      </c>
    </row>
    <row r="209" spans="10:16" x14ac:dyDescent="0.35">
      <c r="J209" s="36">
        <v>45194</v>
      </c>
      <c r="K209" t="str">
        <v>AM</v>
      </c>
      <c r="L209" t="str">
        <v>September</v>
      </c>
      <c r="M209" t="str">
        <v>MON</v>
      </c>
      <c r="N209">
        <v>0</v>
      </c>
      <c r="O209">
        <v>0</v>
      </c>
      <c r="P209" s="22">
        <f t="shared" si="3"/>
        <v>0</v>
      </c>
    </row>
    <row r="210" spans="10:16" x14ac:dyDescent="0.35">
      <c r="J210" s="36">
        <v>45194</v>
      </c>
      <c r="K210" t="str">
        <v>PM</v>
      </c>
      <c r="L210" t="str">
        <v>September</v>
      </c>
      <c r="M210" t="str">
        <v>MON</v>
      </c>
      <c r="N210">
        <v>5.2833333333333332</v>
      </c>
      <c r="O210">
        <v>166.86658</v>
      </c>
      <c r="P210" s="22">
        <f t="shared" si="3"/>
        <v>31.583579810725553</v>
      </c>
    </row>
    <row r="211" spans="10:16" x14ac:dyDescent="0.35">
      <c r="J211" s="36">
        <v>45195</v>
      </c>
      <c r="K211" t="str">
        <v>AM</v>
      </c>
      <c r="L211" t="str">
        <v>September</v>
      </c>
      <c r="M211" t="str">
        <v>TUE</v>
      </c>
      <c r="N211">
        <v>0</v>
      </c>
      <c r="O211">
        <v>0</v>
      </c>
      <c r="P211" s="22">
        <f t="shared" si="3"/>
        <v>0</v>
      </c>
    </row>
    <row r="212" spans="10:16" x14ac:dyDescent="0.35">
      <c r="J212" s="36">
        <v>45195</v>
      </c>
      <c r="K212" t="str">
        <v>PM</v>
      </c>
      <c r="L212" t="str">
        <v>September</v>
      </c>
      <c r="M212" t="str">
        <v>TUE</v>
      </c>
      <c r="N212">
        <v>0</v>
      </c>
      <c r="O212">
        <v>0</v>
      </c>
      <c r="P212" s="22">
        <f t="shared" si="3"/>
        <v>0</v>
      </c>
    </row>
    <row r="213" spans="10:16" x14ac:dyDescent="0.35">
      <c r="J213" s="36">
        <v>45196</v>
      </c>
      <c r="K213" t="str">
        <v>AM</v>
      </c>
      <c r="L213" t="str">
        <v>September</v>
      </c>
      <c r="M213" t="str">
        <v>WED</v>
      </c>
      <c r="N213">
        <v>0</v>
      </c>
      <c r="O213">
        <v>0</v>
      </c>
      <c r="P213" s="22">
        <f t="shared" si="3"/>
        <v>0</v>
      </c>
    </row>
    <row r="214" spans="10:16" x14ac:dyDescent="0.35">
      <c r="J214" s="36">
        <v>45196</v>
      </c>
      <c r="K214" t="str">
        <v>PM</v>
      </c>
      <c r="L214" t="str">
        <v>September</v>
      </c>
      <c r="M214" t="str">
        <v>WED</v>
      </c>
      <c r="N214">
        <v>4.7333333333333334</v>
      </c>
      <c r="O214">
        <v>102.25415199999999</v>
      </c>
      <c r="P214" s="22">
        <f t="shared" si="3"/>
        <v>21.602989859154928</v>
      </c>
    </row>
    <row r="215" spans="10:16" x14ac:dyDescent="0.35">
      <c r="J215" s="36">
        <v>45197</v>
      </c>
      <c r="K215" t="str">
        <v>AM</v>
      </c>
      <c r="L215" t="str">
        <v>September</v>
      </c>
      <c r="M215" t="str">
        <v>THU</v>
      </c>
      <c r="N215">
        <v>0</v>
      </c>
      <c r="O215">
        <v>0</v>
      </c>
      <c r="P215" s="22">
        <f t="shared" si="3"/>
        <v>0</v>
      </c>
    </row>
    <row r="216" spans="10:16" x14ac:dyDescent="0.35">
      <c r="J216" s="36">
        <v>45197</v>
      </c>
      <c r="K216" t="str">
        <v>PM</v>
      </c>
      <c r="L216" t="str">
        <v>September</v>
      </c>
      <c r="M216" t="str">
        <v>THU</v>
      </c>
      <c r="N216">
        <v>0</v>
      </c>
      <c r="O216">
        <v>0</v>
      </c>
      <c r="P216" s="22">
        <f t="shared" si="3"/>
        <v>0</v>
      </c>
    </row>
    <row r="217" spans="10:16" x14ac:dyDescent="0.35">
      <c r="J217" s="36">
        <v>45198</v>
      </c>
      <c r="K217" t="str">
        <v>AM</v>
      </c>
      <c r="L217" t="str">
        <v>September</v>
      </c>
      <c r="M217" t="str">
        <v>FRI</v>
      </c>
      <c r="N217">
        <v>0</v>
      </c>
      <c r="O217">
        <v>0</v>
      </c>
      <c r="P217" s="22">
        <f t="shared" si="3"/>
        <v>0</v>
      </c>
    </row>
    <row r="218" spans="10:16" x14ac:dyDescent="0.35">
      <c r="J218" s="36">
        <v>45198</v>
      </c>
      <c r="K218" t="str">
        <v>PM</v>
      </c>
      <c r="L218" t="str">
        <v>September</v>
      </c>
      <c r="M218" t="str">
        <v>FRI</v>
      </c>
      <c r="N218">
        <v>5.2333333333333334</v>
      </c>
      <c r="O218">
        <v>135.44354399999997</v>
      </c>
      <c r="P218" s="22">
        <f t="shared" si="3"/>
        <v>25.880931974522287</v>
      </c>
    </row>
    <row r="219" spans="10:16" x14ac:dyDescent="0.35">
      <c r="J219" s="36">
        <v>45199</v>
      </c>
      <c r="K219" t="str">
        <v>AM</v>
      </c>
      <c r="L219" t="str">
        <v>September</v>
      </c>
      <c r="M219" t="str">
        <v>SAT</v>
      </c>
      <c r="N219">
        <v>0</v>
      </c>
      <c r="O219">
        <v>0</v>
      </c>
      <c r="P219" s="22">
        <f t="shared" si="3"/>
        <v>0</v>
      </c>
    </row>
    <row r="220" spans="10:16" x14ac:dyDescent="0.35">
      <c r="J220" s="36">
        <v>45199</v>
      </c>
      <c r="K220" t="str">
        <v>PM</v>
      </c>
      <c r="L220" t="str">
        <v>September</v>
      </c>
      <c r="M220" t="str">
        <v>SAT</v>
      </c>
      <c r="N220">
        <v>10.916666666666666</v>
      </c>
      <c r="O220">
        <v>169.007724</v>
      </c>
      <c r="P220" s="22">
        <f t="shared" si="3"/>
        <v>15.481623572519084</v>
      </c>
    </row>
    <row r="221" spans="10:16" x14ac:dyDescent="0.35">
      <c r="J221" s="36">
        <v>45200</v>
      </c>
      <c r="K221" t="str">
        <v>AM</v>
      </c>
      <c r="L221" t="str">
        <v>October</v>
      </c>
      <c r="M221" t="str">
        <v>SUN</v>
      </c>
      <c r="N221">
        <v>5.083333333333333</v>
      </c>
      <c r="O221">
        <v>200.75157999999999</v>
      </c>
      <c r="P221" s="22">
        <f t="shared" si="3"/>
        <v>39.492114098360659</v>
      </c>
    </row>
    <row r="222" spans="10:16" x14ac:dyDescent="0.35">
      <c r="J222" s="36">
        <v>45200</v>
      </c>
      <c r="K222" t="str">
        <v>PM</v>
      </c>
      <c r="L222" t="str">
        <v>October</v>
      </c>
      <c r="M222" t="str">
        <v>SUN</v>
      </c>
      <c r="N222">
        <v>5.083333333333333</v>
      </c>
      <c r="O222">
        <v>200.75157999999999</v>
      </c>
      <c r="P222" s="22">
        <f t="shared" si="3"/>
        <v>39.492114098360659</v>
      </c>
    </row>
    <row r="223" spans="10:16" x14ac:dyDescent="0.35">
      <c r="J223" s="36">
        <v>45201</v>
      </c>
      <c r="K223" t="str">
        <v>AM</v>
      </c>
      <c r="L223" t="str">
        <v>October</v>
      </c>
      <c r="M223" t="str">
        <v>MON</v>
      </c>
      <c r="N223">
        <v>0</v>
      </c>
      <c r="O223">
        <v>0</v>
      </c>
      <c r="P223" s="22">
        <f t="shared" si="3"/>
        <v>0</v>
      </c>
    </row>
    <row r="224" spans="10:16" x14ac:dyDescent="0.35">
      <c r="J224" s="36">
        <v>45201</v>
      </c>
      <c r="K224" t="str">
        <v>PM</v>
      </c>
      <c r="L224" t="str">
        <v>October</v>
      </c>
      <c r="M224" t="str">
        <v>MON</v>
      </c>
      <c r="N224">
        <v>4.666666666666667</v>
      </c>
      <c r="O224">
        <v>140.81690399999999</v>
      </c>
      <c r="P224" s="22">
        <f t="shared" si="3"/>
        <v>30.175050857142853</v>
      </c>
    </row>
    <row r="225" spans="10:16" x14ac:dyDescent="0.35">
      <c r="J225" s="36">
        <v>45202</v>
      </c>
      <c r="K225" t="str">
        <v>AM</v>
      </c>
      <c r="L225" t="str">
        <v>October</v>
      </c>
      <c r="M225" t="str">
        <v>TUE</v>
      </c>
      <c r="N225">
        <v>0</v>
      </c>
      <c r="O225">
        <v>0</v>
      </c>
      <c r="P225" s="22">
        <f t="shared" si="3"/>
        <v>0</v>
      </c>
    </row>
    <row r="226" spans="10:16" x14ac:dyDescent="0.35">
      <c r="J226" s="36">
        <v>45202</v>
      </c>
      <c r="K226" t="str">
        <v>PM</v>
      </c>
      <c r="L226" t="str">
        <v>October</v>
      </c>
      <c r="M226" t="str">
        <v>TUE</v>
      </c>
      <c r="N226">
        <v>0</v>
      </c>
      <c r="O226">
        <v>0</v>
      </c>
      <c r="P226" s="22">
        <f t="shared" si="3"/>
        <v>0</v>
      </c>
    </row>
    <row r="227" spans="10:16" x14ac:dyDescent="0.35">
      <c r="J227" s="36">
        <v>45203</v>
      </c>
      <c r="K227" t="str">
        <v>AM</v>
      </c>
      <c r="L227" t="str">
        <v>October</v>
      </c>
      <c r="M227" t="str">
        <v>WED</v>
      </c>
      <c r="N227">
        <v>4.666666666666667</v>
      </c>
      <c r="O227">
        <v>48.305231999999997</v>
      </c>
      <c r="P227" s="22">
        <f t="shared" si="3"/>
        <v>10.351121142857142</v>
      </c>
    </row>
    <row r="228" spans="10:16" x14ac:dyDescent="0.35">
      <c r="J228" s="36">
        <v>45203</v>
      </c>
      <c r="K228" t="str">
        <v>PM</v>
      </c>
      <c r="L228" t="str">
        <v>October</v>
      </c>
      <c r="M228" t="str">
        <v>WED</v>
      </c>
      <c r="N228">
        <v>0</v>
      </c>
      <c r="O228">
        <v>0</v>
      </c>
      <c r="P228" s="22">
        <f t="shared" si="3"/>
        <v>0</v>
      </c>
    </row>
    <row r="229" spans="10:16" x14ac:dyDescent="0.35">
      <c r="J229" s="36">
        <v>45204</v>
      </c>
      <c r="K229" t="str">
        <v>AM</v>
      </c>
      <c r="L229" t="str">
        <v>October</v>
      </c>
      <c r="M229" t="str">
        <v>THU</v>
      </c>
      <c r="N229">
        <v>0</v>
      </c>
      <c r="O229">
        <v>0</v>
      </c>
      <c r="P229" s="22">
        <f t="shared" si="3"/>
        <v>0</v>
      </c>
    </row>
    <row r="230" spans="10:16" x14ac:dyDescent="0.35">
      <c r="J230" s="36">
        <v>45204</v>
      </c>
      <c r="K230" t="str">
        <v>PM</v>
      </c>
      <c r="L230" t="str">
        <v>October</v>
      </c>
      <c r="M230" t="str">
        <v>THU</v>
      </c>
      <c r="N230">
        <v>0</v>
      </c>
      <c r="O230">
        <v>0</v>
      </c>
      <c r="P230" s="22">
        <f t="shared" si="3"/>
        <v>0</v>
      </c>
    </row>
    <row r="231" spans="10:16" x14ac:dyDescent="0.35">
      <c r="J231" s="36">
        <v>45205</v>
      </c>
      <c r="K231" t="str">
        <v>AM</v>
      </c>
      <c r="L231" t="str">
        <v>October</v>
      </c>
      <c r="M231" t="str">
        <v>FRI</v>
      </c>
      <c r="N231">
        <v>0</v>
      </c>
      <c r="O231">
        <v>0</v>
      </c>
      <c r="P231" s="22">
        <f t="shared" si="3"/>
        <v>0</v>
      </c>
    </row>
    <row r="232" spans="10:16" x14ac:dyDescent="0.35">
      <c r="J232" s="36">
        <v>45205</v>
      </c>
      <c r="K232" t="str">
        <v>PM</v>
      </c>
      <c r="L232" t="str">
        <v>October</v>
      </c>
      <c r="M232" t="str">
        <v>FRI</v>
      </c>
      <c r="N232">
        <v>0</v>
      </c>
      <c r="O232">
        <v>0</v>
      </c>
      <c r="P232" s="22">
        <f t="shared" si="3"/>
        <v>0</v>
      </c>
    </row>
    <row r="233" spans="10:16" x14ac:dyDescent="0.35">
      <c r="J233" s="36">
        <v>45206</v>
      </c>
      <c r="K233" t="str">
        <v>AM</v>
      </c>
      <c r="L233" t="str">
        <v>October</v>
      </c>
      <c r="M233" t="str">
        <v>SAT</v>
      </c>
      <c r="N233">
        <v>0</v>
      </c>
      <c r="O233">
        <v>0</v>
      </c>
      <c r="P233" s="22">
        <f t="shared" si="3"/>
        <v>0</v>
      </c>
    </row>
    <row r="234" spans="10:16" x14ac:dyDescent="0.35">
      <c r="J234" s="36">
        <v>45206</v>
      </c>
      <c r="K234" t="str">
        <v>PM</v>
      </c>
      <c r="L234" t="str">
        <v>October</v>
      </c>
      <c r="M234" t="str">
        <v>SAT</v>
      </c>
      <c r="N234">
        <v>6.8833333333333337</v>
      </c>
      <c r="O234">
        <v>146.1317</v>
      </c>
      <c r="P234" s="22">
        <f t="shared" si="3"/>
        <v>21.229786924939464</v>
      </c>
    </row>
    <row r="235" spans="10:16" x14ac:dyDescent="0.35">
      <c r="J235" s="36">
        <v>45207</v>
      </c>
      <c r="K235" t="str">
        <v>AM</v>
      </c>
      <c r="L235" t="str">
        <v>October</v>
      </c>
      <c r="M235" t="str">
        <v>SUN</v>
      </c>
      <c r="N235">
        <v>0</v>
      </c>
      <c r="O235">
        <v>0</v>
      </c>
      <c r="P235" s="22">
        <f t="shared" si="3"/>
        <v>0</v>
      </c>
    </row>
    <row r="236" spans="10:16" x14ac:dyDescent="0.35">
      <c r="J236" s="36">
        <v>45207</v>
      </c>
      <c r="K236" t="str">
        <v>PM</v>
      </c>
      <c r="L236" t="str">
        <v>October</v>
      </c>
      <c r="M236" t="str">
        <v>SUN</v>
      </c>
      <c r="N236">
        <v>5.9333333333333336</v>
      </c>
      <c r="O236">
        <v>249.44045599999998</v>
      </c>
      <c r="P236" s="22">
        <f t="shared" si="3"/>
        <v>42.040526292134828</v>
      </c>
    </row>
    <row r="237" spans="10:16" x14ac:dyDescent="0.35">
      <c r="J237" s="36">
        <v>45208</v>
      </c>
      <c r="K237" t="str">
        <v>AM</v>
      </c>
      <c r="L237" t="str">
        <v>October</v>
      </c>
      <c r="M237" t="str">
        <v>MON</v>
      </c>
      <c r="N237">
        <v>0</v>
      </c>
      <c r="O237">
        <v>0</v>
      </c>
      <c r="P237" s="22">
        <f t="shared" si="3"/>
        <v>0</v>
      </c>
    </row>
    <row r="238" spans="10:16" x14ac:dyDescent="0.35">
      <c r="J238" s="36">
        <v>45208</v>
      </c>
      <c r="K238" t="str">
        <v>PM</v>
      </c>
      <c r="L238" t="str">
        <v>October</v>
      </c>
      <c r="M238" t="str">
        <v>MON</v>
      </c>
      <c r="N238">
        <v>6.2166666666666668</v>
      </c>
      <c r="O238">
        <v>231.20622</v>
      </c>
      <c r="P238" s="22">
        <f t="shared" si="3"/>
        <v>37.191349061662201</v>
      </c>
    </row>
    <row r="239" spans="10:16" x14ac:dyDescent="0.35">
      <c r="J239" s="36">
        <v>45209</v>
      </c>
      <c r="K239" t="str">
        <v>AM</v>
      </c>
      <c r="L239" t="str">
        <v>October</v>
      </c>
      <c r="M239" t="str">
        <v>TUE</v>
      </c>
      <c r="N239">
        <v>0</v>
      </c>
      <c r="O239">
        <v>0</v>
      </c>
      <c r="P239" s="22">
        <f t="shared" si="3"/>
        <v>0</v>
      </c>
    </row>
    <row r="240" spans="10:16" x14ac:dyDescent="0.35">
      <c r="J240" s="36">
        <v>45209</v>
      </c>
      <c r="K240" t="str">
        <v>PM</v>
      </c>
      <c r="L240" t="str">
        <v>October</v>
      </c>
      <c r="M240" t="str">
        <v>TUE</v>
      </c>
      <c r="N240">
        <v>4.5</v>
      </c>
      <c r="O240">
        <v>162.29396800000001</v>
      </c>
      <c r="P240" s="22">
        <f t="shared" si="3"/>
        <v>36.065326222222225</v>
      </c>
    </row>
    <row r="241" spans="10:16" x14ac:dyDescent="0.35">
      <c r="J241" s="36">
        <v>45210</v>
      </c>
      <c r="K241" t="str">
        <v>AM</v>
      </c>
      <c r="L241" t="str">
        <v>October</v>
      </c>
      <c r="M241" t="str">
        <v>WED</v>
      </c>
      <c r="N241">
        <v>0</v>
      </c>
      <c r="O241">
        <v>0</v>
      </c>
      <c r="P241" s="22">
        <f t="shared" si="3"/>
        <v>0</v>
      </c>
    </row>
    <row r="242" spans="10:16" x14ac:dyDescent="0.35">
      <c r="J242" s="36">
        <v>45210</v>
      </c>
      <c r="K242" t="str">
        <v>PM</v>
      </c>
      <c r="L242" t="str">
        <v>October</v>
      </c>
      <c r="M242" t="str">
        <v>WED</v>
      </c>
      <c r="N242">
        <v>3.25</v>
      </c>
      <c r="O242">
        <v>31.566172000000002</v>
      </c>
      <c r="P242" s="22">
        <f t="shared" si="3"/>
        <v>9.7126683076923079</v>
      </c>
    </row>
    <row r="243" spans="10:16" x14ac:dyDescent="0.35">
      <c r="J243" s="36">
        <v>45211</v>
      </c>
      <c r="K243" t="str">
        <v>AM</v>
      </c>
      <c r="L243" t="str">
        <v>October</v>
      </c>
      <c r="M243" t="str">
        <v>THU</v>
      </c>
      <c r="N243">
        <v>0</v>
      </c>
      <c r="O243">
        <v>0</v>
      </c>
      <c r="P243" s="22">
        <f t="shared" si="3"/>
        <v>0</v>
      </c>
    </row>
    <row r="244" spans="10:16" x14ac:dyDescent="0.35">
      <c r="J244" s="36">
        <v>45211</v>
      </c>
      <c r="K244" t="str">
        <v>PM</v>
      </c>
      <c r="L244" t="str">
        <v>October</v>
      </c>
      <c r="M244" t="str">
        <v>THU</v>
      </c>
      <c r="N244">
        <v>3.75</v>
      </c>
      <c r="O244">
        <v>50.00262</v>
      </c>
      <c r="P244" s="22">
        <f t="shared" si="3"/>
        <v>13.334032000000001</v>
      </c>
    </row>
    <row r="245" spans="10:16" x14ac:dyDescent="0.35">
      <c r="J245" s="36">
        <v>45212</v>
      </c>
      <c r="K245" t="str">
        <v>AM</v>
      </c>
      <c r="L245" t="str">
        <v>October</v>
      </c>
      <c r="M245" t="str">
        <v>FRI</v>
      </c>
      <c r="N245">
        <v>0</v>
      </c>
      <c r="O245">
        <v>0</v>
      </c>
      <c r="P245" s="22">
        <f t="shared" si="3"/>
        <v>0</v>
      </c>
    </row>
    <row r="246" spans="10:16" x14ac:dyDescent="0.35">
      <c r="J246" s="36">
        <v>45212</v>
      </c>
      <c r="K246" t="str">
        <v>PM</v>
      </c>
      <c r="L246" t="str">
        <v>October</v>
      </c>
      <c r="M246" t="str">
        <v>FRI</v>
      </c>
      <c r="N246">
        <v>0</v>
      </c>
      <c r="O246">
        <v>0</v>
      </c>
      <c r="P246" s="22">
        <f t="shared" si="3"/>
        <v>0</v>
      </c>
    </row>
    <row r="247" spans="10:16" x14ac:dyDescent="0.35">
      <c r="J247" s="36">
        <v>45213</v>
      </c>
      <c r="K247" t="str">
        <v>AM</v>
      </c>
      <c r="L247" t="str">
        <v>October</v>
      </c>
      <c r="M247" t="str">
        <v>SAT</v>
      </c>
      <c r="N247">
        <v>0</v>
      </c>
      <c r="O247">
        <v>0</v>
      </c>
      <c r="P247" s="22">
        <f t="shared" si="3"/>
        <v>0</v>
      </c>
    </row>
    <row r="248" spans="10:16" x14ac:dyDescent="0.35">
      <c r="J248" s="36">
        <v>45213</v>
      </c>
      <c r="K248" t="str">
        <v>PM</v>
      </c>
      <c r="L248" t="str">
        <v>October</v>
      </c>
      <c r="M248" t="str">
        <v>SAT</v>
      </c>
      <c r="N248">
        <v>0</v>
      </c>
      <c r="O248">
        <v>0</v>
      </c>
      <c r="P248" s="22">
        <f t="shared" si="3"/>
        <v>0</v>
      </c>
    </row>
    <row r="249" spans="10:16" x14ac:dyDescent="0.35">
      <c r="J249" s="36">
        <v>45214</v>
      </c>
      <c r="K249" t="str">
        <v>AM</v>
      </c>
      <c r="L249" t="str">
        <v>October</v>
      </c>
      <c r="M249" t="str">
        <v>SUN</v>
      </c>
      <c r="N249">
        <v>0</v>
      </c>
      <c r="O249">
        <v>0</v>
      </c>
      <c r="P249" s="22">
        <f t="shared" si="3"/>
        <v>0</v>
      </c>
    </row>
    <row r="250" spans="10:16" x14ac:dyDescent="0.35">
      <c r="J250" s="36">
        <v>45214</v>
      </c>
      <c r="K250" t="str">
        <v>PM</v>
      </c>
      <c r="L250" t="str">
        <v>October</v>
      </c>
      <c r="M250" t="str">
        <v>SUN</v>
      </c>
      <c r="N250">
        <v>6.0166666666666666</v>
      </c>
      <c r="O250">
        <v>137.80432400000001</v>
      </c>
      <c r="P250" s="22">
        <f t="shared" si="3"/>
        <v>22.903765761772856</v>
      </c>
    </row>
    <row r="251" spans="10:16" x14ac:dyDescent="0.35">
      <c r="J251" s="36">
        <v>45215</v>
      </c>
      <c r="K251" t="str">
        <v>AM</v>
      </c>
      <c r="L251" t="str">
        <v>October</v>
      </c>
      <c r="M251" t="str">
        <v>MON</v>
      </c>
      <c r="N251">
        <v>0</v>
      </c>
      <c r="O251">
        <v>0</v>
      </c>
      <c r="P251" s="22">
        <f t="shared" si="3"/>
        <v>0</v>
      </c>
    </row>
    <row r="252" spans="10:16" x14ac:dyDescent="0.35">
      <c r="J252" s="36">
        <v>45215</v>
      </c>
      <c r="K252" t="str">
        <v>PM</v>
      </c>
      <c r="L252" t="str">
        <v>October</v>
      </c>
      <c r="M252" t="str">
        <v>MON</v>
      </c>
      <c r="N252">
        <v>6.4333333333333336</v>
      </c>
      <c r="O252">
        <v>242.09894400000002</v>
      </c>
      <c r="P252" s="22">
        <f t="shared" si="3"/>
        <v>37.63196020725389</v>
      </c>
    </row>
    <row r="253" spans="10:16" x14ac:dyDescent="0.35">
      <c r="J253" s="36">
        <v>45216</v>
      </c>
      <c r="K253" t="str">
        <v>AM</v>
      </c>
      <c r="L253" t="str">
        <v>October</v>
      </c>
      <c r="M253" t="str">
        <v>TUE</v>
      </c>
      <c r="N253">
        <v>5.2</v>
      </c>
      <c r="O253">
        <v>115.57019199999999</v>
      </c>
      <c r="P253" s="22">
        <f t="shared" si="3"/>
        <v>22.225036923076921</v>
      </c>
    </row>
    <row r="254" spans="10:16" x14ac:dyDescent="0.35">
      <c r="J254" s="36">
        <v>45216</v>
      </c>
      <c r="K254" t="str">
        <v>PM</v>
      </c>
      <c r="L254" t="str">
        <v>October</v>
      </c>
      <c r="M254" t="str">
        <v>TUE</v>
      </c>
      <c r="N254">
        <v>2.9333333333333331</v>
      </c>
      <c r="O254">
        <v>39.669471999999999</v>
      </c>
      <c r="P254" s="22">
        <f t="shared" si="3"/>
        <v>13.523683636363637</v>
      </c>
    </row>
    <row r="255" spans="10:16" x14ac:dyDescent="0.35">
      <c r="J255" s="36">
        <v>45217</v>
      </c>
      <c r="K255" t="str">
        <v>AM</v>
      </c>
      <c r="L255" t="str">
        <v>October</v>
      </c>
      <c r="M255" t="str">
        <v>WED</v>
      </c>
      <c r="N255">
        <v>0</v>
      </c>
      <c r="O255">
        <v>0</v>
      </c>
      <c r="P255" s="22">
        <f t="shared" si="3"/>
        <v>0</v>
      </c>
    </row>
    <row r="256" spans="10:16" x14ac:dyDescent="0.35">
      <c r="J256" s="36">
        <v>45217</v>
      </c>
      <c r="K256" t="str">
        <v>PM</v>
      </c>
      <c r="L256" t="str">
        <v>October</v>
      </c>
      <c r="M256" t="str">
        <v>WED</v>
      </c>
      <c r="N256">
        <v>4.5666666666666664</v>
      </c>
      <c r="O256">
        <v>188.66008000000002</v>
      </c>
      <c r="P256" s="22">
        <f t="shared" si="3"/>
        <v>41.312426277372268</v>
      </c>
    </row>
    <row r="257" spans="10:16" x14ac:dyDescent="0.35">
      <c r="J257" s="36">
        <v>45218</v>
      </c>
      <c r="K257" t="str">
        <v>AM</v>
      </c>
      <c r="L257" t="str">
        <v>October</v>
      </c>
      <c r="M257" t="str">
        <v>THU</v>
      </c>
      <c r="N257">
        <v>0</v>
      </c>
      <c r="O257">
        <v>0</v>
      </c>
      <c r="P257" s="22">
        <f t="shared" si="3"/>
        <v>0</v>
      </c>
    </row>
    <row r="258" spans="10:16" x14ac:dyDescent="0.35">
      <c r="J258" s="36">
        <v>45218</v>
      </c>
      <c r="K258" t="str">
        <v>PM</v>
      </c>
      <c r="L258" t="str">
        <v>October</v>
      </c>
      <c r="M258" t="str">
        <v>THU</v>
      </c>
      <c r="N258">
        <v>6.05</v>
      </c>
      <c r="O258">
        <v>156.47206000000003</v>
      </c>
      <c r="P258" s="22">
        <f t="shared" si="3"/>
        <v>25.863150413223146</v>
      </c>
    </row>
    <row r="259" spans="10:16" x14ac:dyDescent="0.35">
      <c r="J259" s="36">
        <v>45219</v>
      </c>
      <c r="K259" t="str">
        <v>AM</v>
      </c>
      <c r="L259" t="str">
        <v>October</v>
      </c>
      <c r="M259" t="str">
        <v>FRI</v>
      </c>
      <c r="N259">
        <v>0</v>
      </c>
      <c r="O259">
        <v>0</v>
      </c>
      <c r="P259" s="22">
        <f t="shared" si="3"/>
        <v>0</v>
      </c>
    </row>
    <row r="260" spans="10:16" x14ac:dyDescent="0.35">
      <c r="J260" s="36">
        <v>45219</v>
      </c>
      <c r="K260" t="str">
        <v>PM</v>
      </c>
      <c r="L260" t="str">
        <v>October</v>
      </c>
      <c r="M260" t="str">
        <v>FRI</v>
      </c>
      <c r="N260">
        <v>0</v>
      </c>
      <c r="O260">
        <v>0</v>
      </c>
      <c r="P260" s="22">
        <f t="shared" ref="P260:P323" si="4">IFERROR(O260/N260,0)</f>
        <v>0</v>
      </c>
    </row>
    <row r="261" spans="10:16" x14ac:dyDescent="0.35">
      <c r="J261" s="36">
        <v>45220</v>
      </c>
      <c r="K261" t="str">
        <v>AM</v>
      </c>
      <c r="L261" t="str">
        <v>October</v>
      </c>
      <c r="M261" t="str">
        <v>SAT</v>
      </c>
      <c r="N261">
        <v>0</v>
      </c>
      <c r="O261">
        <v>0</v>
      </c>
      <c r="P261" s="22">
        <f t="shared" si="4"/>
        <v>0</v>
      </c>
    </row>
    <row r="262" spans="10:16" x14ac:dyDescent="0.35">
      <c r="J262" s="36">
        <v>45220</v>
      </c>
      <c r="K262" t="str">
        <v>PM</v>
      </c>
      <c r="L262" t="str">
        <v>October</v>
      </c>
      <c r="M262" t="str">
        <v>SAT</v>
      </c>
      <c r="N262">
        <v>0</v>
      </c>
      <c r="O262">
        <v>0</v>
      </c>
      <c r="P262" s="22">
        <f t="shared" si="4"/>
        <v>0</v>
      </c>
    </row>
    <row r="263" spans="10:16" x14ac:dyDescent="0.35">
      <c r="J263" s="36">
        <v>45221</v>
      </c>
      <c r="K263" t="str">
        <v>AM</v>
      </c>
      <c r="L263" t="str">
        <v>October</v>
      </c>
      <c r="M263" t="str">
        <v>SUN</v>
      </c>
      <c r="N263">
        <v>0</v>
      </c>
      <c r="O263">
        <v>0</v>
      </c>
      <c r="P263" s="22">
        <f t="shared" si="4"/>
        <v>0</v>
      </c>
    </row>
    <row r="264" spans="10:16" x14ac:dyDescent="0.35">
      <c r="J264" s="36">
        <v>45221</v>
      </c>
      <c r="K264" t="str">
        <v>PM</v>
      </c>
      <c r="L264" t="str">
        <v>October</v>
      </c>
      <c r="M264" t="str">
        <v>SUN</v>
      </c>
      <c r="N264">
        <v>5.4833333333333334</v>
      </c>
      <c r="O264">
        <v>174.95838000000001</v>
      </c>
      <c r="P264" s="22">
        <f t="shared" si="4"/>
        <v>31.907303343465045</v>
      </c>
    </row>
    <row r="265" spans="10:16" x14ac:dyDescent="0.35">
      <c r="J265" s="36">
        <v>45222</v>
      </c>
      <c r="K265" t="str">
        <v>AM</v>
      </c>
      <c r="L265" t="str">
        <v>October</v>
      </c>
      <c r="M265" t="str">
        <v>MON</v>
      </c>
      <c r="N265">
        <v>0</v>
      </c>
      <c r="O265">
        <v>0</v>
      </c>
      <c r="P265" s="22">
        <f t="shared" si="4"/>
        <v>0</v>
      </c>
    </row>
    <row r="266" spans="10:16" x14ac:dyDescent="0.35">
      <c r="J266" s="36">
        <v>45222</v>
      </c>
      <c r="K266" t="str">
        <v>PM</v>
      </c>
      <c r="L266" t="str">
        <v>October</v>
      </c>
      <c r="M266" t="str">
        <v>MON</v>
      </c>
      <c r="N266">
        <v>5.583333333333333</v>
      </c>
      <c r="O266">
        <v>204.05530799999997</v>
      </c>
      <c r="P266" s="22">
        <f t="shared" si="4"/>
        <v>36.547219343283579</v>
      </c>
    </row>
    <row r="267" spans="10:16" x14ac:dyDescent="0.35">
      <c r="J267" s="36">
        <v>45223</v>
      </c>
      <c r="K267" t="str">
        <v>AM</v>
      </c>
      <c r="L267" t="str">
        <v>October</v>
      </c>
      <c r="M267" t="str">
        <v>TUE</v>
      </c>
      <c r="N267">
        <v>3.2333333333333334</v>
      </c>
      <c r="O267">
        <v>102.89900799999999</v>
      </c>
      <c r="P267" s="22">
        <f t="shared" si="4"/>
        <v>31.824435463917524</v>
      </c>
    </row>
    <row r="268" spans="10:16" x14ac:dyDescent="0.35">
      <c r="J268" s="36">
        <v>45223</v>
      </c>
      <c r="K268" t="str">
        <v>PM</v>
      </c>
      <c r="L268" t="str">
        <v>October</v>
      </c>
      <c r="M268" t="str">
        <v>TUE</v>
      </c>
      <c r="N268">
        <v>3.6</v>
      </c>
      <c r="O268">
        <v>90.058800000000005</v>
      </c>
      <c r="P268" s="22">
        <f t="shared" si="4"/>
        <v>25.016333333333336</v>
      </c>
    </row>
    <row r="269" spans="10:16" x14ac:dyDescent="0.35">
      <c r="J269" s="36">
        <v>45224</v>
      </c>
      <c r="K269" t="str">
        <v>AM</v>
      </c>
      <c r="L269" t="str">
        <v>October</v>
      </c>
      <c r="M269" t="str">
        <v>WED</v>
      </c>
      <c r="N269">
        <v>3.2666666666666666</v>
      </c>
      <c r="O269">
        <v>60.758799999999994</v>
      </c>
      <c r="P269" s="22">
        <f t="shared" si="4"/>
        <v>18.599632653061224</v>
      </c>
    </row>
    <row r="270" spans="10:16" x14ac:dyDescent="0.35">
      <c r="J270" s="36">
        <v>45224</v>
      </c>
      <c r="K270" t="str">
        <v>PM</v>
      </c>
      <c r="L270" t="str">
        <v>October</v>
      </c>
      <c r="M270" t="str">
        <v>WED</v>
      </c>
      <c r="N270">
        <v>0</v>
      </c>
      <c r="O270">
        <v>0</v>
      </c>
      <c r="P270" s="22">
        <f t="shared" si="4"/>
        <v>0</v>
      </c>
    </row>
    <row r="271" spans="10:16" x14ac:dyDescent="0.35">
      <c r="J271" s="36">
        <v>45225</v>
      </c>
      <c r="K271" t="str">
        <v>AM</v>
      </c>
      <c r="L271" t="str">
        <v>October</v>
      </c>
      <c r="M271" t="str">
        <v>THU</v>
      </c>
      <c r="N271">
        <v>0</v>
      </c>
      <c r="O271">
        <v>0</v>
      </c>
      <c r="P271" s="22">
        <f t="shared" si="4"/>
        <v>0</v>
      </c>
    </row>
    <row r="272" spans="10:16" x14ac:dyDescent="0.35">
      <c r="J272" s="36">
        <v>45225</v>
      </c>
      <c r="K272" t="str">
        <v>PM</v>
      </c>
      <c r="L272" t="str">
        <v>October</v>
      </c>
      <c r="M272" t="str">
        <v>THU</v>
      </c>
      <c r="N272">
        <v>0</v>
      </c>
      <c r="O272">
        <v>0</v>
      </c>
      <c r="P272" s="22">
        <f t="shared" si="4"/>
        <v>0</v>
      </c>
    </row>
    <row r="273" spans="10:16" x14ac:dyDescent="0.35">
      <c r="J273" s="36">
        <v>45226</v>
      </c>
      <c r="K273" t="str">
        <v>AM</v>
      </c>
      <c r="L273" t="str">
        <v>October</v>
      </c>
      <c r="M273" t="str">
        <v>FRI</v>
      </c>
      <c r="N273">
        <v>0</v>
      </c>
      <c r="O273">
        <v>0</v>
      </c>
      <c r="P273" s="22">
        <f t="shared" si="4"/>
        <v>0</v>
      </c>
    </row>
    <row r="274" spans="10:16" x14ac:dyDescent="0.35">
      <c r="J274" s="36">
        <v>45226</v>
      </c>
      <c r="K274" t="str">
        <v>PM</v>
      </c>
      <c r="L274" t="str">
        <v>October</v>
      </c>
      <c r="M274" t="str">
        <v>FRI</v>
      </c>
      <c r="N274">
        <v>5.4333333333333336</v>
      </c>
      <c r="O274">
        <v>198.68506400000001</v>
      </c>
      <c r="P274" s="22">
        <f t="shared" si="4"/>
        <v>36.567803190184051</v>
      </c>
    </row>
    <row r="275" spans="10:16" x14ac:dyDescent="0.35">
      <c r="J275" s="36">
        <v>45227</v>
      </c>
      <c r="K275" t="str">
        <v>AM</v>
      </c>
      <c r="L275" t="str">
        <v>October</v>
      </c>
      <c r="M275" t="str">
        <v>SAT</v>
      </c>
      <c r="N275">
        <v>0</v>
      </c>
      <c r="O275">
        <v>0</v>
      </c>
      <c r="P275" s="22">
        <f t="shared" si="4"/>
        <v>0</v>
      </c>
    </row>
    <row r="276" spans="10:16" x14ac:dyDescent="0.35">
      <c r="J276" s="36">
        <v>45227</v>
      </c>
      <c r="K276" t="str">
        <v>PM</v>
      </c>
      <c r="L276" t="str">
        <v>October</v>
      </c>
      <c r="M276" t="str">
        <v>SAT</v>
      </c>
      <c r="N276">
        <v>7.6833333333333336</v>
      </c>
      <c r="O276">
        <v>220.97762</v>
      </c>
      <c r="P276" s="22">
        <f t="shared" si="4"/>
        <v>28.760644685466378</v>
      </c>
    </row>
    <row r="277" spans="10:16" x14ac:dyDescent="0.35">
      <c r="J277" s="36">
        <v>45228</v>
      </c>
      <c r="K277" t="str">
        <v>AM</v>
      </c>
      <c r="L277" t="str">
        <v>October</v>
      </c>
      <c r="M277" t="str">
        <v>SUN</v>
      </c>
      <c r="N277">
        <v>0</v>
      </c>
      <c r="O277">
        <v>0</v>
      </c>
      <c r="P277" s="22">
        <f t="shared" si="4"/>
        <v>0</v>
      </c>
    </row>
    <row r="278" spans="10:16" x14ac:dyDescent="0.35">
      <c r="J278" s="36">
        <v>45228</v>
      </c>
      <c r="K278" t="str">
        <v>PM</v>
      </c>
      <c r="L278" t="str">
        <v>October</v>
      </c>
      <c r="M278" t="str">
        <v>SUN</v>
      </c>
      <c r="N278">
        <v>0</v>
      </c>
      <c r="O278">
        <v>0</v>
      </c>
      <c r="P278" s="22">
        <f t="shared" si="4"/>
        <v>0</v>
      </c>
    </row>
    <row r="279" spans="10:16" x14ac:dyDescent="0.35">
      <c r="J279" s="36">
        <v>45229</v>
      </c>
      <c r="K279" t="str">
        <v>AM</v>
      </c>
      <c r="L279" t="str">
        <v>October</v>
      </c>
      <c r="M279" t="str">
        <v>MON</v>
      </c>
      <c r="N279">
        <v>0</v>
      </c>
      <c r="O279">
        <v>0</v>
      </c>
      <c r="P279" s="22">
        <f t="shared" si="4"/>
        <v>0</v>
      </c>
    </row>
    <row r="280" spans="10:16" x14ac:dyDescent="0.35">
      <c r="J280" s="36">
        <v>45229</v>
      </c>
      <c r="K280" t="str">
        <v>PM</v>
      </c>
      <c r="L280" t="str">
        <v>October</v>
      </c>
      <c r="M280" t="str">
        <v>MON</v>
      </c>
      <c r="N280">
        <v>3.7</v>
      </c>
      <c r="O280">
        <v>99.087248000000002</v>
      </c>
      <c r="P280" s="22">
        <f t="shared" si="4"/>
        <v>26.780337297297297</v>
      </c>
    </row>
    <row r="281" spans="10:16" x14ac:dyDescent="0.35">
      <c r="J281" s="36">
        <v>45230</v>
      </c>
      <c r="K281" t="str">
        <v>AM</v>
      </c>
      <c r="L281" t="str">
        <v>October</v>
      </c>
      <c r="M281" t="str">
        <v>TUE</v>
      </c>
      <c r="N281">
        <v>3.2166666666666668</v>
      </c>
      <c r="O281">
        <v>71.073899999999995</v>
      </c>
      <c r="P281" s="22">
        <f t="shared" si="4"/>
        <v>22.095512953367873</v>
      </c>
    </row>
    <row r="282" spans="10:16" x14ac:dyDescent="0.35">
      <c r="J282" s="36">
        <v>45230</v>
      </c>
      <c r="K282" t="str">
        <v>PM</v>
      </c>
      <c r="L282" t="str">
        <v>October</v>
      </c>
      <c r="M282" t="str">
        <v>TUE</v>
      </c>
      <c r="N282">
        <v>3.6166666666666667</v>
      </c>
      <c r="O282">
        <v>94.832580000000007</v>
      </c>
      <c r="P282" s="22">
        <f t="shared" si="4"/>
        <v>26.220989861751153</v>
      </c>
    </row>
    <row r="283" spans="10:16" x14ac:dyDescent="0.35">
      <c r="J283" s="36">
        <v>45231</v>
      </c>
      <c r="K283" t="str">
        <v>AM</v>
      </c>
      <c r="L283" t="str">
        <v>November</v>
      </c>
      <c r="M283" t="str">
        <v>WED</v>
      </c>
      <c r="N283">
        <v>0</v>
      </c>
      <c r="O283">
        <v>0</v>
      </c>
      <c r="P283" s="22">
        <f t="shared" si="4"/>
        <v>0</v>
      </c>
    </row>
    <row r="284" spans="10:16" x14ac:dyDescent="0.35">
      <c r="J284" s="36">
        <v>45231</v>
      </c>
      <c r="K284" t="str">
        <v>PM</v>
      </c>
      <c r="L284" t="str">
        <v>November</v>
      </c>
      <c r="M284" t="str">
        <v>WED</v>
      </c>
      <c r="N284">
        <v>0</v>
      </c>
      <c r="O284">
        <v>0</v>
      </c>
      <c r="P284" s="22">
        <f t="shared" si="4"/>
        <v>0</v>
      </c>
    </row>
    <row r="285" spans="10:16" x14ac:dyDescent="0.35">
      <c r="J285" s="36">
        <v>45232</v>
      </c>
      <c r="K285" t="str">
        <v>AM</v>
      </c>
      <c r="L285" t="str">
        <v>November</v>
      </c>
      <c r="M285" t="str">
        <v>THU</v>
      </c>
      <c r="N285">
        <v>0</v>
      </c>
      <c r="O285">
        <v>0</v>
      </c>
      <c r="P285" s="22">
        <f t="shared" si="4"/>
        <v>0</v>
      </c>
    </row>
    <row r="286" spans="10:16" x14ac:dyDescent="0.35">
      <c r="J286" s="36">
        <v>45232</v>
      </c>
      <c r="K286" t="str">
        <v>PM</v>
      </c>
      <c r="L286" t="str">
        <v>November</v>
      </c>
      <c r="M286" t="str">
        <v>THU</v>
      </c>
      <c r="N286">
        <v>0</v>
      </c>
      <c r="O286">
        <v>0</v>
      </c>
      <c r="P286" s="22">
        <f t="shared" si="4"/>
        <v>0</v>
      </c>
    </row>
    <row r="287" spans="10:16" x14ac:dyDescent="0.35">
      <c r="J287" s="36">
        <v>45233</v>
      </c>
      <c r="K287" t="str">
        <v>AM</v>
      </c>
      <c r="L287" t="str">
        <v>November</v>
      </c>
      <c r="M287" t="str">
        <v>FRI</v>
      </c>
      <c r="N287">
        <v>0</v>
      </c>
      <c r="O287">
        <v>0</v>
      </c>
      <c r="P287" s="22">
        <f t="shared" si="4"/>
        <v>0</v>
      </c>
    </row>
    <row r="288" spans="10:16" x14ac:dyDescent="0.35">
      <c r="J288" s="36">
        <v>45233</v>
      </c>
      <c r="K288" t="str">
        <v>PM</v>
      </c>
      <c r="L288" t="str">
        <v>November</v>
      </c>
      <c r="M288" t="str">
        <v>FRI</v>
      </c>
      <c r="N288">
        <v>7.083333333333333</v>
      </c>
      <c r="O288">
        <v>333.18904399999997</v>
      </c>
      <c r="P288" s="22">
        <f t="shared" si="4"/>
        <v>47.038453270588235</v>
      </c>
    </row>
    <row r="289" spans="10:16" x14ac:dyDescent="0.35">
      <c r="J289" s="36">
        <v>45234</v>
      </c>
      <c r="K289" t="str">
        <v>AM</v>
      </c>
      <c r="L289" t="str">
        <v>November</v>
      </c>
      <c r="M289" t="str">
        <v>SAT</v>
      </c>
      <c r="N289">
        <v>0</v>
      </c>
      <c r="O289">
        <v>0</v>
      </c>
      <c r="P289" s="22">
        <f t="shared" si="4"/>
        <v>0</v>
      </c>
    </row>
    <row r="290" spans="10:16" x14ac:dyDescent="0.35">
      <c r="J290" s="36">
        <v>45234</v>
      </c>
      <c r="K290" t="str">
        <v>PM</v>
      </c>
      <c r="L290" t="str">
        <v>November</v>
      </c>
      <c r="M290" t="str">
        <v>SAT</v>
      </c>
      <c r="N290">
        <v>6.85</v>
      </c>
      <c r="O290">
        <v>194.315012</v>
      </c>
      <c r="P290" s="22">
        <f t="shared" si="4"/>
        <v>28.367155036496353</v>
      </c>
    </row>
    <row r="291" spans="10:16" x14ac:dyDescent="0.35">
      <c r="J291" s="36">
        <v>45235</v>
      </c>
      <c r="K291" t="str">
        <v>AM</v>
      </c>
      <c r="L291" t="str">
        <v>November</v>
      </c>
      <c r="M291" t="str">
        <v>SUN</v>
      </c>
      <c r="N291">
        <v>0</v>
      </c>
      <c r="O291">
        <v>0</v>
      </c>
      <c r="P291" s="22">
        <f t="shared" si="4"/>
        <v>0</v>
      </c>
    </row>
    <row r="292" spans="10:16" x14ac:dyDescent="0.35">
      <c r="J292" s="36">
        <v>45235</v>
      </c>
      <c r="K292" t="str">
        <v>PM</v>
      </c>
      <c r="L292" t="str">
        <v>November</v>
      </c>
      <c r="M292" t="str">
        <v>SUN</v>
      </c>
      <c r="N292">
        <v>0</v>
      </c>
      <c r="O292">
        <v>0</v>
      </c>
      <c r="P292" s="22">
        <f t="shared" si="4"/>
        <v>0</v>
      </c>
    </row>
    <row r="293" spans="10:16" x14ac:dyDescent="0.35">
      <c r="J293" s="36">
        <v>45236</v>
      </c>
      <c r="K293" t="str">
        <v>AM</v>
      </c>
      <c r="L293" t="str">
        <v>November</v>
      </c>
      <c r="M293" t="str">
        <v>MON</v>
      </c>
      <c r="N293">
        <v>0</v>
      </c>
      <c r="O293">
        <v>0</v>
      </c>
      <c r="P293" s="22">
        <f t="shared" si="4"/>
        <v>0</v>
      </c>
    </row>
    <row r="294" spans="10:16" x14ac:dyDescent="0.35">
      <c r="J294" s="36">
        <v>45236</v>
      </c>
      <c r="K294" t="str">
        <v>PM</v>
      </c>
      <c r="L294" t="str">
        <v>November</v>
      </c>
      <c r="M294" t="str">
        <v>MON</v>
      </c>
      <c r="N294">
        <v>6.4</v>
      </c>
      <c r="O294">
        <v>193.85134399999998</v>
      </c>
      <c r="P294" s="22">
        <f t="shared" si="4"/>
        <v>30.289272499999996</v>
      </c>
    </row>
    <row r="295" spans="10:16" x14ac:dyDescent="0.35">
      <c r="J295" s="36">
        <v>45237</v>
      </c>
      <c r="K295" t="str">
        <v>AM</v>
      </c>
      <c r="L295" t="str">
        <v>November</v>
      </c>
      <c r="M295" t="str">
        <v>TUE</v>
      </c>
      <c r="N295">
        <v>3.05</v>
      </c>
      <c r="O295">
        <v>98.136363999999986</v>
      </c>
      <c r="P295" s="22">
        <f t="shared" si="4"/>
        <v>32.175857049180323</v>
      </c>
    </row>
    <row r="296" spans="10:16" x14ac:dyDescent="0.35">
      <c r="J296" s="36">
        <v>45237</v>
      </c>
      <c r="K296" t="str">
        <v>PM</v>
      </c>
      <c r="L296" t="str">
        <v>November</v>
      </c>
      <c r="M296" t="str">
        <v>TUE</v>
      </c>
      <c r="N296">
        <v>5.0333333333333332</v>
      </c>
      <c r="O296">
        <v>176.85569600000002</v>
      </c>
      <c r="P296" s="22">
        <f t="shared" si="4"/>
        <v>35.136893245033122</v>
      </c>
    </row>
    <row r="297" spans="10:16" x14ac:dyDescent="0.35">
      <c r="J297" s="36">
        <v>45238</v>
      </c>
      <c r="K297" t="str">
        <v>AM</v>
      </c>
      <c r="L297" t="str">
        <v>November</v>
      </c>
      <c r="M297" t="str">
        <v>WED</v>
      </c>
      <c r="N297">
        <v>0</v>
      </c>
      <c r="O297">
        <v>0</v>
      </c>
      <c r="P297" s="22">
        <f t="shared" si="4"/>
        <v>0</v>
      </c>
    </row>
    <row r="298" spans="10:16" x14ac:dyDescent="0.35">
      <c r="J298" s="36">
        <v>45238</v>
      </c>
      <c r="K298" t="str">
        <v>PM</v>
      </c>
      <c r="L298" t="str">
        <v>November</v>
      </c>
      <c r="M298" t="str">
        <v>WED</v>
      </c>
      <c r="N298">
        <v>0</v>
      </c>
      <c r="O298">
        <v>0</v>
      </c>
      <c r="P298" s="22">
        <f t="shared" si="4"/>
        <v>0</v>
      </c>
    </row>
    <row r="299" spans="10:16" x14ac:dyDescent="0.35">
      <c r="J299" s="36">
        <v>45239</v>
      </c>
      <c r="K299" t="str">
        <v>AM</v>
      </c>
      <c r="L299" t="str">
        <v>November</v>
      </c>
      <c r="M299" t="str">
        <v>THU</v>
      </c>
      <c r="N299">
        <v>0</v>
      </c>
      <c r="O299">
        <v>0</v>
      </c>
      <c r="P299" s="22">
        <f t="shared" si="4"/>
        <v>0</v>
      </c>
    </row>
    <row r="300" spans="10:16" x14ac:dyDescent="0.35">
      <c r="J300" s="36">
        <v>45239</v>
      </c>
      <c r="K300" t="str">
        <v>PM</v>
      </c>
      <c r="L300" t="str">
        <v>November</v>
      </c>
      <c r="M300" t="str">
        <v>THU</v>
      </c>
      <c r="N300">
        <v>0</v>
      </c>
      <c r="O300">
        <v>0</v>
      </c>
      <c r="P300" s="22">
        <f t="shared" si="4"/>
        <v>0</v>
      </c>
    </row>
    <row r="301" spans="10:16" x14ac:dyDescent="0.35">
      <c r="J301" s="36">
        <v>45240</v>
      </c>
      <c r="K301" t="str">
        <v>AM</v>
      </c>
      <c r="L301" t="str">
        <v>November</v>
      </c>
      <c r="M301" t="str">
        <v>FRI</v>
      </c>
      <c r="N301">
        <v>0</v>
      </c>
      <c r="O301">
        <v>0</v>
      </c>
      <c r="P301" s="22">
        <f t="shared" si="4"/>
        <v>0</v>
      </c>
    </row>
    <row r="302" spans="10:16" x14ac:dyDescent="0.35">
      <c r="J302" s="36">
        <v>45240</v>
      </c>
      <c r="K302" t="str">
        <v>PM</v>
      </c>
      <c r="L302" t="str">
        <v>November</v>
      </c>
      <c r="M302" t="str">
        <v>FRI</v>
      </c>
      <c r="N302">
        <v>6.7666666666666666</v>
      </c>
      <c r="O302">
        <v>236.089088</v>
      </c>
      <c r="P302" s="22">
        <f t="shared" si="4"/>
        <v>34.890013004926111</v>
      </c>
    </row>
    <row r="303" spans="10:16" x14ac:dyDescent="0.35">
      <c r="J303" s="36">
        <v>45241</v>
      </c>
      <c r="K303" t="str">
        <v>AM</v>
      </c>
      <c r="L303" t="str">
        <v>November</v>
      </c>
      <c r="M303" t="str">
        <v>SAT</v>
      </c>
      <c r="N303">
        <v>0</v>
      </c>
      <c r="O303">
        <v>0</v>
      </c>
      <c r="P303" s="22">
        <f t="shared" si="4"/>
        <v>0</v>
      </c>
    </row>
    <row r="304" spans="10:16" x14ac:dyDescent="0.35">
      <c r="J304" s="36">
        <v>45241</v>
      </c>
      <c r="K304" t="str">
        <v>PM</v>
      </c>
      <c r="L304" t="str">
        <v>November</v>
      </c>
      <c r="M304" t="str">
        <v>SAT</v>
      </c>
      <c r="N304">
        <v>6.3166666666666664</v>
      </c>
      <c r="O304">
        <v>205.845732</v>
      </c>
      <c r="P304" s="22">
        <f t="shared" si="4"/>
        <v>32.58771482849604</v>
      </c>
    </row>
    <row r="305" spans="10:16" x14ac:dyDescent="0.35">
      <c r="J305" s="36">
        <v>45242</v>
      </c>
      <c r="K305" t="str">
        <v>AM</v>
      </c>
      <c r="L305" t="str">
        <v>November</v>
      </c>
      <c r="M305" t="str">
        <v>SUN</v>
      </c>
      <c r="N305">
        <v>0</v>
      </c>
      <c r="O305">
        <v>0</v>
      </c>
      <c r="P305" s="22">
        <f t="shared" si="4"/>
        <v>0</v>
      </c>
    </row>
    <row r="306" spans="10:16" x14ac:dyDescent="0.35">
      <c r="J306" s="36">
        <v>45242</v>
      </c>
      <c r="K306" t="str">
        <v>PM</v>
      </c>
      <c r="L306" t="str">
        <v>November</v>
      </c>
      <c r="M306" t="str">
        <v>SUN</v>
      </c>
      <c r="N306">
        <v>6.55</v>
      </c>
      <c r="O306">
        <v>210.13176400000003</v>
      </c>
      <c r="P306" s="22">
        <f t="shared" si="4"/>
        <v>32.081185343511457</v>
      </c>
    </row>
    <row r="307" spans="10:16" x14ac:dyDescent="0.35">
      <c r="J307" s="36">
        <v>45243</v>
      </c>
      <c r="K307" t="str">
        <v>AM</v>
      </c>
      <c r="L307" t="str">
        <v>November</v>
      </c>
      <c r="M307" t="str">
        <v>MON</v>
      </c>
      <c r="N307">
        <v>4.6333333333333337</v>
      </c>
      <c r="O307">
        <v>97.287064000000001</v>
      </c>
      <c r="P307" s="22">
        <f t="shared" si="4"/>
        <v>20.997208057553955</v>
      </c>
    </row>
    <row r="308" spans="10:16" x14ac:dyDescent="0.35">
      <c r="J308" s="36">
        <v>45243</v>
      </c>
      <c r="K308" t="str">
        <v>PM</v>
      </c>
      <c r="L308" t="str">
        <v>November</v>
      </c>
      <c r="M308" t="str">
        <v>MON</v>
      </c>
      <c r="N308">
        <v>0</v>
      </c>
      <c r="O308">
        <v>0</v>
      </c>
      <c r="P308" s="22">
        <f t="shared" si="4"/>
        <v>0</v>
      </c>
    </row>
    <row r="309" spans="10:16" x14ac:dyDescent="0.35">
      <c r="J309" s="36">
        <v>45244</v>
      </c>
      <c r="K309" t="str">
        <v>AM</v>
      </c>
      <c r="L309" t="str">
        <v>November</v>
      </c>
      <c r="M309" t="str">
        <v>TUE</v>
      </c>
      <c r="N309">
        <v>4.5333333333333332</v>
      </c>
      <c r="O309">
        <v>148.91745600000002</v>
      </c>
      <c r="P309" s="22">
        <f t="shared" si="4"/>
        <v>32.849438823529418</v>
      </c>
    </row>
    <row r="310" spans="10:16" x14ac:dyDescent="0.35">
      <c r="J310" s="36">
        <v>45244</v>
      </c>
      <c r="K310" t="str">
        <v>PM</v>
      </c>
      <c r="L310" t="str">
        <v>November</v>
      </c>
      <c r="M310" t="str">
        <v>TUE</v>
      </c>
      <c r="N310">
        <v>0</v>
      </c>
      <c r="O310">
        <v>0</v>
      </c>
      <c r="P310" s="22">
        <f t="shared" si="4"/>
        <v>0</v>
      </c>
    </row>
    <row r="311" spans="10:16" x14ac:dyDescent="0.35">
      <c r="J311" s="36">
        <v>45245</v>
      </c>
      <c r="K311" t="str">
        <v>AM</v>
      </c>
      <c r="L311" t="str">
        <v>November</v>
      </c>
      <c r="M311" t="str">
        <v>WED</v>
      </c>
      <c r="N311">
        <v>3.7666666666666666</v>
      </c>
      <c r="O311">
        <v>106.313872</v>
      </c>
      <c r="P311" s="22">
        <f t="shared" si="4"/>
        <v>28.224921769911507</v>
      </c>
    </row>
    <row r="312" spans="10:16" x14ac:dyDescent="0.35">
      <c r="J312" s="36">
        <v>45245</v>
      </c>
      <c r="K312" t="str">
        <v>PM</v>
      </c>
      <c r="L312" t="str">
        <v>November</v>
      </c>
      <c r="M312" t="str">
        <v>WED</v>
      </c>
      <c r="N312">
        <v>0</v>
      </c>
      <c r="O312">
        <v>0</v>
      </c>
      <c r="P312" s="22">
        <f t="shared" si="4"/>
        <v>0</v>
      </c>
    </row>
    <row r="313" spans="10:16" x14ac:dyDescent="0.35">
      <c r="J313" s="36">
        <v>45246</v>
      </c>
      <c r="K313" t="str">
        <v>AM</v>
      </c>
      <c r="L313" t="str">
        <v>November</v>
      </c>
      <c r="M313" t="str">
        <v>THU</v>
      </c>
      <c r="N313">
        <v>0</v>
      </c>
      <c r="O313">
        <v>0</v>
      </c>
      <c r="P313" s="22">
        <f t="shared" si="4"/>
        <v>0</v>
      </c>
    </row>
    <row r="314" spans="10:16" x14ac:dyDescent="0.35">
      <c r="J314" s="36">
        <v>45246</v>
      </c>
      <c r="K314" t="str">
        <v>PM</v>
      </c>
      <c r="L314" t="str">
        <v>November</v>
      </c>
      <c r="M314" t="str">
        <v>THU</v>
      </c>
      <c r="N314">
        <v>0</v>
      </c>
      <c r="O314">
        <v>0</v>
      </c>
      <c r="P314" s="22">
        <f t="shared" si="4"/>
        <v>0</v>
      </c>
    </row>
    <row r="315" spans="10:16" x14ac:dyDescent="0.35">
      <c r="J315" s="36">
        <v>45247</v>
      </c>
      <c r="K315" t="str">
        <v>AM</v>
      </c>
      <c r="L315" t="str">
        <v>November</v>
      </c>
      <c r="M315" t="str">
        <v>FRI</v>
      </c>
      <c r="N315">
        <v>0</v>
      </c>
      <c r="O315">
        <v>0</v>
      </c>
      <c r="P315" s="22">
        <f t="shared" si="4"/>
        <v>0</v>
      </c>
    </row>
    <row r="316" spans="10:16" x14ac:dyDescent="0.35">
      <c r="J316" s="36">
        <v>45247</v>
      </c>
      <c r="K316" t="str">
        <v>PM</v>
      </c>
      <c r="L316" t="str">
        <v>November</v>
      </c>
      <c r="M316" t="str">
        <v>FRI</v>
      </c>
      <c r="N316">
        <v>5.85</v>
      </c>
      <c r="O316">
        <v>162.82282000000001</v>
      </c>
      <c r="P316" s="22">
        <f t="shared" si="4"/>
        <v>27.832960683760685</v>
      </c>
    </row>
    <row r="317" spans="10:16" x14ac:dyDescent="0.35">
      <c r="J317" s="36">
        <v>45248</v>
      </c>
      <c r="K317" t="str">
        <v>AM</v>
      </c>
      <c r="L317" t="str">
        <v>November</v>
      </c>
      <c r="M317" t="str">
        <v>SAT</v>
      </c>
      <c r="N317">
        <v>0</v>
      </c>
      <c r="O317">
        <v>0</v>
      </c>
      <c r="P317" s="22">
        <f t="shared" si="4"/>
        <v>0</v>
      </c>
    </row>
    <row r="318" spans="10:16" x14ac:dyDescent="0.35">
      <c r="J318" s="36">
        <v>45248</v>
      </c>
      <c r="K318" t="str">
        <v>PM</v>
      </c>
      <c r="L318" t="str">
        <v>November</v>
      </c>
      <c r="M318" t="str">
        <v>SAT</v>
      </c>
      <c r="N318">
        <v>4.583333333333333</v>
      </c>
      <c r="O318">
        <v>210.67860399999998</v>
      </c>
      <c r="P318" s="22">
        <f t="shared" si="4"/>
        <v>45.966240872727269</v>
      </c>
    </row>
    <row r="319" spans="10:16" x14ac:dyDescent="0.35">
      <c r="J319" s="36">
        <v>45249</v>
      </c>
      <c r="K319" t="str">
        <v>AM</v>
      </c>
      <c r="L319" t="str">
        <v>November</v>
      </c>
      <c r="M319" t="str">
        <v>SUN</v>
      </c>
      <c r="N319">
        <v>0</v>
      </c>
      <c r="O319">
        <v>0</v>
      </c>
      <c r="P319" s="22">
        <f t="shared" si="4"/>
        <v>0</v>
      </c>
    </row>
    <row r="320" spans="10:16" x14ac:dyDescent="0.35">
      <c r="J320" s="36">
        <v>45249</v>
      </c>
      <c r="K320" t="str">
        <v>PM</v>
      </c>
      <c r="L320" t="str">
        <v>November</v>
      </c>
      <c r="M320" t="str">
        <v>SUN</v>
      </c>
      <c r="N320">
        <v>0</v>
      </c>
      <c r="O320">
        <v>0</v>
      </c>
      <c r="P320" s="22">
        <f t="shared" si="4"/>
        <v>0</v>
      </c>
    </row>
    <row r="321" spans="10:16" x14ac:dyDescent="0.35">
      <c r="J321" s="36">
        <v>45250</v>
      </c>
      <c r="K321" t="str">
        <v>AM</v>
      </c>
      <c r="L321" t="str">
        <v>November</v>
      </c>
      <c r="M321" t="str">
        <v>MON</v>
      </c>
      <c r="N321">
        <v>0</v>
      </c>
      <c r="O321">
        <v>0</v>
      </c>
      <c r="P321" s="22">
        <f t="shared" si="4"/>
        <v>0</v>
      </c>
    </row>
    <row r="322" spans="10:16" x14ac:dyDescent="0.35">
      <c r="J322" s="36">
        <v>45250</v>
      </c>
      <c r="K322" t="str">
        <v>PM</v>
      </c>
      <c r="L322" t="str">
        <v>November</v>
      </c>
      <c r="M322" t="str">
        <v>MON</v>
      </c>
      <c r="N322">
        <v>6.45</v>
      </c>
      <c r="O322">
        <v>246.31573199999997</v>
      </c>
      <c r="P322" s="22">
        <f t="shared" si="4"/>
        <v>38.188485581395341</v>
      </c>
    </row>
    <row r="323" spans="10:16" x14ac:dyDescent="0.35">
      <c r="J323" s="36">
        <v>45251</v>
      </c>
      <c r="K323" t="str">
        <v>AM</v>
      </c>
      <c r="L323" t="str">
        <v>November</v>
      </c>
      <c r="M323" t="str">
        <v>TUE</v>
      </c>
      <c r="N323">
        <v>3.25</v>
      </c>
      <c r="O323">
        <v>69.237492000000003</v>
      </c>
      <c r="P323" s="22">
        <f t="shared" si="4"/>
        <v>21.303843692307694</v>
      </c>
    </row>
    <row r="324" spans="10:16" x14ac:dyDescent="0.35">
      <c r="J324" s="36">
        <v>45251</v>
      </c>
      <c r="K324" t="str">
        <v>PM</v>
      </c>
      <c r="L324" t="str">
        <v>November</v>
      </c>
      <c r="M324" t="str">
        <v>TUE</v>
      </c>
      <c r="N324">
        <v>4.75</v>
      </c>
      <c r="O324">
        <v>241.88926000000001</v>
      </c>
      <c r="P324" s="22">
        <f t="shared" ref="P324:P387" si="5">IFERROR(O324/N324,0)</f>
        <v>50.924054736842109</v>
      </c>
    </row>
    <row r="325" spans="10:16" x14ac:dyDescent="0.35">
      <c r="J325" s="36">
        <v>45252</v>
      </c>
      <c r="K325" t="str">
        <v>AM</v>
      </c>
      <c r="L325" t="str">
        <v>November</v>
      </c>
      <c r="M325" t="str">
        <v>WED</v>
      </c>
      <c r="N325">
        <v>4.583333333333333</v>
      </c>
      <c r="O325">
        <v>48.530916000000005</v>
      </c>
      <c r="P325" s="22">
        <f t="shared" si="5"/>
        <v>10.588563490909092</v>
      </c>
    </row>
    <row r="326" spans="10:16" x14ac:dyDescent="0.35">
      <c r="J326" s="36">
        <v>45252</v>
      </c>
      <c r="K326" t="str">
        <v>PM</v>
      </c>
      <c r="L326" t="str">
        <v>November</v>
      </c>
      <c r="M326" t="str">
        <v>WED</v>
      </c>
      <c r="N326">
        <v>0</v>
      </c>
      <c r="O326">
        <v>0</v>
      </c>
      <c r="P326" s="22">
        <f t="shared" si="5"/>
        <v>0</v>
      </c>
    </row>
    <row r="327" spans="10:16" x14ac:dyDescent="0.35">
      <c r="J327" s="36">
        <v>45253</v>
      </c>
      <c r="K327" t="str">
        <v>AM</v>
      </c>
      <c r="L327" t="str">
        <v>November</v>
      </c>
      <c r="M327" t="str">
        <v>THU</v>
      </c>
      <c r="N327">
        <v>0</v>
      </c>
      <c r="O327">
        <v>0</v>
      </c>
      <c r="P327" s="22">
        <f t="shared" si="5"/>
        <v>0</v>
      </c>
    </row>
    <row r="328" spans="10:16" x14ac:dyDescent="0.35">
      <c r="J328" s="36">
        <v>45253</v>
      </c>
      <c r="K328" t="str">
        <v>PM</v>
      </c>
      <c r="L328" t="str">
        <v>November</v>
      </c>
      <c r="M328" t="str">
        <v>THU</v>
      </c>
      <c r="N328">
        <v>0</v>
      </c>
      <c r="O328">
        <v>0</v>
      </c>
      <c r="P328" s="22">
        <f t="shared" si="5"/>
        <v>0</v>
      </c>
    </row>
    <row r="329" spans="10:16" x14ac:dyDescent="0.35">
      <c r="J329" s="36">
        <v>45254</v>
      </c>
      <c r="K329" t="str">
        <v>AM</v>
      </c>
      <c r="L329" t="str">
        <v>November</v>
      </c>
      <c r="M329" t="str">
        <v>FRI</v>
      </c>
      <c r="N329">
        <v>0</v>
      </c>
      <c r="O329">
        <v>0</v>
      </c>
      <c r="P329" s="22">
        <f t="shared" si="5"/>
        <v>0</v>
      </c>
    </row>
    <row r="330" spans="10:16" x14ac:dyDescent="0.35">
      <c r="J330" s="36">
        <v>45254</v>
      </c>
      <c r="K330" t="str">
        <v>PM</v>
      </c>
      <c r="L330" t="str">
        <v>November</v>
      </c>
      <c r="M330" t="str">
        <v>FRI</v>
      </c>
      <c r="N330">
        <v>4.3</v>
      </c>
      <c r="O330">
        <v>124.98876000000001</v>
      </c>
      <c r="P330" s="22">
        <f t="shared" si="5"/>
        <v>29.067153488372096</v>
      </c>
    </row>
    <row r="331" spans="10:16" x14ac:dyDescent="0.35">
      <c r="J331" s="36">
        <v>45255</v>
      </c>
      <c r="K331" t="str">
        <v>AM</v>
      </c>
      <c r="L331" t="str">
        <v>November</v>
      </c>
      <c r="M331" t="str">
        <v>SAT</v>
      </c>
      <c r="N331">
        <v>0</v>
      </c>
      <c r="O331">
        <v>0</v>
      </c>
      <c r="P331" s="22">
        <f t="shared" si="5"/>
        <v>0</v>
      </c>
    </row>
    <row r="332" spans="10:16" x14ac:dyDescent="0.35">
      <c r="J332" s="36">
        <v>45255</v>
      </c>
      <c r="K332" t="str">
        <v>PM</v>
      </c>
      <c r="L332" t="str">
        <v>November</v>
      </c>
      <c r="M332" t="str">
        <v>SAT</v>
      </c>
      <c r="N332">
        <v>0</v>
      </c>
      <c r="O332">
        <v>0</v>
      </c>
      <c r="P332" s="22">
        <f t="shared" si="5"/>
        <v>0</v>
      </c>
    </row>
    <row r="333" spans="10:16" x14ac:dyDescent="0.35">
      <c r="J333" s="36">
        <v>45256</v>
      </c>
      <c r="K333" t="str">
        <v>AM</v>
      </c>
      <c r="L333" t="str">
        <v>November</v>
      </c>
      <c r="M333" t="str">
        <v>SUN</v>
      </c>
      <c r="N333">
        <v>0</v>
      </c>
      <c r="O333">
        <v>0</v>
      </c>
      <c r="P333" s="22">
        <f t="shared" si="5"/>
        <v>0</v>
      </c>
    </row>
    <row r="334" spans="10:16" x14ac:dyDescent="0.35">
      <c r="J334" s="36">
        <v>45256</v>
      </c>
      <c r="K334" t="str">
        <v>PM</v>
      </c>
      <c r="L334" t="str">
        <v>November</v>
      </c>
      <c r="M334" t="str">
        <v>SUN</v>
      </c>
      <c r="N334">
        <v>0</v>
      </c>
      <c r="O334">
        <v>0</v>
      </c>
      <c r="P334" s="22">
        <f t="shared" si="5"/>
        <v>0</v>
      </c>
    </row>
    <row r="335" spans="10:16" x14ac:dyDescent="0.35">
      <c r="J335" s="36">
        <v>45257</v>
      </c>
      <c r="K335" t="str">
        <v>AM</v>
      </c>
      <c r="L335" t="str">
        <v>November</v>
      </c>
      <c r="M335" t="str">
        <v>MON</v>
      </c>
      <c r="N335">
        <v>0</v>
      </c>
      <c r="O335">
        <v>0</v>
      </c>
      <c r="P335" s="22">
        <f t="shared" si="5"/>
        <v>0</v>
      </c>
    </row>
    <row r="336" spans="10:16" x14ac:dyDescent="0.35">
      <c r="J336" s="36">
        <v>45257</v>
      </c>
      <c r="K336" t="str">
        <v>PM</v>
      </c>
      <c r="L336" t="str">
        <v>November</v>
      </c>
      <c r="M336" t="str">
        <v>MON</v>
      </c>
      <c r="N336">
        <v>5.2666666666666666</v>
      </c>
      <c r="O336">
        <v>92.886856000000009</v>
      </c>
      <c r="P336" s="22">
        <f t="shared" si="5"/>
        <v>17.636744810126583</v>
      </c>
    </row>
    <row r="337" spans="10:16" x14ac:dyDescent="0.35">
      <c r="J337" s="36">
        <v>45258</v>
      </c>
      <c r="K337" t="str">
        <v>AM</v>
      </c>
      <c r="L337" t="str">
        <v>November</v>
      </c>
      <c r="M337" t="str">
        <v>TUE</v>
      </c>
      <c r="N337">
        <v>4.5</v>
      </c>
      <c r="O337">
        <v>86.225679999999997</v>
      </c>
      <c r="P337" s="22">
        <f t="shared" si="5"/>
        <v>19.16126222222222</v>
      </c>
    </row>
    <row r="338" spans="10:16" x14ac:dyDescent="0.35">
      <c r="J338" s="36">
        <v>45258</v>
      </c>
      <c r="K338" t="str">
        <v>PM</v>
      </c>
      <c r="L338" t="str">
        <v>November</v>
      </c>
      <c r="M338" t="str">
        <v>TUE</v>
      </c>
      <c r="N338">
        <v>0</v>
      </c>
      <c r="O338">
        <v>0</v>
      </c>
      <c r="P338" s="22">
        <f t="shared" si="5"/>
        <v>0</v>
      </c>
    </row>
    <row r="339" spans="10:16" x14ac:dyDescent="0.35">
      <c r="J339" s="36">
        <v>45259</v>
      </c>
      <c r="K339" t="str">
        <v>AM</v>
      </c>
      <c r="L339" t="str">
        <v>November</v>
      </c>
      <c r="M339" t="str">
        <v>WED</v>
      </c>
      <c r="N339">
        <v>0</v>
      </c>
      <c r="O339">
        <v>0</v>
      </c>
      <c r="P339" s="22">
        <f t="shared" si="5"/>
        <v>0</v>
      </c>
    </row>
    <row r="340" spans="10:16" x14ac:dyDescent="0.35">
      <c r="J340" s="36">
        <v>45259</v>
      </c>
      <c r="K340" t="str">
        <v>PM</v>
      </c>
      <c r="L340" t="str">
        <v>November</v>
      </c>
      <c r="M340" t="str">
        <v>WED</v>
      </c>
      <c r="N340">
        <v>0</v>
      </c>
      <c r="O340">
        <v>0</v>
      </c>
      <c r="P340" s="22">
        <f t="shared" si="5"/>
        <v>0</v>
      </c>
    </row>
    <row r="341" spans="10:16" x14ac:dyDescent="0.35">
      <c r="J341" s="36">
        <v>45260</v>
      </c>
      <c r="K341" t="str">
        <v>AM</v>
      </c>
      <c r="L341" t="str">
        <v>November</v>
      </c>
      <c r="M341" t="str">
        <v>THU</v>
      </c>
      <c r="N341">
        <v>0</v>
      </c>
      <c r="O341">
        <v>0</v>
      </c>
      <c r="P341" s="22">
        <f t="shared" si="5"/>
        <v>0</v>
      </c>
    </row>
    <row r="342" spans="10:16" x14ac:dyDescent="0.35">
      <c r="J342" s="36">
        <v>45260</v>
      </c>
      <c r="K342" t="str">
        <v>PM</v>
      </c>
      <c r="L342" t="str">
        <v>November</v>
      </c>
      <c r="M342" t="str">
        <v>THU</v>
      </c>
      <c r="N342">
        <v>3.8833333333333333</v>
      </c>
      <c r="O342">
        <v>83.191628000000009</v>
      </c>
      <c r="P342" s="22">
        <f t="shared" si="5"/>
        <v>21.422736824034338</v>
      </c>
    </row>
    <row r="343" spans="10:16" x14ac:dyDescent="0.35">
      <c r="J343" s="36">
        <v>45261</v>
      </c>
      <c r="K343" t="str">
        <v>AM</v>
      </c>
      <c r="L343" t="str">
        <v>December</v>
      </c>
      <c r="M343" t="str">
        <v>FRI</v>
      </c>
      <c r="N343">
        <v>0</v>
      </c>
      <c r="O343">
        <v>0</v>
      </c>
      <c r="P343" s="22">
        <f t="shared" si="5"/>
        <v>0</v>
      </c>
    </row>
    <row r="344" spans="10:16" x14ac:dyDescent="0.35">
      <c r="J344" s="36">
        <v>45261</v>
      </c>
      <c r="K344" t="str">
        <v>PM</v>
      </c>
      <c r="L344" t="str">
        <v>December</v>
      </c>
      <c r="M344" t="str">
        <v>FRI</v>
      </c>
      <c r="N344">
        <v>5.55</v>
      </c>
      <c r="O344">
        <v>178.117964</v>
      </c>
      <c r="P344" s="22">
        <f t="shared" si="5"/>
        <v>32.09332684684685</v>
      </c>
    </row>
    <row r="345" spans="10:16" x14ac:dyDescent="0.35">
      <c r="J345" s="36">
        <v>45262</v>
      </c>
      <c r="K345" t="str">
        <v>AM</v>
      </c>
      <c r="L345" t="str">
        <v>December</v>
      </c>
      <c r="M345" t="str">
        <v>SAT</v>
      </c>
      <c r="N345">
        <v>0</v>
      </c>
      <c r="O345">
        <v>0</v>
      </c>
      <c r="P345" s="22">
        <f t="shared" si="5"/>
        <v>0</v>
      </c>
    </row>
    <row r="346" spans="10:16" x14ac:dyDescent="0.35">
      <c r="J346" s="36">
        <v>45262</v>
      </c>
      <c r="K346" t="str">
        <v>PM</v>
      </c>
      <c r="L346" t="str">
        <v>December</v>
      </c>
      <c r="M346" t="str">
        <v>SAT</v>
      </c>
      <c r="N346">
        <v>0</v>
      </c>
      <c r="O346">
        <v>0</v>
      </c>
      <c r="P346" s="22">
        <f t="shared" si="5"/>
        <v>0</v>
      </c>
    </row>
    <row r="347" spans="10:16" x14ac:dyDescent="0.35">
      <c r="J347" s="36">
        <v>45263</v>
      </c>
      <c r="K347" t="str">
        <v>AM</v>
      </c>
      <c r="L347" t="str">
        <v>December</v>
      </c>
      <c r="M347" t="str">
        <v>SUN</v>
      </c>
      <c r="N347">
        <v>0</v>
      </c>
      <c r="O347">
        <v>0</v>
      </c>
      <c r="P347" s="22">
        <f t="shared" si="5"/>
        <v>0</v>
      </c>
    </row>
    <row r="348" spans="10:16" x14ac:dyDescent="0.35">
      <c r="J348" s="36">
        <v>45263</v>
      </c>
      <c r="K348" t="str">
        <v>PM</v>
      </c>
      <c r="L348" t="str">
        <v>December</v>
      </c>
      <c r="M348" t="str">
        <v>SUN</v>
      </c>
      <c r="N348">
        <v>4.4833333333333334</v>
      </c>
      <c r="O348">
        <v>201.53945999999999</v>
      </c>
      <c r="P348" s="22">
        <f t="shared" si="5"/>
        <v>44.953039405204457</v>
      </c>
    </row>
    <row r="349" spans="10:16" x14ac:dyDescent="0.35">
      <c r="J349" s="36">
        <v>45264</v>
      </c>
      <c r="K349" t="str">
        <v>AM</v>
      </c>
      <c r="L349" t="str">
        <v>December</v>
      </c>
      <c r="M349" t="str">
        <v>MON</v>
      </c>
      <c r="N349">
        <v>0</v>
      </c>
      <c r="O349">
        <v>0</v>
      </c>
      <c r="P349" s="22">
        <f t="shared" si="5"/>
        <v>0</v>
      </c>
    </row>
    <row r="350" spans="10:16" x14ac:dyDescent="0.35">
      <c r="J350" s="36">
        <v>45264</v>
      </c>
      <c r="K350" t="str">
        <v>PM</v>
      </c>
      <c r="L350" t="str">
        <v>December</v>
      </c>
      <c r="M350" t="str">
        <v>MON</v>
      </c>
      <c r="N350">
        <v>5.2</v>
      </c>
      <c r="O350">
        <v>85.968488000000008</v>
      </c>
      <c r="P350" s="22">
        <f t="shared" si="5"/>
        <v>16.532401538461539</v>
      </c>
    </row>
    <row r="351" spans="10:16" x14ac:dyDescent="0.35">
      <c r="J351" s="36">
        <v>45265</v>
      </c>
      <c r="K351" t="str">
        <v>AM</v>
      </c>
      <c r="L351" t="str">
        <v>December</v>
      </c>
      <c r="M351" t="str">
        <v>TUE</v>
      </c>
      <c r="N351">
        <v>0</v>
      </c>
      <c r="O351">
        <v>0</v>
      </c>
      <c r="P351" s="22">
        <f t="shared" si="5"/>
        <v>0</v>
      </c>
    </row>
    <row r="352" spans="10:16" x14ac:dyDescent="0.35">
      <c r="J352" s="36">
        <v>45265</v>
      </c>
      <c r="K352" t="str">
        <v>PM</v>
      </c>
      <c r="L352" t="str">
        <v>December</v>
      </c>
      <c r="M352" t="str">
        <v>TUE</v>
      </c>
      <c r="N352">
        <v>0</v>
      </c>
      <c r="O352">
        <v>0</v>
      </c>
      <c r="P352" s="22">
        <f t="shared" si="5"/>
        <v>0</v>
      </c>
    </row>
    <row r="353" spans="10:16" x14ac:dyDescent="0.35">
      <c r="J353" s="36">
        <v>45266</v>
      </c>
      <c r="K353" t="str">
        <v>AM</v>
      </c>
      <c r="L353" t="str">
        <v>December</v>
      </c>
      <c r="M353" t="str">
        <v>WED</v>
      </c>
      <c r="N353">
        <v>4.5166666666666666</v>
      </c>
      <c r="O353">
        <v>107.33346</v>
      </c>
      <c r="P353" s="22">
        <f t="shared" si="5"/>
        <v>23.763865682656828</v>
      </c>
    </row>
    <row r="354" spans="10:16" x14ac:dyDescent="0.35">
      <c r="J354" s="36">
        <v>45266</v>
      </c>
      <c r="K354" t="str">
        <v>PM</v>
      </c>
      <c r="L354" t="str">
        <v>December</v>
      </c>
      <c r="M354" t="str">
        <v>WED</v>
      </c>
      <c r="N354">
        <v>0</v>
      </c>
      <c r="O354">
        <v>0</v>
      </c>
      <c r="P354" s="22">
        <f t="shared" si="5"/>
        <v>0</v>
      </c>
    </row>
    <row r="355" spans="10:16" x14ac:dyDescent="0.35">
      <c r="J355" s="36">
        <v>45267</v>
      </c>
      <c r="K355" t="str">
        <v>AM</v>
      </c>
      <c r="L355" t="str">
        <v>December</v>
      </c>
      <c r="M355" t="str">
        <v>THU</v>
      </c>
      <c r="N355">
        <v>0</v>
      </c>
      <c r="O355">
        <v>0</v>
      </c>
      <c r="P355" s="22">
        <f t="shared" si="5"/>
        <v>0</v>
      </c>
    </row>
    <row r="356" spans="10:16" x14ac:dyDescent="0.35">
      <c r="J356" s="36">
        <v>45267</v>
      </c>
      <c r="K356" t="str">
        <v>PM</v>
      </c>
      <c r="L356" t="str">
        <v>December</v>
      </c>
      <c r="M356" t="str">
        <v>THU</v>
      </c>
      <c r="N356">
        <v>0</v>
      </c>
      <c r="O356">
        <v>0</v>
      </c>
      <c r="P356" s="22">
        <f t="shared" si="5"/>
        <v>0</v>
      </c>
    </row>
    <row r="357" spans="10:16" x14ac:dyDescent="0.35">
      <c r="J357" s="36">
        <v>45268</v>
      </c>
      <c r="K357" t="str">
        <v>AM</v>
      </c>
      <c r="L357" t="str">
        <v>December</v>
      </c>
      <c r="M357" t="str">
        <v>FRI</v>
      </c>
      <c r="N357">
        <v>0</v>
      </c>
      <c r="O357">
        <v>0</v>
      </c>
      <c r="P357" s="22">
        <f t="shared" si="5"/>
        <v>0</v>
      </c>
    </row>
    <row r="358" spans="10:16" x14ac:dyDescent="0.35">
      <c r="J358" s="36">
        <v>45268</v>
      </c>
      <c r="K358" t="str">
        <v>PM</v>
      </c>
      <c r="L358" t="str">
        <v>December</v>
      </c>
      <c r="M358" t="str">
        <v>FRI</v>
      </c>
      <c r="N358">
        <v>5.3</v>
      </c>
      <c r="O358">
        <v>260.403952</v>
      </c>
      <c r="P358" s="22">
        <f t="shared" si="5"/>
        <v>49.132821132075478</v>
      </c>
    </row>
    <row r="359" spans="10:16" x14ac:dyDescent="0.35">
      <c r="J359" s="36">
        <v>45269</v>
      </c>
      <c r="K359" t="str">
        <v>AM</v>
      </c>
      <c r="L359" t="str">
        <v>December</v>
      </c>
      <c r="M359" t="str">
        <v>SAT</v>
      </c>
      <c r="N359">
        <v>2.9333333333333331</v>
      </c>
      <c r="O359">
        <v>58.094623999999996</v>
      </c>
      <c r="P359" s="22">
        <f t="shared" si="5"/>
        <v>19.804985454545456</v>
      </c>
    </row>
    <row r="360" spans="10:16" x14ac:dyDescent="0.35">
      <c r="J360" s="36">
        <v>45269</v>
      </c>
      <c r="K360" t="str">
        <v>PM</v>
      </c>
      <c r="L360" t="str">
        <v>December</v>
      </c>
      <c r="M360" t="str">
        <v>SAT</v>
      </c>
      <c r="N360">
        <v>4.8833333333333337</v>
      </c>
      <c r="O360">
        <v>172.93660399999999</v>
      </c>
      <c r="P360" s="22">
        <f t="shared" si="5"/>
        <v>35.413639044368594</v>
      </c>
    </row>
    <row r="361" spans="10:16" x14ac:dyDescent="0.35">
      <c r="J361" s="36">
        <v>45270</v>
      </c>
      <c r="K361" t="str">
        <v>AM</v>
      </c>
      <c r="L361" t="str">
        <v>December</v>
      </c>
      <c r="M361" t="str">
        <v>SUN</v>
      </c>
      <c r="N361">
        <v>0</v>
      </c>
      <c r="O361">
        <v>0</v>
      </c>
      <c r="P361" s="22">
        <f t="shared" si="5"/>
        <v>0</v>
      </c>
    </row>
    <row r="362" spans="10:16" x14ac:dyDescent="0.35">
      <c r="J362" s="36">
        <v>45270</v>
      </c>
      <c r="K362" t="str">
        <v>PM</v>
      </c>
      <c r="L362" t="str">
        <v>December</v>
      </c>
      <c r="M362" t="str">
        <v>SUN</v>
      </c>
      <c r="N362">
        <v>0</v>
      </c>
      <c r="O362">
        <v>0</v>
      </c>
      <c r="P362" s="22">
        <f t="shared" si="5"/>
        <v>0</v>
      </c>
    </row>
    <row r="363" spans="10:16" x14ac:dyDescent="0.35">
      <c r="J363" s="36">
        <v>45271</v>
      </c>
      <c r="K363" t="str">
        <v>AM</v>
      </c>
      <c r="L363" t="str">
        <v>December</v>
      </c>
      <c r="M363" t="str">
        <v>MON</v>
      </c>
      <c r="N363">
        <v>0</v>
      </c>
      <c r="O363">
        <v>0</v>
      </c>
      <c r="P363" s="22">
        <f t="shared" si="5"/>
        <v>0</v>
      </c>
    </row>
    <row r="364" spans="10:16" x14ac:dyDescent="0.35">
      <c r="J364" s="36">
        <v>45271</v>
      </c>
      <c r="K364" t="str">
        <v>PM</v>
      </c>
      <c r="L364" t="str">
        <v>December</v>
      </c>
      <c r="M364" t="str">
        <v>MON</v>
      </c>
      <c r="N364">
        <v>4.166666666666667</v>
      </c>
      <c r="O364">
        <v>180.80057600000001</v>
      </c>
      <c r="P364" s="22">
        <f t="shared" si="5"/>
        <v>43.392138240000001</v>
      </c>
    </row>
    <row r="365" spans="10:16" x14ac:dyDescent="0.35">
      <c r="J365" s="36">
        <v>45272</v>
      </c>
      <c r="K365" t="str">
        <v>AM</v>
      </c>
      <c r="L365" t="str">
        <v>December</v>
      </c>
      <c r="M365" t="str">
        <v>TUE</v>
      </c>
      <c r="N365">
        <v>0</v>
      </c>
      <c r="O365">
        <v>0</v>
      </c>
      <c r="P365" s="22">
        <f t="shared" si="5"/>
        <v>0</v>
      </c>
    </row>
    <row r="366" spans="10:16" x14ac:dyDescent="0.35">
      <c r="J366" s="36">
        <v>45272</v>
      </c>
      <c r="K366" t="str">
        <v>PM</v>
      </c>
      <c r="L366" t="str">
        <v>December</v>
      </c>
      <c r="M366" t="str">
        <v>TUE</v>
      </c>
      <c r="N366">
        <v>0</v>
      </c>
      <c r="O366">
        <v>0</v>
      </c>
      <c r="P366" s="22">
        <f t="shared" si="5"/>
        <v>0</v>
      </c>
    </row>
    <row r="367" spans="10:16" x14ac:dyDescent="0.35">
      <c r="J367" s="36">
        <v>45273</v>
      </c>
      <c r="K367" t="str">
        <v>AM</v>
      </c>
      <c r="L367" t="str">
        <v>December</v>
      </c>
      <c r="M367" t="str">
        <v>WED</v>
      </c>
      <c r="N367">
        <v>5.1333333333333337</v>
      </c>
      <c r="O367">
        <v>127.98885600000001</v>
      </c>
      <c r="P367" s="22">
        <f t="shared" si="5"/>
        <v>24.932894025974026</v>
      </c>
    </row>
    <row r="368" spans="10:16" x14ac:dyDescent="0.35">
      <c r="J368" s="36">
        <v>45273</v>
      </c>
      <c r="K368" t="str">
        <v>PM</v>
      </c>
      <c r="L368" t="str">
        <v>December</v>
      </c>
      <c r="M368" t="str">
        <v>WED</v>
      </c>
      <c r="N368">
        <v>0</v>
      </c>
      <c r="O368">
        <v>0</v>
      </c>
      <c r="P368" s="22">
        <f t="shared" si="5"/>
        <v>0</v>
      </c>
    </row>
    <row r="369" spans="10:16" x14ac:dyDescent="0.35">
      <c r="J369" s="36">
        <v>45274</v>
      </c>
      <c r="K369" t="str">
        <v>AM</v>
      </c>
      <c r="L369" t="str">
        <v>December</v>
      </c>
      <c r="M369" t="str">
        <v>THU</v>
      </c>
      <c r="N369">
        <v>0</v>
      </c>
      <c r="O369">
        <v>0</v>
      </c>
      <c r="P369" s="22">
        <f t="shared" si="5"/>
        <v>0</v>
      </c>
    </row>
    <row r="370" spans="10:16" x14ac:dyDescent="0.35">
      <c r="J370" s="36">
        <v>45274</v>
      </c>
      <c r="K370" t="str">
        <v>PM</v>
      </c>
      <c r="L370" t="str">
        <v>December</v>
      </c>
      <c r="M370" t="str">
        <v>THU</v>
      </c>
      <c r="N370">
        <v>0</v>
      </c>
      <c r="O370">
        <v>0</v>
      </c>
      <c r="P370" s="22">
        <f t="shared" si="5"/>
        <v>0</v>
      </c>
    </row>
    <row r="371" spans="10:16" x14ac:dyDescent="0.35">
      <c r="J371" s="36">
        <v>45275</v>
      </c>
      <c r="K371" t="str">
        <v>AM</v>
      </c>
      <c r="L371" t="str">
        <v>December</v>
      </c>
      <c r="M371" t="str">
        <v>FRI</v>
      </c>
      <c r="N371">
        <v>0</v>
      </c>
      <c r="O371">
        <v>0</v>
      </c>
      <c r="P371" s="22">
        <f t="shared" si="5"/>
        <v>0</v>
      </c>
    </row>
    <row r="372" spans="10:16" x14ac:dyDescent="0.35">
      <c r="J372" s="36">
        <v>45275</v>
      </c>
      <c r="K372" t="str">
        <v>PM</v>
      </c>
      <c r="L372" t="str">
        <v>December</v>
      </c>
      <c r="M372" t="str">
        <v>FRI</v>
      </c>
      <c r="N372">
        <v>3.4333333333333331</v>
      </c>
      <c r="O372">
        <v>121.60652</v>
      </c>
      <c r="P372" s="22">
        <f t="shared" si="5"/>
        <v>35.41937475728156</v>
      </c>
    </row>
    <row r="373" spans="10:16" x14ac:dyDescent="0.35">
      <c r="J373" s="36">
        <v>45276</v>
      </c>
      <c r="K373" t="str">
        <v>AM</v>
      </c>
      <c r="L373" t="str">
        <v>December</v>
      </c>
      <c r="M373" t="str">
        <v>SAT</v>
      </c>
      <c r="N373">
        <v>0</v>
      </c>
      <c r="O373">
        <v>0</v>
      </c>
      <c r="P373" s="22">
        <f t="shared" si="5"/>
        <v>0</v>
      </c>
    </row>
    <row r="374" spans="10:16" x14ac:dyDescent="0.35">
      <c r="J374" s="36">
        <v>45276</v>
      </c>
      <c r="K374" t="str">
        <v>PM</v>
      </c>
      <c r="L374" t="str">
        <v>December</v>
      </c>
      <c r="M374" t="str">
        <v>SAT</v>
      </c>
      <c r="N374">
        <v>5</v>
      </c>
      <c r="O374">
        <v>181.37616800000001</v>
      </c>
      <c r="P374" s="22">
        <f t="shared" si="5"/>
        <v>36.2752336</v>
      </c>
    </row>
    <row r="375" spans="10:16" x14ac:dyDescent="0.35">
      <c r="J375" s="36">
        <v>45277</v>
      </c>
      <c r="K375" t="str">
        <v>AM</v>
      </c>
      <c r="L375" t="str">
        <v>December</v>
      </c>
      <c r="M375" t="str">
        <v>SUN</v>
      </c>
      <c r="N375">
        <v>0</v>
      </c>
      <c r="O375">
        <v>0</v>
      </c>
      <c r="P375" s="22">
        <f t="shared" si="5"/>
        <v>0</v>
      </c>
    </row>
    <row r="376" spans="10:16" x14ac:dyDescent="0.35">
      <c r="J376" s="36">
        <v>45277</v>
      </c>
      <c r="K376" t="str">
        <v>PM</v>
      </c>
      <c r="L376" t="str">
        <v>December</v>
      </c>
      <c r="M376" t="str">
        <v>SUN</v>
      </c>
      <c r="N376">
        <v>5.6166666666666663</v>
      </c>
      <c r="O376">
        <v>217.58837200000002</v>
      </c>
      <c r="P376" s="22">
        <f t="shared" si="5"/>
        <v>38.73976949554897</v>
      </c>
    </row>
    <row r="377" spans="10:16" x14ac:dyDescent="0.35">
      <c r="J377" s="36">
        <v>45278</v>
      </c>
      <c r="K377" t="str">
        <v>AM</v>
      </c>
      <c r="L377" t="str">
        <v>December</v>
      </c>
      <c r="M377" t="str">
        <v>MON</v>
      </c>
      <c r="N377">
        <v>0</v>
      </c>
      <c r="O377">
        <v>0</v>
      </c>
      <c r="P377" s="22">
        <f t="shared" si="5"/>
        <v>0</v>
      </c>
    </row>
    <row r="378" spans="10:16" x14ac:dyDescent="0.35">
      <c r="J378" s="36">
        <v>45278</v>
      </c>
      <c r="K378" t="str">
        <v>PM</v>
      </c>
      <c r="L378" t="str">
        <v>December</v>
      </c>
      <c r="M378" t="str">
        <v>MON</v>
      </c>
      <c r="N378">
        <v>5.65</v>
      </c>
      <c r="O378">
        <v>187.37920400000002</v>
      </c>
      <c r="P378" s="22">
        <f t="shared" si="5"/>
        <v>33.164460884955751</v>
      </c>
    </row>
    <row r="379" spans="10:16" x14ac:dyDescent="0.35">
      <c r="J379" s="36">
        <v>45279</v>
      </c>
      <c r="K379" t="str">
        <v>AM</v>
      </c>
      <c r="L379" t="str">
        <v>December</v>
      </c>
      <c r="M379" t="str">
        <v>TUE</v>
      </c>
      <c r="N379">
        <v>0</v>
      </c>
      <c r="O379">
        <v>0</v>
      </c>
      <c r="P379" s="22">
        <f t="shared" si="5"/>
        <v>0</v>
      </c>
    </row>
    <row r="380" spans="10:16" x14ac:dyDescent="0.35">
      <c r="J380" s="36">
        <v>45279</v>
      </c>
      <c r="K380" t="str">
        <v>PM</v>
      </c>
      <c r="L380" t="str">
        <v>December</v>
      </c>
      <c r="M380" t="str">
        <v>TUE</v>
      </c>
      <c r="N380">
        <v>0</v>
      </c>
      <c r="O380">
        <v>0</v>
      </c>
      <c r="P380" s="22">
        <f t="shared" si="5"/>
        <v>0</v>
      </c>
    </row>
    <row r="381" spans="10:16" x14ac:dyDescent="0.35">
      <c r="J381" s="36">
        <v>45280</v>
      </c>
      <c r="K381" t="str">
        <v>AM</v>
      </c>
      <c r="L381" t="str">
        <v>December</v>
      </c>
      <c r="M381" t="str">
        <v>WED</v>
      </c>
      <c r="N381">
        <v>0</v>
      </c>
      <c r="O381">
        <v>0</v>
      </c>
      <c r="P381" s="22">
        <f t="shared" si="5"/>
        <v>0</v>
      </c>
    </row>
    <row r="382" spans="10:16" x14ac:dyDescent="0.35">
      <c r="J382" s="36">
        <v>45280</v>
      </c>
      <c r="K382" t="str">
        <v>PM</v>
      </c>
      <c r="L382" t="str">
        <v>December</v>
      </c>
      <c r="M382" t="str">
        <v>WED</v>
      </c>
      <c r="N382">
        <v>0</v>
      </c>
      <c r="O382">
        <v>0</v>
      </c>
      <c r="P382" s="22">
        <f t="shared" si="5"/>
        <v>0</v>
      </c>
    </row>
    <row r="383" spans="10:16" x14ac:dyDescent="0.35">
      <c r="J383" s="36">
        <v>45281</v>
      </c>
      <c r="K383" t="str">
        <v>AM</v>
      </c>
      <c r="L383" t="str">
        <v>December</v>
      </c>
      <c r="M383" t="str">
        <v>THU</v>
      </c>
      <c r="N383">
        <v>0</v>
      </c>
      <c r="O383">
        <v>0</v>
      </c>
      <c r="P383" s="22">
        <f t="shared" si="5"/>
        <v>0</v>
      </c>
    </row>
    <row r="384" spans="10:16" x14ac:dyDescent="0.35">
      <c r="J384" s="36">
        <v>45281</v>
      </c>
      <c r="K384" t="str">
        <v>PM</v>
      </c>
      <c r="L384" t="str">
        <v>December</v>
      </c>
      <c r="M384" t="str">
        <v>THU</v>
      </c>
      <c r="N384">
        <v>5.3666666666666663</v>
      </c>
      <c r="O384">
        <v>199.11728000000002</v>
      </c>
      <c r="P384" s="22">
        <f t="shared" si="5"/>
        <v>37.102598757763985</v>
      </c>
    </row>
    <row r="385" spans="10:16" x14ac:dyDescent="0.35">
      <c r="J385" s="36">
        <v>45282</v>
      </c>
      <c r="K385" t="str">
        <v>AM</v>
      </c>
      <c r="L385" t="str">
        <v>December</v>
      </c>
      <c r="M385" t="str">
        <v>FRI</v>
      </c>
      <c r="N385">
        <v>0</v>
      </c>
      <c r="O385">
        <v>0</v>
      </c>
      <c r="P385" s="22">
        <f t="shared" si="5"/>
        <v>0</v>
      </c>
    </row>
    <row r="386" spans="10:16" x14ac:dyDescent="0.35">
      <c r="J386" s="36">
        <v>45282</v>
      </c>
      <c r="K386" t="str">
        <v>PM</v>
      </c>
      <c r="L386" t="str">
        <v>December</v>
      </c>
      <c r="M386" t="str">
        <v>FRI</v>
      </c>
      <c r="N386">
        <v>5.3</v>
      </c>
      <c r="O386">
        <v>232.50149599999997</v>
      </c>
      <c r="P386" s="22">
        <f t="shared" si="5"/>
        <v>43.868206792452824</v>
      </c>
    </row>
    <row r="387" spans="10:16" x14ac:dyDescent="0.35">
      <c r="J387" s="36">
        <v>45283</v>
      </c>
      <c r="K387" t="str">
        <v>AM</v>
      </c>
      <c r="L387" t="str">
        <v>December</v>
      </c>
      <c r="M387" t="str">
        <v>SAT</v>
      </c>
      <c r="N387">
        <v>0</v>
      </c>
      <c r="O387">
        <v>0</v>
      </c>
      <c r="P387" s="22">
        <f t="shared" si="5"/>
        <v>0</v>
      </c>
    </row>
    <row r="388" spans="10:16" x14ac:dyDescent="0.35">
      <c r="J388" s="36">
        <v>45283</v>
      </c>
      <c r="K388" t="str">
        <v>PM</v>
      </c>
      <c r="L388" t="str">
        <v>December</v>
      </c>
      <c r="M388" t="str">
        <v>SAT</v>
      </c>
      <c r="N388">
        <v>5.45</v>
      </c>
      <c r="O388">
        <v>259.20059599999996</v>
      </c>
      <c r="P388" s="22">
        <f t="shared" ref="P388:P451" si="6">IFERROR(O388/N388,0)</f>
        <v>47.559742385321094</v>
      </c>
    </row>
    <row r="389" spans="10:16" x14ac:dyDescent="0.35">
      <c r="J389" s="36">
        <v>45284</v>
      </c>
      <c r="K389" t="str">
        <v>AM</v>
      </c>
      <c r="L389" t="str">
        <v>December</v>
      </c>
      <c r="M389" t="str">
        <v>SUN</v>
      </c>
      <c r="N389">
        <v>0</v>
      </c>
      <c r="O389">
        <v>0</v>
      </c>
      <c r="P389" s="22">
        <f t="shared" si="6"/>
        <v>0</v>
      </c>
    </row>
    <row r="390" spans="10:16" x14ac:dyDescent="0.35">
      <c r="J390" s="36">
        <v>45284</v>
      </c>
      <c r="K390" t="str">
        <v>PM</v>
      </c>
      <c r="L390" t="str">
        <v>December</v>
      </c>
      <c r="M390" t="str">
        <v>SUN</v>
      </c>
      <c r="N390">
        <v>0</v>
      </c>
      <c r="O390">
        <v>0</v>
      </c>
      <c r="P390" s="22">
        <f t="shared" si="6"/>
        <v>0</v>
      </c>
    </row>
    <row r="391" spans="10:16" x14ac:dyDescent="0.35">
      <c r="J391" s="36">
        <v>45285</v>
      </c>
      <c r="K391" t="str">
        <v>AM</v>
      </c>
      <c r="L391" t="str">
        <v>December</v>
      </c>
      <c r="M391" t="str">
        <v>MON</v>
      </c>
      <c r="N391">
        <v>0</v>
      </c>
      <c r="O391">
        <v>0</v>
      </c>
      <c r="P391" s="22">
        <f t="shared" si="6"/>
        <v>0</v>
      </c>
    </row>
    <row r="392" spans="10:16" x14ac:dyDescent="0.35">
      <c r="J392" s="36">
        <v>45285</v>
      </c>
      <c r="K392" t="str">
        <v>PM</v>
      </c>
      <c r="L392" t="str">
        <v>December</v>
      </c>
      <c r="M392" t="str">
        <v>MON</v>
      </c>
      <c r="N392">
        <v>0</v>
      </c>
      <c r="O392">
        <v>0</v>
      </c>
      <c r="P392" s="22">
        <f t="shared" si="6"/>
        <v>0</v>
      </c>
    </row>
    <row r="393" spans="10:16" x14ac:dyDescent="0.35">
      <c r="J393" s="36">
        <v>45286</v>
      </c>
      <c r="K393" t="str">
        <v>AM</v>
      </c>
      <c r="L393" t="str">
        <v>December</v>
      </c>
      <c r="M393" t="str">
        <v>TUE</v>
      </c>
      <c r="N393">
        <v>0</v>
      </c>
      <c r="O393">
        <v>0</v>
      </c>
      <c r="P393" s="22">
        <f t="shared" si="6"/>
        <v>0</v>
      </c>
    </row>
    <row r="394" spans="10:16" x14ac:dyDescent="0.35">
      <c r="J394" s="36">
        <v>45286</v>
      </c>
      <c r="K394" t="str">
        <v>PM</v>
      </c>
      <c r="L394" t="str">
        <v>December</v>
      </c>
      <c r="M394" t="str">
        <v>TUE</v>
      </c>
      <c r="N394">
        <v>0</v>
      </c>
      <c r="O394">
        <v>0</v>
      </c>
      <c r="P394" s="22">
        <f t="shared" si="6"/>
        <v>0</v>
      </c>
    </row>
    <row r="395" spans="10:16" x14ac:dyDescent="0.35">
      <c r="J395" s="36">
        <v>45287</v>
      </c>
      <c r="K395" t="str">
        <v>AM</v>
      </c>
      <c r="L395" t="str">
        <v>December</v>
      </c>
      <c r="M395" t="str">
        <v>WED</v>
      </c>
      <c r="N395">
        <v>4.8666666666666663</v>
      </c>
      <c r="O395">
        <v>208.52860799999999</v>
      </c>
      <c r="P395" s="22">
        <f t="shared" si="6"/>
        <v>42.848344109589043</v>
      </c>
    </row>
    <row r="396" spans="10:16" x14ac:dyDescent="0.35">
      <c r="J396" s="36">
        <v>45287</v>
      </c>
      <c r="K396" t="str">
        <v>PM</v>
      </c>
      <c r="L396" t="str">
        <v>December</v>
      </c>
      <c r="M396" t="str">
        <v>WED</v>
      </c>
      <c r="N396">
        <v>4.416666666666667</v>
      </c>
      <c r="O396">
        <v>286.64925200000005</v>
      </c>
      <c r="P396" s="22">
        <f t="shared" si="6"/>
        <v>64.901717433962276</v>
      </c>
    </row>
    <row r="397" spans="10:16" x14ac:dyDescent="0.35">
      <c r="J397" s="36">
        <v>45288</v>
      </c>
      <c r="K397" t="str">
        <v>AM</v>
      </c>
      <c r="L397" t="str">
        <v>December</v>
      </c>
      <c r="M397" t="str">
        <v>THU</v>
      </c>
      <c r="N397">
        <v>0</v>
      </c>
      <c r="O397">
        <v>0</v>
      </c>
      <c r="P397" s="22">
        <f t="shared" si="6"/>
        <v>0</v>
      </c>
    </row>
    <row r="398" spans="10:16" x14ac:dyDescent="0.35">
      <c r="J398" s="36">
        <v>45288</v>
      </c>
      <c r="K398" t="str">
        <v>PM</v>
      </c>
      <c r="L398" t="str">
        <v>December</v>
      </c>
      <c r="M398" t="str">
        <v>THU</v>
      </c>
      <c r="N398">
        <v>0</v>
      </c>
      <c r="O398">
        <v>0</v>
      </c>
      <c r="P398" s="22">
        <f t="shared" si="6"/>
        <v>0</v>
      </c>
    </row>
    <row r="399" spans="10:16" x14ac:dyDescent="0.35">
      <c r="J399" s="36">
        <v>45289</v>
      </c>
      <c r="K399" t="str">
        <v>AM</v>
      </c>
      <c r="L399" t="str">
        <v>December</v>
      </c>
      <c r="M399" t="str">
        <v>FRI</v>
      </c>
      <c r="N399">
        <v>0</v>
      </c>
      <c r="O399">
        <v>0</v>
      </c>
      <c r="P399" s="22">
        <f t="shared" si="6"/>
        <v>0</v>
      </c>
    </row>
    <row r="400" spans="10:16" x14ac:dyDescent="0.35">
      <c r="J400" s="36">
        <v>45289</v>
      </c>
      <c r="K400" t="str">
        <v>PM</v>
      </c>
      <c r="L400" t="str">
        <v>December</v>
      </c>
      <c r="M400" t="str">
        <v>FRI</v>
      </c>
      <c r="N400">
        <v>5.0333333333333332</v>
      </c>
      <c r="O400">
        <v>216.11023999999998</v>
      </c>
      <c r="P400" s="22">
        <f t="shared" si="6"/>
        <v>42.935809271523176</v>
      </c>
    </row>
    <row r="401" spans="10:16" x14ac:dyDescent="0.35">
      <c r="J401" s="36">
        <v>45290</v>
      </c>
      <c r="K401" t="str">
        <v>AM</v>
      </c>
      <c r="L401" t="str">
        <v>December</v>
      </c>
      <c r="M401" t="str">
        <v>SAT</v>
      </c>
      <c r="N401">
        <v>0</v>
      </c>
      <c r="O401">
        <v>0</v>
      </c>
      <c r="P401" s="22">
        <f t="shared" si="6"/>
        <v>0</v>
      </c>
    </row>
    <row r="402" spans="10:16" x14ac:dyDescent="0.35">
      <c r="J402" s="36">
        <v>45290</v>
      </c>
      <c r="K402" t="str">
        <v>PM</v>
      </c>
      <c r="L402" t="str">
        <v>December</v>
      </c>
      <c r="M402" t="str">
        <v>SAT</v>
      </c>
      <c r="N402">
        <v>4.9000000000000004</v>
      </c>
      <c r="O402">
        <v>193.792216</v>
      </c>
      <c r="P402" s="22">
        <f t="shared" si="6"/>
        <v>39.549431836734691</v>
      </c>
    </row>
    <row r="403" spans="10:16" x14ac:dyDescent="0.35">
      <c r="J403" s="36">
        <v>45291</v>
      </c>
      <c r="K403" t="str">
        <v>AM</v>
      </c>
      <c r="L403" t="str">
        <v>December</v>
      </c>
      <c r="M403" t="str">
        <v>SUN</v>
      </c>
      <c r="N403">
        <v>0</v>
      </c>
      <c r="O403">
        <v>0</v>
      </c>
      <c r="P403" s="22">
        <f t="shared" si="6"/>
        <v>0</v>
      </c>
    </row>
    <row r="404" spans="10:16" x14ac:dyDescent="0.35">
      <c r="J404" s="36">
        <v>45291</v>
      </c>
      <c r="K404" t="str">
        <v>PM</v>
      </c>
      <c r="L404" t="str">
        <v>December</v>
      </c>
      <c r="M404" t="str">
        <v>SUN</v>
      </c>
      <c r="N404">
        <v>0</v>
      </c>
      <c r="O404">
        <v>0</v>
      </c>
      <c r="P404" s="22">
        <f t="shared" si="6"/>
        <v>0</v>
      </c>
    </row>
    <row r="405" spans="10:16" x14ac:dyDescent="0.35">
      <c r="J405" s="36">
        <v>45292</v>
      </c>
      <c r="K405" t="str">
        <v>AM</v>
      </c>
      <c r="L405" t="str">
        <v>January</v>
      </c>
      <c r="M405" t="str">
        <v>MON</v>
      </c>
      <c r="N405">
        <v>3.3833333333333333</v>
      </c>
      <c r="O405">
        <v>59.834435999999997</v>
      </c>
      <c r="P405" s="22">
        <f t="shared" si="6"/>
        <v>17.685054975369457</v>
      </c>
    </row>
    <row r="406" spans="10:16" x14ac:dyDescent="0.35">
      <c r="J406" s="36">
        <v>45292</v>
      </c>
      <c r="K406" t="str">
        <v>PM</v>
      </c>
      <c r="L406" t="str">
        <v>January</v>
      </c>
      <c r="M406" t="str">
        <v>MON</v>
      </c>
      <c r="N406">
        <v>3.7166666666666668</v>
      </c>
      <c r="O406">
        <v>167.03622000000001</v>
      </c>
      <c r="P406" s="22">
        <f t="shared" si="6"/>
        <v>44.942480717488792</v>
      </c>
    </row>
    <row r="407" spans="10:16" x14ac:dyDescent="0.35">
      <c r="J407" s="36">
        <v>45293</v>
      </c>
      <c r="K407" t="str">
        <v>AM</v>
      </c>
      <c r="L407" t="str">
        <v>January</v>
      </c>
      <c r="M407" t="str">
        <v>TUE</v>
      </c>
      <c r="N407">
        <v>0</v>
      </c>
      <c r="O407">
        <v>0</v>
      </c>
      <c r="P407" s="22">
        <f t="shared" si="6"/>
        <v>0</v>
      </c>
    </row>
    <row r="408" spans="10:16" x14ac:dyDescent="0.35">
      <c r="J408" s="36">
        <v>45293</v>
      </c>
      <c r="K408" t="str">
        <v>PM</v>
      </c>
      <c r="L408" t="str">
        <v>January</v>
      </c>
      <c r="M408" t="str">
        <v>TUE</v>
      </c>
      <c r="N408">
        <v>0</v>
      </c>
      <c r="O408">
        <v>0</v>
      </c>
      <c r="P408" s="22">
        <f t="shared" si="6"/>
        <v>0</v>
      </c>
    </row>
    <row r="409" spans="10:16" x14ac:dyDescent="0.35">
      <c r="J409" s="36">
        <v>45294</v>
      </c>
      <c r="K409" t="str">
        <v>AM</v>
      </c>
      <c r="L409" t="str">
        <v>January</v>
      </c>
      <c r="M409" t="str">
        <v>WED</v>
      </c>
      <c r="N409">
        <v>0</v>
      </c>
      <c r="O409">
        <v>0</v>
      </c>
      <c r="P409" s="22">
        <f t="shared" si="6"/>
        <v>0</v>
      </c>
    </row>
    <row r="410" spans="10:16" x14ac:dyDescent="0.35">
      <c r="J410" s="36">
        <v>45294</v>
      </c>
      <c r="K410" t="str">
        <v>PM</v>
      </c>
      <c r="L410" t="str">
        <v>January</v>
      </c>
      <c r="M410" t="str">
        <v>WED</v>
      </c>
      <c r="N410">
        <v>6.4333333333333336</v>
      </c>
      <c r="O410">
        <v>258.35831999999999</v>
      </c>
      <c r="P410" s="22">
        <f t="shared" si="6"/>
        <v>40.159324352331602</v>
      </c>
    </row>
    <row r="411" spans="10:16" x14ac:dyDescent="0.35">
      <c r="J411" s="36">
        <v>45295</v>
      </c>
      <c r="K411" t="str">
        <v>AM</v>
      </c>
      <c r="L411" t="str">
        <v>January</v>
      </c>
      <c r="M411" t="str">
        <v>THU</v>
      </c>
      <c r="N411">
        <v>0</v>
      </c>
      <c r="O411">
        <v>0</v>
      </c>
      <c r="P411" s="22">
        <f t="shared" si="6"/>
        <v>0</v>
      </c>
    </row>
    <row r="412" spans="10:16" x14ac:dyDescent="0.35">
      <c r="J412" s="36">
        <v>45295</v>
      </c>
      <c r="K412" t="str">
        <v>PM</v>
      </c>
      <c r="L412" t="str">
        <v>January</v>
      </c>
      <c r="M412" t="str">
        <v>THU</v>
      </c>
      <c r="N412">
        <v>0</v>
      </c>
      <c r="O412">
        <v>0</v>
      </c>
      <c r="P412" s="22">
        <f t="shared" si="6"/>
        <v>0</v>
      </c>
    </row>
    <row r="413" spans="10:16" x14ac:dyDescent="0.35">
      <c r="J413" s="36">
        <v>45296</v>
      </c>
      <c r="K413" t="str">
        <v>AM</v>
      </c>
      <c r="L413" t="str">
        <v>January</v>
      </c>
      <c r="M413" t="str">
        <v>FRI</v>
      </c>
      <c r="N413">
        <v>0</v>
      </c>
      <c r="O413">
        <v>0</v>
      </c>
      <c r="P413" s="22">
        <f t="shared" si="6"/>
        <v>0</v>
      </c>
    </row>
    <row r="414" spans="10:16" x14ac:dyDescent="0.35">
      <c r="J414" s="36">
        <v>45296</v>
      </c>
      <c r="K414" t="str">
        <v>PM</v>
      </c>
      <c r="L414" t="str">
        <v>January</v>
      </c>
      <c r="M414" t="str">
        <v>FRI</v>
      </c>
      <c r="N414">
        <v>4.8</v>
      </c>
      <c r="O414">
        <v>213.26584799999998</v>
      </c>
      <c r="P414" s="22">
        <f t="shared" si="6"/>
        <v>44.430384999999994</v>
      </c>
    </row>
    <row r="415" spans="10:16" x14ac:dyDescent="0.35">
      <c r="J415" s="36">
        <v>45297</v>
      </c>
      <c r="K415" t="str">
        <v>AM</v>
      </c>
      <c r="L415" t="str">
        <v>January</v>
      </c>
      <c r="M415" t="str">
        <v>SAT</v>
      </c>
      <c r="N415">
        <v>0</v>
      </c>
      <c r="O415">
        <v>0</v>
      </c>
      <c r="P415" s="22">
        <f t="shared" si="6"/>
        <v>0</v>
      </c>
    </row>
    <row r="416" spans="10:16" x14ac:dyDescent="0.35">
      <c r="J416" s="36">
        <v>45297</v>
      </c>
      <c r="K416" t="str">
        <v>PM</v>
      </c>
      <c r="L416" t="str">
        <v>January</v>
      </c>
      <c r="M416" t="str">
        <v>SAT</v>
      </c>
      <c r="N416">
        <v>5.4333333333333336</v>
      </c>
      <c r="O416">
        <v>197.23952</v>
      </c>
      <c r="P416" s="22">
        <f t="shared" si="6"/>
        <v>36.301752147239263</v>
      </c>
    </row>
    <row r="417" spans="10:16" x14ac:dyDescent="0.35">
      <c r="J417" s="36">
        <v>45298</v>
      </c>
      <c r="K417" t="str">
        <v>AM</v>
      </c>
      <c r="L417" t="str">
        <v>January</v>
      </c>
      <c r="M417" t="str">
        <v>SUN</v>
      </c>
      <c r="N417">
        <v>0</v>
      </c>
      <c r="O417">
        <v>0</v>
      </c>
      <c r="P417" s="22">
        <f t="shared" si="6"/>
        <v>0</v>
      </c>
    </row>
    <row r="418" spans="10:16" x14ac:dyDescent="0.35">
      <c r="J418" s="36">
        <v>45298</v>
      </c>
      <c r="K418" t="str">
        <v>PM</v>
      </c>
      <c r="L418" t="str">
        <v>January</v>
      </c>
      <c r="M418" t="str">
        <v>SUN</v>
      </c>
      <c r="N418">
        <v>5.2333333333333334</v>
      </c>
      <c r="O418">
        <v>233.85552799999999</v>
      </c>
      <c r="P418" s="22">
        <f t="shared" si="6"/>
        <v>44.685769681528662</v>
      </c>
    </row>
    <row r="419" spans="10:16" x14ac:dyDescent="0.35">
      <c r="J419" s="36">
        <v>45299</v>
      </c>
      <c r="K419" t="str">
        <v>AM</v>
      </c>
      <c r="L419" t="str">
        <v>January</v>
      </c>
      <c r="M419" t="str">
        <v>MON</v>
      </c>
      <c r="N419">
        <v>0</v>
      </c>
      <c r="O419">
        <v>0</v>
      </c>
      <c r="P419" s="22">
        <f t="shared" si="6"/>
        <v>0</v>
      </c>
    </row>
    <row r="420" spans="10:16" x14ac:dyDescent="0.35">
      <c r="J420" s="36">
        <v>45299</v>
      </c>
      <c r="K420" t="str">
        <v>PM</v>
      </c>
      <c r="L420" t="str">
        <v>January</v>
      </c>
      <c r="M420" t="str">
        <v>MON</v>
      </c>
      <c r="N420">
        <v>6.1333333333333337</v>
      </c>
      <c r="O420">
        <v>92.215599999999995</v>
      </c>
      <c r="P420" s="22">
        <f t="shared" si="6"/>
        <v>15.035152173913042</v>
      </c>
    </row>
    <row r="421" spans="10:16" x14ac:dyDescent="0.35">
      <c r="J421" s="36">
        <v>45300</v>
      </c>
      <c r="K421" t="str">
        <v>AM</v>
      </c>
      <c r="L421" t="str">
        <v>January</v>
      </c>
      <c r="M421" t="str">
        <v>TUE</v>
      </c>
      <c r="N421">
        <v>0</v>
      </c>
      <c r="O421">
        <v>0</v>
      </c>
      <c r="P421" s="22">
        <f t="shared" si="6"/>
        <v>0</v>
      </c>
    </row>
    <row r="422" spans="10:16" x14ac:dyDescent="0.35">
      <c r="J422" s="36">
        <v>45300</v>
      </c>
      <c r="K422" t="str">
        <v>PM</v>
      </c>
      <c r="L422" t="str">
        <v>January</v>
      </c>
      <c r="M422" t="str">
        <v>TUE</v>
      </c>
      <c r="N422">
        <v>0</v>
      </c>
      <c r="O422">
        <v>0</v>
      </c>
      <c r="P422" s="22">
        <f t="shared" si="6"/>
        <v>0</v>
      </c>
    </row>
    <row r="423" spans="10:16" x14ac:dyDescent="0.35">
      <c r="J423" s="36">
        <v>45301</v>
      </c>
      <c r="K423" t="str">
        <v>AM</v>
      </c>
      <c r="L423" t="str">
        <v>January</v>
      </c>
      <c r="M423" t="str">
        <v>WED</v>
      </c>
      <c r="N423">
        <v>0</v>
      </c>
      <c r="O423">
        <v>0</v>
      </c>
      <c r="P423" s="22">
        <f t="shared" si="6"/>
        <v>0</v>
      </c>
    </row>
    <row r="424" spans="10:16" x14ac:dyDescent="0.35">
      <c r="J424" s="36">
        <v>45301</v>
      </c>
      <c r="K424" t="str">
        <v>PM</v>
      </c>
      <c r="L424" t="str">
        <v>January</v>
      </c>
      <c r="M424" t="str">
        <v>WED</v>
      </c>
      <c r="N424">
        <v>5.8166666666666664</v>
      </c>
      <c r="O424">
        <v>171.09210000000002</v>
      </c>
      <c r="P424" s="22">
        <f t="shared" si="6"/>
        <v>29.414114613180519</v>
      </c>
    </row>
    <row r="425" spans="10:16" x14ac:dyDescent="0.35">
      <c r="J425" s="36">
        <v>45302</v>
      </c>
      <c r="K425" t="str">
        <v>AM</v>
      </c>
      <c r="L425" t="str">
        <v>January</v>
      </c>
      <c r="M425" t="str">
        <v>THU</v>
      </c>
      <c r="N425">
        <v>0</v>
      </c>
      <c r="O425">
        <v>0</v>
      </c>
      <c r="P425" s="22">
        <f t="shared" si="6"/>
        <v>0</v>
      </c>
    </row>
    <row r="426" spans="10:16" x14ac:dyDescent="0.35">
      <c r="J426" s="36">
        <v>45302</v>
      </c>
      <c r="K426" t="str">
        <v>PM</v>
      </c>
      <c r="L426" t="str">
        <v>January</v>
      </c>
      <c r="M426" t="str">
        <v>THU</v>
      </c>
      <c r="N426">
        <v>0</v>
      </c>
      <c r="O426">
        <v>0</v>
      </c>
      <c r="P426" s="22">
        <f t="shared" si="6"/>
        <v>0</v>
      </c>
    </row>
    <row r="427" spans="10:16" x14ac:dyDescent="0.35">
      <c r="J427" s="36">
        <v>45303</v>
      </c>
      <c r="K427" t="str">
        <v>AM</v>
      </c>
      <c r="L427" t="str">
        <v>January</v>
      </c>
      <c r="M427" t="str">
        <v>FRI</v>
      </c>
      <c r="N427">
        <v>0</v>
      </c>
      <c r="O427">
        <v>0</v>
      </c>
      <c r="P427" s="22">
        <f t="shared" si="6"/>
        <v>0</v>
      </c>
    </row>
    <row r="428" spans="10:16" x14ac:dyDescent="0.35">
      <c r="J428" s="36">
        <v>45303</v>
      </c>
      <c r="K428" t="str">
        <v>PM</v>
      </c>
      <c r="L428" t="str">
        <v>January</v>
      </c>
      <c r="M428" t="str">
        <v>FRI</v>
      </c>
      <c r="N428">
        <v>5.9833333333333334</v>
      </c>
      <c r="O428">
        <v>215.94746000000001</v>
      </c>
      <c r="P428" s="22">
        <f t="shared" si="6"/>
        <v>36.091497493036215</v>
      </c>
    </row>
    <row r="429" spans="10:16" x14ac:dyDescent="0.35">
      <c r="J429" s="36">
        <v>45304</v>
      </c>
      <c r="K429" t="str">
        <v>AM</v>
      </c>
      <c r="L429" t="str">
        <v>January</v>
      </c>
      <c r="M429" t="str">
        <v>SAT</v>
      </c>
      <c r="N429">
        <v>0</v>
      </c>
      <c r="O429">
        <v>0</v>
      </c>
      <c r="P429" s="22">
        <f t="shared" si="6"/>
        <v>0</v>
      </c>
    </row>
    <row r="430" spans="10:16" x14ac:dyDescent="0.35">
      <c r="J430" s="36">
        <v>45304</v>
      </c>
      <c r="K430" t="str">
        <v>PM</v>
      </c>
      <c r="L430" t="str">
        <v>January</v>
      </c>
      <c r="M430" t="str">
        <v>SAT</v>
      </c>
      <c r="N430">
        <v>6.2833333333333332</v>
      </c>
      <c r="O430">
        <v>228.13538799999998</v>
      </c>
      <c r="P430" s="22">
        <f t="shared" si="6"/>
        <v>36.308019310344825</v>
      </c>
    </row>
    <row r="431" spans="10:16" x14ac:dyDescent="0.35">
      <c r="J431" s="36">
        <v>45305</v>
      </c>
      <c r="K431" t="str">
        <v>AM</v>
      </c>
      <c r="L431" t="str">
        <v>January</v>
      </c>
      <c r="M431" t="str">
        <v>SUN</v>
      </c>
      <c r="N431">
        <v>0</v>
      </c>
      <c r="O431">
        <v>0</v>
      </c>
      <c r="P431" s="22">
        <f t="shared" si="6"/>
        <v>0</v>
      </c>
    </row>
    <row r="432" spans="10:16" x14ac:dyDescent="0.35">
      <c r="J432" s="36">
        <v>45305</v>
      </c>
      <c r="K432" t="str">
        <v>PM</v>
      </c>
      <c r="L432" t="str">
        <v>January</v>
      </c>
      <c r="M432" t="str">
        <v>SUN</v>
      </c>
      <c r="N432">
        <v>0</v>
      </c>
      <c r="O432">
        <v>0</v>
      </c>
      <c r="P432" s="22">
        <f t="shared" si="6"/>
        <v>0</v>
      </c>
    </row>
    <row r="433" spans="10:16" x14ac:dyDescent="0.35">
      <c r="J433" s="36">
        <v>45306</v>
      </c>
      <c r="K433" t="str">
        <v>AM</v>
      </c>
      <c r="L433" t="str">
        <v>January</v>
      </c>
      <c r="M433" t="str">
        <v>MON</v>
      </c>
      <c r="N433">
        <v>0</v>
      </c>
      <c r="O433">
        <v>0</v>
      </c>
      <c r="P433" s="22">
        <f t="shared" si="6"/>
        <v>0</v>
      </c>
    </row>
    <row r="434" spans="10:16" x14ac:dyDescent="0.35">
      <c r="J434" s="36">
        <v>45306</v>
      </c>
      <c r="K434" t="str">
        <v>PM</v>
      </c>
      <c r="L434" t="str">
        <v>January</v>
      </c>
      <c r="M434" t="str">
        <v>MON</v>
      </c>
      <c r="N434">
        <v>0</v>
      </c>
      <c r="O434">
        <v>0</v>
      </c>
      <c r="P434" s="22">
        <f t="shared" si="6"/>
        <v>0</v>
      </c>
    </row>
    <row r="435" spans="10:16" x14ac:dyDescent="0.35">
      <c r="J435" s="36">
        <v>45307</v>
      </c>
      <c r="K435" t="str">
        <v>AM</v>
      </c>
      <c r="L435" t="str">
        <v>January</v>
      </c>
      <c r="M435" t="str">
        <v>TUE</v>
      </c>
      <c r="N435">
        <v>0</v>
      </c>
      <c r="O435">
        <v>0</v>
      </c>
      <c r="P435" s="22">
        <f t="shared" si="6"/>
        <v>0</v>
      </c>
    </row>
    <row r="436" spans="10:16" x14ac:dyDescent="0.35">
      <c r="J436" s="36">
        <v>45307</v>
      </c>
      <c r="K436" t="str">
        <v>PM</v>
      </c>
      <c r="L436" t="str">
        <v>January</v>
      </c>
      <c r="M436" t="str">
        <v>TUE</v>
      </c>
      <c r="N436">
        <v>0</v>
      </c>
      <c r="O436">
        <v>0</v>
      </c>
      <c r="P436" s="22">
        <f t="shared" si="6"/>
        <v>0</v>
      </c>
    </row>
    <row r="437" spans="10:16" x14ac:dyDescent="0.35">
      <c r="J437" s="36">
        <v>45308</v>
      </c>
      <c r="K437" t="str">
        <v>AM</v>
      </c>
      <c r="L437" t="str">
        <v>January</v>
      </c>
      <c r="M437" t="str">
        <v>WED</v>
      </c>
      <c r="N437">
        <v>0</v>
      </c>
      <c r="O437">
        <v>0</v>
      </c>
      <c r="P437" s="22">
        <f t="shared" si="6"/>
        <v>0</v>
      </c>
    </row>
    <row r="438" spans="10:16" x14ac:dyDescent="0.35">
      <c r="J438" s="36">
        <v>45308</v>
      </c>
      <c r="K438" t="str">
        <v>PM</v>
      </c>
      <c r="L438" t="str">
        <v>January</v>
      </c>
      <c r="M438" t="str">
        <v>WED</v>
      </c>
      <c r="N438">
        <v>5.4666666666666668</v>
      </c>
      <c r="O438">
        <v>78.785280000000014</v>
      </c>
      <c r="P438" s="22">
        <f t="shared" si="6"/>
        <v>14.411941463414637</v>
      </c>
    </row>
    <row r="439" spans="10:16" x14ac:dyDescent="0.35">
      <c r="J439" s="36">
        <v>45309</v>
      </c>
      <c r="K439" t="str">
        <v>AM</v>
      </c>
      <c r="L439" t="str">
        <v>January</v>
      </c>
      <c r="M439" t="str">
        <v>THU</v>
      </c>
      <c r="N439">
        <v>5.25</v>
      </c>
      <c r="O439">
        <v>148.03595600000003</v>
      </c>
      <c r="P439" s="22">
        <f t="shared" si="6"/>
        <v>28.197324952380956</v>
      </c>
    </row>
    <row r="440" spans="10:16" x14ac:dyDescent="0.35">
      <c r="J440" s="36">
        <v>45309</v>
      </c>
      <c r="K440" t="str">
        <v>PM</v>
      </c>
      <c r="L440" t="str">
        <v>January</v>
      </c>
      <c r="M440" t="str">
        <v>THU</v>
      </c>
      <c r="N440">
        <v>0</v>
      </c>
      <c r="O440">
        <v>0</v>
      </c>
      <c r="P440" s="22">
        <f t="shared" si="6"/>
        <v>0</v>
      </c>
    </row>
    <row r="441" spans="10:16" x14ac:dyDescent="0.35">
      <c r="J441" s="36">
        <v>45310</v>
      </c>
      <c r="K441" t="str">
        <v>AM</v>
      </c>
      <c r="L441" t="str">
        <v>January</v>
      </c>
      <c r="M441" t="str">
        <v>FRI</v>
      </c>
      <c r="N441">
        <v>0</v>
      </c>
      <c r="O441">
        <v>0</v>
      </c>
      <c r="P441" s="22">
        <f t="shared" si="6"/>
        <v>0</v>
      </c>
    </row>
    <row r="442" spans="10:16" x14ac:dyDescent="0.35">
      <c r="J442" s="36">
        <v>45310</v>
      </c>
      <c r="K442" t="str">
        <v>PM</v>
      </c>
      <c r="L442" t="str">
        <v>January</v>
      </c>
      <c r="M442" t="str">
        <v>FRI</v>
      </c>
      <c r="N442">
        <v>5.2166666666666668</v>
      </c>
      <c r="O442">
        <v>235.33174</v>
      </c>
      <c r="P442" s="22">
        <f t="shared" si="6"/>
        <v>45.111515654952072</v>
      </c>
    </row>
    <row r="443" spans="10:16" x14ac:dyDescent="0.35">
      <c r="J443" s="36">
        <v>45311</v>
      </c>
      <c r="K443" t="str">
        <v>AM</v>
      </c>
      <c r="L443" t="str">
        <v>January</v>
      </c>
      <c r="M443" t="str">
        <v>SAT</v>
      </c>
      <c r="N443">
        <v>0</v>
      </c>
      <c r="O443">
        <v>0</v>
      </c>
      <c r="P443" s="22">
        <f t="shared" si="6"/>
        <v>0</v>
      </c>
    </row>
    <row r="444" spans="10:16" x14ac:dyDescent="0.35">
      <c r="J444" s="36">
        <v>45311</v>
      </c>
      <c r="K444" t="str">
        <v>PM</v>
      </c>
      <c r="L444" t="str">
        <v>January</v>
      </c>
      <c r="M444" t="str">
        <v>SAT</v>
      </c>
      <c r="N444">
        <v>5.7333333333333334</v>
      </c>
      <c r="O444">
        <v>259.32637599999998</v>
      </c>
      <c r="P444" s="22">
        <f t="shared" si="6"/>
        <v>45.231344651162786</v>
      </c>
    </row>
    <row r="445" spans="10:16" x14ac:dyDescent="0.35">
      <c r="J445" s="36">
        <v>45312</v>
      </c>
      <c r="K445" t="str">
        <v>AM</v>
      </c>
      <c r="L445" t="str">
        <v>January</v>
      </c>
      <c r="M445" t="str">
        <v>SUN</v>
      </c>
      <c r="N445">
        <v>0</v>
      </c>
      <c r="O445">
        <v>0</v>
      </c>
      <c r="P445" s="22">
        <f t="shared" si="6"/>
        <v>0</v>
      </c>
    </row>
    <row r="446" spans="10:16" x14ac:dyDescent="0.35">
      <c r="J446" s="36">
        <v>45312</v>
      </c>
      <c r="K446" t="str">
        <v>PM</v>
      </c>
      <c r="L446" t="str">
        <v>January</v>
      </c>
      <c r="M446" t="str">
        <v>SUN</v>
      </c>
      <c r="N446">
        <v>0</v>
      </c>
      <c r="O446">
        <v>0</v>
      </c>
      <c r="P446" s="22">
        <f t="shared" si="6"/>
        <v>0</v>
      </c>
    </row>
    <row r="447" spans="10:16" x14ac:dyDescent="0.35">
      <c r="J447" s="36">
        <v>45313</v>
      </c>
      <c r="K447" t="str">
        <v>AM</v>
      </c>
      <c r="L447" t="str">
        <v>January</v>
      </c>
      <c r="M447" t="str">
        <v>MON</v>
      </c>
      <c r="N447">
        <v>2.85</v>
      </c>
      <c r="O447">
        <v>44.028148000000002</v>
      </c>
      <c r="P447" s="22">
        <f t="shared" si="6"/>
        <v>15.44847298245614</v>
      </c>
    </row>
    <row r="448" spans="10:16" x14ac:dyDescent="0.35">
      <c r="J448" s="36">
        <v>45313</v>
      </c>
      <c r="K448" t="str">
        <v>PM</v>
      </c>
      <c r="L448" t="str">
        <v>January</v>
      </c>
      <c r="M448" t="str">
        <v>MON</v>
      </c>
      <c r="N448">
        <v>0</v>
      </c>
      <c r="O448">
        <v>0</v>
      </c>
      <c r="P448" s="22">
        <f t="shared" si="6"/>
        <v>0</v>
      </c>
    </row>
    <row r="449" spans="10:16" x14ac:dyDescent="0.35">
      <c r="J449" s="36">
        <v>45314</v>
      </c>
      <c r="K449" t="str">
        <v>AM</v>
      </c>
      <c r="L449" t="str">
        <v>January</v>
      </c>
      <c r="M449" t="str">
        <v>TUE</v>
      </c>
      <c r="N449">
        <v>0</v>
      </c>
      <c r="O449">
        <v>0</v>
      </c>
      <c r="P449" s="22">
        <f t="shared" si="6"/>
        <v>0</v>
      </c>
    </row>
    <row r="450" spans="10:16" x14ac:dyDescent="0.35">
      <c r="J450" s="36">
        <v>45314</v>
      </c>
      <c r="K450" t="str">
        <v>PM</v>
      </c>
      <c r="L450" t="str">
        <v>January</v>
      </c>
      <c r="M450" t="str">
        <v>TUE</v>
      </c>
      <c r="N450">
        <v>0</v>
      </c>
      <c r="O450">
        <v>0</v>
      </c>
      <c r="P450" s="22">
        <f t="shared" si="6"/>
        <v>0</v>
      </c>
    </row>
    <row r="451" spans="10:16" x14ac:dyDescent="0.35">
      <c r="J451" s="36">
        <v>45315</v>
      </c>
      <c r="K451" t="str">
        <v>AM</v>
      </c>
      <c r="L451" t="str">
        <v>January</v>
      </c>
      <c r="M451" t="str">
        <v>WED</v>
      </c>
      <c r="N451">
        <v>0</v>
      </c>
      <c r="O451">
        <v>0</v>
      </c>
      <c r="P451" s="22">
        <f t="shared" si="6"/>
        <v>0</v>
      </c>
    </row>
    <row r="452" spans="10:16" x14ac:dyDescent="0.35">
      <c r="J452" s="36">
        <v>45315</v>
      </c>
      <c r="K452" t="str">
        <v>PM</v>
      </c>
      <c r="L452" t="str">
        <v>January</v>
      </c>
      <c r="M452" t="str">
        <v>WED</v>
      </c>
      <c r="N452">
        <v>0</v>
      </c>
      <c r="O452">
        <v>0</v>
      </c>
      <c r="P452" s="22">
        <f t="shared" ref="P452:P515" si="7">IFERROR(O452/N452,0)</f>
        <v>0</v>
      </c>
    </row>
    <row r="453" spans="10:16" x14ac:dyDescent="0.35">
      <c r="J453" s="36">
        <v>45316</v>
      </c>
      <c r="K453" t="str">
        <v>AM</v>
      </c>
      <c r="L453" t="str">
        <v>January</v>
      </c>
      <c r="M453" t="str">
        <v>THU</v>
      </c>
      <c r="N453">
        <v>0</v>
      </c>
      <c r="O453">
        <v>0</v>
      </c>
      <c r="P453" s="22">
        <f t="shared" si="7"/>
        <v>0</v>
      </c>
    </row>
    <row r="454" spans="10:16" x14ac:dyDescent="0.35">
      <c r="J454" s="36">
        <v>45316</v>
      </c>
      <c r="K454" t="str">
        <v>PM</v>
      </c>
      <c r="L454" t="str">
        <v>January</v>
      </c>
      <c r="M454" t="str">
        <v>THU</v>
      </c>
      <c r="N454">
        <v>6.7666666666666666</v>
      </c>
      <c r="O454">
        <v>287.61990400000002</v>
      </c>
      <c r="P454" s="22">
        <f t="shared" si="7"/>
        <v>42.50540453201971</v>
      </c>
    </row>
    <row r="455" spans="10:16" x14ac:dyDescent="0.35">
      <c r="J455" s="36">
        <v>45317</v>
      </c>
      <c r="K455" t="str">
        <v>AM</v>
      </c>
      <c r="L455" t="str">
        <v>January</v>
      </c>
      <c r="M455" t="str">
        <v>FRI</v>
      </c>
      <c r="N455">
        <v>0</v>
      </c>
      <c r="O455">
        <v>0</v>
      </c>
      <c r="P455" s="22">
        <f t="shared" si="7"/>
        <v>0</v>
      </c>
    </row>
    <row r="456" spans="10:16" x14ac:dyDescent="0.35">
      <c r="J456" s="36">
        <v>45317</v>
      </c>
      <c r="K456" t="str">
        <v>PM</v>
      </c>
      <c r="L456" t="str">
        <v>January</v>
      </c>
      <c r="M456" t="str">
        <v>FRI</v>
      </c>
      <c r="N456">
        <v>4.7</v>
      </c>
      <c r="O456">
        <v>194.26603999999998</v>
      </c>
      <c r="P456" s="22">
        <f t="shared" si="7"/>
        <v>41.333199999999991</v>
      </c>
    </row>
    <row r="457" spans="10:16" x14ac:dyDescent="0.35">
      <c r="J457" s="36">
        <v>45318</v>
      </c>
      <c r="K457" t="str">
        <v>AM</v>
      </c>
      <c r="L457" t="str">
        <v>January</v>
      </c>
      <c r="M457" t="str">
        <v>SAT</v>
      </c>
      <c r="N457">
        <v>5.0999999999999996</v>
      </c>
      <c r="O457">
        <v>198.829072</v>
      </c>
      <c r="P457" s="22">
        <f t="shared" si="7"/>
        <v>38.98609254901961</v>
      </c>
    </row>
    <row r="458" spans="10:16" x14ac:dyDescent="0.35">
      <c r="J458" s="36">
        <v>45318</v>
      </c>
      <c r="K458" t="str">
        <v>PM</v>
      </c>
      <c r="L458" t="str">
        <v>January</v>
      </c>
      <c r="M458" t="str">
        <v>SAT</v>
      </c>
      <c r="N458">
        <v>4.3666666666666663</v>
      </c>
      <c r="O458">
        <v>198.46371199999999</v>
      </c>
      <c r="P458" s="22">
        <f t="shared" si="7"/>
        <v>45.449705038167941</v>
      </c>
    </row>
    <row r="459" spans="10:16" x14ac:dyDescent="0.35">
      <c r="J459" s="36">
        <v>45319</v>
      </c>
      <c r="K459" t="str">
        <v>AM</v>
      </c>
      <c r="L459" t="str">
        <v>January</v>
      </c>
      <c r="M459" t="str">
        <v>SUN</v>
      </c>
      <c r="N459">
        <v>0</v>
      </c>
      <c r="O459">
        <v>0</v>
      </c>
      <c r="P459" s="22">
        <f t="shared" si="7"/>
        <v>0</v>
      </c>
    </row>
    <row r="460" spans="10:16" x14ac:dyDescent="0.35">
      <c r="J460" s="36">
        <v>45319</v>
      </c>
      <c r="K460" t="str">
        <v>PM</v>
      </c>
      <c r="L460" t="str">
        <v>January</v>
      </c>
      <c r="M460" t="str">
        <v>SUN</v>
      </c>
      <c r="N460">
        <v>4.333333333333333</v>
      </c>
      <c r="O460">
        <v>144.33091999999999</v>
      </c>
      <c r="P460" s="22">
        <f t="shared" si="7"/>
        <v>33.307135384615385</v>
      </c>
    </row>
    <row r="461" spans="10:16" x14ac:dyDescent="0.35">
      <c r="J461" s="36">
        <v>45320</v>
      </c>
      <c r="K461" t="str">
        <v>AM</v>
      </c>
      <c r="L461" t="str">
        <v>January</v>
      </c>
      <c r="M461" t="str">
        <v>MON</v>
      </c>
      <c r="N461">
        <v>0</v>
      </c>
      <c r="O461">
        <v>0</v>
      </c>
      <c r="P461" s="22">
        <f t="shared" si="7"/>
        <v>0</v>
      </c>
    </row>
    <row r="462" spans="10:16" x14ac:dyDescent="0.35">
      <c r="J462" s="36">
        <v>45320</v>
      </c>
      <c r="K462" t="str">
        <v>PM</v>
      </c>
      <c r="L462" t="str">
        <v>January</v>
      </c>
      <c r="M462" t="str">
        <v>MON</v>
      </c>
      <c r="N462">
        <v>0</v>
      </c>
      <c r="O462">
        <v>0</v>
      </c>
      <c r="P462" s="22">
        <f t="shared" si="7"/>
        <v>0</v>
      </c>
    </row>
    <row r="463" spans="10:16" x14ac:dyDescent="0.35">
      <c r="J463" s="36">
        <v>45321</v>
      </c>
      <c r="K463" t="str">
        <v>AM</v>
      </c>
      <c r="L463" t="str">
        <v>January</v>
      </c>
      <c r="M463" t="str">
        <v>TUE</v>
      </c>
      <c r="N463">
        <v>0</v>
      </c>
      <c r="O463">
        <v>0</v>
      </c>
      <c r="P463" s="22">
        <f t="shared" si="7"/>
        <v>0</v>
      </c>
    </row>
    <row r="464" spans="10:16" x14ac:dyDescent="0.35">
      <c r="J464" s="36">
        <v>45321</v>
      </c>
      <c r="K464" t="str">
        <v>PM</v>
      </c>
      <c r="L464" t="str">
        <v>January</v>
      </c>
      <c r="M464" t="str">
        <v>TUE</v>
      </c>
      <c r="N464">
        <v>0</v>
      </c>
      <c r="O464">
        <v>0</v>
      </c>
      <c r="P464" s="22">
        <f t="shared" si="7"/>
        <v>0</v>
      </c>
    </row>
    <row r="465" spans="10:16" x14ac:dyDescent="0.35">
      <c r="J465" s="36">
        <v>45322</v>
      </c>
      <c r="K465" t="str">
        <v>AM</v>
      </c>
      <c r="L465" t="str">
        <v>January</v>
      </c>
      <c r="M465" t="str">
        <v>WED</v>
      </c>
      <c r="N465">
        <v>0</v>
      </c>
      <c r="O465">
        <v>0</v>
      </c>
      <c r="P465" s="22">
        <f t="shared" si="7"/>
        <v>0</v>
      </c>
    </row>
    <row r="466" spans="10:16" x14ac:dyDescent="0.35">
      <c r="J466" s="36">
        <v>45322</v>
      </c>
      <c r="K466" t="str">
        <v>PM</v>
      </c>
      <c r="L466" t="str">
        <v>January</v>
      </c>
      <c r="M466" t="str">
        <v>WED</v>
      </c>
      <c r="N466">
        <v>6.2666666666666666</v>
      </c>
      <c r="O466">
        <v>183.97036800000001</v>
      </c>
      <c r="P466" s="22">
        <f t="shared" si="7"/>
        <v>29.356973617021278</v>
      </c>
    </row>
    <row r="467" spans="10:16" x14ac:dyDescent="0.35">
      <c r="J467" s="36">
        <v>45323</v>
      </c>
      <c r="K467" t="str">
        <v>AM</v>
      </c>
      <c r="L467" t="str">
        <v>February</v>
      </c>
      <c r="M467" t="str">
        <v>THU</v>
      </c>
      <c r="N467">
        <v>0</v>
      </c>
      <c r="O467">
        <v>0</v>
      </c>
      <c r="P467" s="22">
        <f t="shared" si="7"/>
        <v>0</v>
      </c>
    </row>
    <row r="468" spans="10:16" x14ac:dyDescent="0.35">
      <c r="J468" s="36">
        <v>45323</v>
      </c>
      <c r="K468" t="str">
        <v>PM</v>
      </c>
      <c r="L468" t="str">
        <v>February</v>
      </c>
      <c r="M468" t="str">
        <v>THU</v>
      </c>
      <c r="N468">
        <v>6.6333333333333337</v>
      </c>
      <c r="O468">
        <v>241.10095200000001</v>
      </c>
      <c r="P468" s="22">
        <f t="shared" si="7"/>
        <v>36.34687718592965</v>
      </c>
    </row>
    <row r="469" spans="10:16" x14ac:dyDescent="0.35">
      <c r="J469" s="36">
        <v>45324</v>
      </c>
      <c r="K469" t="str">
        <v>AM</v>
      </c>
      <c r="L469" t="str">
        <v>February</v>
      </c>
      <c r="M469" t="str">
        <v>FRI</v>
      </c>
      <c r="N469">
        <v>0</v>
      </c>
      <c r="O469">
        <v>0</v>
      </c>
      <c r="P469" s="22">
        <f t="shared" si="7"/>
        <v>0</v>
      </c>
    </row>
    <row r="470" spans="10:16" x14ac:dyDescent="0.35">
      <c r="J470" s="36">
        <v>45324</v>
      </c>
      <c r="K470" t="str">
        <v>PM</v>
      </c>
      <c r="L470" t="str">
        <v>February</v>
      </c>
      <c r="M470" t="str">
        <v>FRI</v>
      </c>
      <c r="N470">
        <v>7.9666666666666668</v>
      </c>
      <c r="O470">
        <v>276.31105599999995</v>
      </c>
      <c r="P470" s="22">
        <f t="shared" si="7"/>
        <v>34.683396150627608</v>
      </c>
    </row>
    <row r="471" spans="10:16" x14ac:dyDescent="0.35">
      <c r="J471" s="36">
        <v>45325</v>
      </c>
      <c r="K471" t="str">
        <v>AM</v>
      </c>
      <c r="L471" t="str">
        <v>February</v>
      </c>
      <c r="M471" t="str">
        <v>SAT</v>
      </c>
      <c r="N471">
        <v>2.7333333333333334</v>
      </c>
      <c r="O471">
        <v>43.126488000000002</v>
      </c>
      <c r="P471" s="22">
        <f t="shared" si="7"/>
        <v>15.777983414634146</v>
      </c>
    </row>
    <row r="472" spans="10:16" x14ac:dyDescent="0.35">
      <c r="J472" s="36">
        <v>45325</v>
      </c>
      <c r="K472" t="str">
        <v>PM</v>
      </c>
      <c r="L472" t="str">
        <v>February</v>
      </c>
      <c r="M472" t="str">
        <v>SAT</v>
      </c>
      <c r="N472">
        <v>0</v>
      </c>
      <c r="O472">
        <v>0</v>
      </c>
      <c r="P472" s="22">
        <f t="shared" si="7"/>
        <v>0</v>
      </c>
    </row>
    <row r="473" spans="10:16" x14ac:dyDescent="0.35">
      <c r="J473" s="36">
        <v>45326</v>
      </c>
      <c r="K473" t="str">
        <v>AM</v>
      </c>
      <c r="L473" t="str">
        <v>February</v>
      </c>
      <c r="M473" t="str">
        <v>SUN</v>
      </c>
      <c r="N473">
        <v>0</v>
      </c>
      <c r="O473">
        <v>0</v>
      </c>
      <c r="P473" s="22">
        <f t="shared" si="7"/>
        <v>0</v>
      </c>
    </row>
    <row r="474" spans="10:16" x14ac:dyDescent="0.35">
      <c r="J474" s="36">
        <v>45326</v>
      </c>
      <c r="K474" t="str">
        <v>PM</v>
      </c>
      <c r="L474" t="str">
        <v>February</v>
      </c>
      <c r="M474" t="str">
        <v>SUN</v>
      </c>
      <c r="N474">
        <v>4</v>
      </c>
      <c r="O474">
        <v>187.93316000000002</v>
      </c>
      <c r="P474" s="22">
        <f t="shared" si="7"/>
        <v>46.983290000000004</v>
      </c>
    </row>
    <row r="475" spans="10:16" x14ac:dyDescent="0.35">
      <c r="J475" s="36">
        <v>45327</v>
      </c>
      <c r="K475" t="str">
        <v>AM</v>
      </c>
      <c r="L475" t="str">
        <v>February</v>
      </c>
      <c r="M475" t="str">
        <v>MON</v>
      </c>
      <c r="N475">
        <v>2.5166666666666666</v>
      </c>
      <c r="O475">
        <v>57.636924</v>
      </c>
      <c r="P475" s="22">
        <f t="shared" si="7"/>
        <v>22.902089006622518</v>
      </c>
    </row>
    <row r="476" spans="10:16" x14ac:dyDescent="0.35">
      <c r="J476" s="36">
        <v>45327</v>
      </c>
      <c r="K476" t="str">
        <v>PM</v>
      </c>
      <c r="L476" t="str">
        <v>February</v>
      </c>
      <c r="M476" t="str">
        <v>MON</v>
      </c>
      <c r="N476">
        <v>4.5333333333333332</v>
      </c>
      <c r="O476">
        <v>184.10223999999999</v>
      </c>
      <c r="P476" s="22">
        <f t="shared" si="7"/>
        <v>40.610788235294116</v>
      </c>
    </row>
    <row r="477" spans="10:16" x14ac:dyDescent="0.35">
      <c r="J477" s="36">
        <v>45328</v>
      </c>
      <c r="K477" t="str">
        <v>AM</v>
      </c>
      <c r="L477" t="str">
        <v>February</v>
      </c>
      <c r="M477" t="str">
        <v>TUE</v>
      </c>
      <c r="N477">
        <v>0</v>
      </c>
      <c r="O477">
        <v>0</v>
      </c>
      <c r="P477" s="22">
        <f t="shared" si="7"/>
        <v>0</v>
      </c>
    </row>
    <row r="478" spans="10:16" x14ac:dyDescent="0.35">
      <c r="J478" s="36">
        <v>45328</v>
      </c>
      <c r="K478" t="str">
        <v>PM</v>
      </c>
      <c r="L478" t="str">
        <v>February</v>
      </c>
      <c r="M478" t="str">
        <v>TUE</v>
      </c>
      <c r="N478">
        <v>0</v>
      </c>
      <c r="O478">
        <v>0</v>
      </c>
      <c r="P478" s="22">
        <f t="shared" si="7"/>
        <v>0</v>
      </c>
    </row>
    <row r="479" spans="10:16" x14ac:dyDescent="0.35">
      <c r="J479" s="36">
        <v>45329</v>
      </c>
      <c r="K479" t="str">
        <v>AM</v>
      </c>
      <c r="L479" t="str">
        <v>February</v>
      </c>
      <c r="M479" t="str">
        <v>WED</v>
      </c>
      <c r="N479">
        <v>3.7833333333333332</v>
      </c>
      <c r="O479">
        <v>220.50298800000002</v>
      </c>
      <c r="P479" s="22">
        <f t="shared" si="7"/>
        <v>58.282728105726875</v>
      </c>
    </row>
    <row r="480" spans="10:16" x14ac:dyDescent="0.35">
      <c r="J480" s="36">
        <v>45329</v>
      </c>
      <c r="K480" t="str">
        <v>PM</v>
      </c>
      <c r="L480" t="str">
        <v>February</v>
      </c>
      <c r="M480" t="str">
        <v>WED</v>
      </c>
      <c r="N480">
        <v>5.7833333333333332</v>
      </c>
      <c r="O480">
        <v>248.87699599999996</v>
      </c>
      <c r="P480" s="22">
        <f t="shared" si="7"/>
        <v>43.033486340057628</v>
      </c>
    </row>
    <row r="481" spans="10:16" x14ac:dyDescent="0.35">
      <c r="J481" s="36">
        <v>45330</v>
      </c>
      <c r="K481" t="str">
        <v>AM</v>
      </c>
      <c r="L481" t="str">
        <v>February</v>
      </c>
      <c r="M481" t="str">
        <v>THU</v>
      </c>
      <c r="N481">
        <v>0</v>
      </c>
      <c r="O481">
        <v>0</v>
      </c>
      <c r="P481" s="22">
        <f t="shared" si="7"/>
        <v>0</v>
      </c>
    </row>
    <row r="482" spans="10:16" x14ac:dyDescent="0.35">
      <c r="J482" s="36">
        <v>45330</v>
      </c>
      <c r="K482" t="str">
        <v>PM</v>
      </c>
      <c r="L482" t="str">
        <v>February</v>
      </c>
      <c r="M482" t="str">
        <v>THU</v>
      </c>
      <c r="N482">
        <v>6.1333333333333337</v>
      </c>
      <c r="O482">
        <v>206.80472799999998</v>
      </c>
      <c r="P482" s="22">
        <f t="shared" si="7"/>
        <v>33.718162173913036</v>
      </c>
    </row>
    <row r="483" spans="10:16" x14ac:dyDescent="0.35">
      <c r="J483" s="36">
        <v>45331</v>
      </c>
      <c r="K483" t="str">
        <v>AM</v>
      </c>
      <c r="L483" t="str">
        <v>February</v>
      </c>
      <c r="M483" t="str">
        <v>FRI</v>
      </c>
      <c r="N483">
        <v>0</v>
      </c>
      <c r="O483">
        <v>0</v>
      </c>
      <c r="P483" s="22">
        <f t="shared" si="7"/>
        <v>0</v>
      </c>
    </row>
    <row r="484" spans="10:16" x14ac:dyDescent="0.35">
      <c r="J484" s="36">
        <v>45331</v>
      </c>
      <c r="K484" t="str">
        <v>PM</v>
      </c>
      <c r="L484" t="str">
        <v>February</v>
      </c>
      <c r="M484" t="str">
        <v>FRI</v>
      </c>
      <c r="N484">
        <v>0</v>
      </c>
      <c r="O484">
        <v>0</v>
      </c>
      <c r="P484" s="22">
        <f t="shared" si="7"/>
        <v>0</v>
      </c>
    </row>
    <row r="485" spans="10:16" x14ac:dyDescent="0.35">
      <c r="J485" s="36">
        <v>45332</v>
      </c>
      <c r="K485" t="str">
        <v>AM</v>
      </c>
      <c r="L485" t="str">
        <v>February</v>
      </c>
      <c r="M485" t="str">
        <v>SAT</v>
      </c>
      <c r="N485">
        <v>4.9333333333333336</v>
      </c>
      <c r="O485">
        <v>175.62089600000002</v>
      </c>
      <c r="P485" s="22">
        <f t="shared" si="7"/>
        <v>35.59883027027027</v>
      </c>
    </row>
    <row r="486" spans="10:16" x14ac:dyDescent="0.35">
      <c r="J486" s="36">
        <v>45332</v>
      </c>
      <c r="K486" t="str">
        <v>PM</v>
      </c>
      <c r="L486" t="str">
        <v>February</v>
      </c>
      <c r="M486" t="str">
        <v>SAT</v>
      </c>
      <c r="N486">
        <v>0</v>
      </c>
      <c r="O486">
        <v>0</v>
      </c>
      <c r="P486" s="22">
        <f t="shared" si="7"/>
        <v>0</v>
      </c>
    </row>
    <row r="487" spans="10:16" x14ac:dyDescent="0.35">
      <c r="J487" s="36">
        <v>45333</v>
      </c>
      <c r="K487" t="str">
        <v>AM</v>
      </c>
      <c r="L487" t="str">
        <v>February</v>
      </c>
      <c r="M487" t="str">
        <v>SUN</v>
      </c>
      <c r="N487">
        <v>3.6666666666666665</v>
      </c>
      <c r="O487">
        <v>87.969680000000011</v>
      </c>
      <c r="P487" s="22">
        <f t="shared" si="7"/>
        <v>23.991730909090911</v>
      </c>
    </row>
    <row r="488" spans="10:16" x14ac:dyDescent="0.35">
      <c r="J488" s="36">
        <v>45333</v>
      </c>
      <c r="K488" t="str">
        <v>PM</v>
      </c>
      <c r="L488" t="str">
        <v>February</v>
      </c>
      <c r="M488" t="str">
        <v>SUN</v>
      </c>
      <c r="N488">
        <v>0</v>
      </c>
      <c r="O488">
        <v>0</v>
      </c>
      <c r="P488" s="22">
        <f t="shared" si="7"/>
        <v>0</v>
      </c>
    </row>
    <row r="489" spans="10:16" x14ac:dyDescent="0.35">
      <c r="J489" s="36">
        <v>45334</v>
      </c>
      <c r="K489" t="str">
        <v>AM</v>
      </c>
      <c r="L489" t="str">
        <v>February</v>
      </c>
      <c r="M489" t="str">
        <v>MON</v>
      </c>
      <c r="N489">
        <v>1.9166666666666667</v>
      </c>
      <c r="O489">
        <v>12.697699999999999</v>
      </c>
      <c r="P489" s="22">
        <f t="shared" si="7"/>
        <v>6.6248869565217383</v>
      </c>
    </row>
    <row r="490" spans="10:16" x14ac:dyDescent="0.35">
      <c r="J490" s="36">
        <v>45334</v>
      </c>
      <c r="K490" t="str">
        <v>PM</v>
      </c>
      <c r="L490" t="str">
        <v>February</v>
      </c>
      <c r="M490" t="str">
        <v>MON</v>
      </c>
      <c r="N490">
        <v>4.3833333333333337</v>
      </c>
      <c r="O490">
        <v>141.91920399999998</v>
      </c>
      <c r="P490" s="22">
        <f t="shared" si="7"/>
        <v>32.377004714828892</v>
      </c>
    </row>
    <row r="491" spans="10:16" x14ac:dyDescent="0.35">
      <c r="J491" s="36">
        <v>45335</v>
      </c>
      <c r="K491" t="str">
        <v>AM</v>
      </c>
      <c r="L491" t="str">
        <v>February</v>
      </c>
      <c r="M491" t="str">
        <v>TUE</v>
      </c>
      <c r="N491">
        <v>0</v>
      </c>
      <c r="O491">
        <v>0</v>
      </c>
      <c r="P491" s="22">
        <f t="shared" si="7"/>
        <v>0</v>
      </c>
    </row>
    <row r="492" spans="10:16" x14ac:dyDescent="0.35">
      <c r="J492" s="36">
        <v>45335</v>
      </c>
      <c r="K492" t="str">
        <v>PM</v>
      </c>
      <c r="L492" t="str">
        <v>February</v>
      </c>
      <c r="M492" t="str">
        <v>TUE</v>
      </c>
      <c r="N492">
        <v>0</v>
      </c>
      <c r="O492">
        <v>0</v>
      </c>
      <c r="P492" s="22">
        <f t="shared" si="7"/>
        <v>0</v>
      </c>
    </row>
    <row r="493" spans="10:16" x14ac:dyDescent="0.35">
      <c r="J493" s="36">
        <v>45336</v>
      </c>
      <c r="K493" t="str">
        <v>AM</v>
      </c>
      <c r="L493" t="str">
        <v>February</v>
      </c>
      <c r="M493" t="str">
        <v>WED</v>
      </c>
      <c r="N493">
        <v>0</v>
      </c>
      <c r="O493">
        <v>0</v>
      </c>
      <c r="P493" s="22">
        <f t="shared" si="7"/>
        <v>0</v>
      </c>
    </row>
    <row r="494" spans="10:16" x14ac:dyDescent="0.35">
      <c r="J494" s="36">
        <v>45336</v>
      </c>
      <c r="K494" t="str">
        <v>PM</v>
      </c>
      <c r="L494" t="str">
        <v>February</v>
      </c>
      <c r="M494" t="str">
        <v>WED</v>
      </c>
      <c r="N494">
        <v>6.4666666666666668</v>
      </c>
      <c r="O494">
        <v>373.043768</v>
      </c>
      <c r="P494" s="22">
        <f t="shared" si="7"/>
        <v>57.687180618556702</v>
      </c>
    </row>
    <row r="495" spans="10:16" x14ac:dyDescent="0.35">
      <c r="J495" s="36">
        <v>45337</v>
      </c>
      <c r="K495" t="str">
        <v>AM</v>
      </c>
      <c r="L495" t="str">
        <v>February</v>
      </c>
      <c r="M495" t="str">
        <v>THU</v>
      </c>
      <c r="N495">
        <v>0</v>
      </c>
      <c r="O495">
        <v>0</v>
      </c>
      <c r="P495" s="22">
        <f t="shared" si="7"/>
        <v>0</v>
      </c>
    </row>
    <row r="496" spans="10:16" x14ac:dyDescent="0.35">
      <c r="J496" s="36">
        <v>45337</v>
      </c>
      <c r="K496" t="str">
        <v>PM</v>
      </c>
      <c r="L496" t="str">
        <v>February</v>
      </c>
      <c r="M496" t="str">
        <v>THU</v>
      </c>
      <c r="N496">
        <v>7.05</v>
      </c>
      <c r="O496">
        <v>211.08129200000002</v>
      </c>
      <c r="P496" s="22">
        <f t="shared" si="7"/>
        <v>29.940608794326245</v>
      </c>
    </row>
    <row r="497" spans="10:16" x14ac:dyDescent="0.35">
      <c r="J497" s="36">
        <v>45338</v>
      </c>
      <c r="K497" t="str">
        <v>AM</v>
      </c>
      <c r="L497" t="str">
        <v>February</v>
      </c>
      <c r="M497" t="str">
        <v>FRI</v>
      </c>
      <c r="N497">
        <v>0</v>
      </c>
      <c r="O497">
        <v>0</v>
      </c>
      <c r="P497" s="22">
        <f t="shared" si="7"/>
        <v>0</v>
      </c>
    </row>
    <row r="498" spans="10:16" x14ac:dyDescent="0.35">
      <c r="J498" s="36">
        <v>45338</v>
      </c>
      <c r="K498" t="str">
        <v>PM</v>
      </c>
      <c r="L498" t="str">
        <v>February</v>
      </c>
      <c r="M498" t="str">
        <v>FRI</v>
      </c>
      <c r="N498">
        <v>0</v>
      </c>
      <c r="O498">
        <v>0</v>
      </c>
      <c r="P498" s="22">
        <f t="shared" si="7"/>
        <v>0</v>
      </c>
    </row>
    <row r="499" spans="10:16" x14ac:dyDescent="0.35">
      <c r="J499" s="36">
        <v>45339</v>
      </c>
      <c r="K499" t="str">
        <v>AM</v>
      </c>
      <c r="L499" t="str">
        <v>February</v>
      </c>
      <c r="M499" t="str">
        <v>SAT</v>
      </c>
      <c r="N499">
        <v>5.2666666666666666</v>
      </c>
      <c r="O499">
        <v>163.45064799999997</v>
      </c>
      <c r="P499" s="22">
        <f t="shared" si="7"/>
        <v>31.034933164556957</v>
      </c>
    </row>
    <row r="500" spans="10:16" x14ac:dyDescent="0.35">
      <c r="J500" s="36">
        <v>45339</v>
      </c>
      <c r="K500" t="str">
        <v>PM</v>
      </c>
      <c r="L500" t="str">
        <v>February</v>
      </c>
      <c r="M500" t="str">
        <v>SAT</v>
      </c>
      <c r="N500">
        <v>5.0999999999999996</v>
      </c>
      <c r="O500">
        <v>238.391864</v>
      </c>
      <c r="P500" s="22">
        <f t="shared" si="7"/>
        <v>46.743502745098041</v>
      </c>
    </row>
    <row r="501" spans="10:16" x14ac:dyDescent="0.35">
      <c r="J501" s="36">
        <v>45340</v>
      </c>
      <c r="K501" t="str">
        <v>AM</v>
      </c>
      <c r="L501" t="str">
        <v>February</v>
      </c>
      <c r="M501" t="str">
        <v>SUN</v>
      </c>
      <c r="N501">
        <v>4.666666666666667</v>
      </c>
      <c r="O501">
        <v>134.12731199999999</v>
      </c>
      <c r="P501" s="22">
        <f t="shared" si="7"/>
        <v>28.741566857142853</v>
      </c>
    </row>
    <row r="502" spans="10:16" x14ac:dyDescent="0.35">
      <c r="J502" s="36">
        <v>45340</v>
      </c>
      <c r="K502" t="str">
        <v>PM</v>
      </c>
      <c r="L502" t="str">
        <v>February</v>
      </c>
      <c r="M502" t="str">
        <v>SUN</v>
      </c>
      <c r="N502">
        <v>4.583333333333333</v>
      </c>
      <c r="O502">
        <v>235.05908399999998</v>
      </c>
      <c r="P502" s="22">
        <f t="shared" si="7"/>
        <v>51.285618327272729</v>
      </c>
    </row>
    <row r="503" spans="10:16" x14ac:dyDescent="0.35">
      <c r="J503" s="36">
        <v>45341</v>
      </c>
      <c r="K503" t="str">
        <v>AM</v>
      </c>
      <c r="L503" t="str">
        <v>February</v>
      </c>
      <c r="M503" t="str">
        <v>MON</v>
      </c>
      <c r="N503">
        <v>4</v>
      </c>
      <c r="O503">
        <v>88.340215999999984</v>
      </c>
      <c r="P503" s="22">
        <f t="shared" si="7"/>
        <v>22.085053999999996</v>
      </c>
    </row>
    <row r="504" spans="10:16" x14ac:dyDescent="0.35">
      <c r="J504" s="36">
        <v>45341</v>
      </c>
      <c r="K504" t="str">
        <v>PM</v>
      </c>
      <c r="L504" t="str">
        <v>February</v>
      </c>
      <c r="M504" t="str">
        <v>MON</v>
      </c>
      <c r="N504">
        <v>4.9666666666666668</v>
      </c>
      <c r="O504">
        <v>178.746624</v>
      </c>
      <c r="P504" s="22">
        <f t="shared" si="7"/>
        <v>35.989253154362416</v>
      </c>
    </row>
    <row r="505" spans="10:16" x14ac:dyDescent="0.35">
      <c r="J505" s="36">
        <v>45342</v>
      </c>
      <c r="K505" t="str">
        <v>AM</v>
      </c>
      <c r="L505" t="str">
        <v>February</v>
      </c>
      <c r="M505" t="str">
        <v>TUE</v>
      </c>
      <c r="N505">
        <v>0</v>
      </c>
      <c r="O505">
        <v>0</v>
      </c>
      <c r="P505" s="22">
        <f t="shared" si="7"/>
        <v>0</v>
      </c>
    </row>
    <row r="506" spans="10:16" x14ac:dyDescent="0.35">
      <c r="J506" s="36">
        <v>45342</v>
      </c>
      <c r="K506" t="str">
        <v>PM</v>
      </c>
      <c r="L506" t="str">
        <v>February</v>
      </c>
      <c r="M506" t="str">
        <v>TUE</v>
      </c>
      <c r="N506">
        <v>0</v>
      </c>
      <c r="O506">
        <v>0</v>
      </c>
      <c r="P506" s="22">
        <f t="shared" si="7"/>
        <v>0</v>
      </c>
    </row>
    <row r="507" spans="10:16" x14ac:dyDescent="0.35">
      <c r="J507" s="36">
        <v>45343</v>
      </c>
      <c r="K507" t="str">
        <v>AM</v>
      </c>
      <c r="L507" t="str">
        <v>February</v>
      </c>
      <c r="M507" t="str">
        <v>WED</v>
      </c>
      <c r="N507">
        <v>0</v>
      </c>
      <c r="O507">
        <v>0</v>
      </c>
      <c r="P507" s="22">
        <f t="shared" si="7"/>
        <v>0</v>
      </c>
    </row>
    <row r="508" spans="10:16" x14ac:dyDescent="0.35">
      <c r="J508" s="36">
        <v>45343</v>
      </c>
      <c r="K508" t="str">
        <v>PM</v>
      </c>
      <c r="L508" t="str">
        <v>February</v>
      </c>
      <c r="M508" t="str">
        <v>WED</v>
      </c>
      <c r="N508">
        <v>0</v>
      </c>
      <c r="O508">
        <v>0</v>
      </c>
      <c r="P508" s="22">
        <f t="shared" si="7"/>
        <v>0</v>
      </c>
    </row>
    <row r="509" spans="10:16" x14ac:dyDescent="0.35">
      <c r="J509" s="36">
        <v>45344</v>
      </c>
      <c r="K509" t="str">
        <v>AM</v>
      </c>
      <c r="L509" t="str">
        <v>February</v>
      </c>
      <c r="M509" t="str">
        <v>THU</v>
      </c>
      <c r="N509">
        <v>0</v>
      </c>
      <c r="O509">
        <v>0</v>
      </c>
      <c r="P509" s="22">
        <f t="shared" si="7"/>
        <v>0</v>
      </c>
    </row>
    <row r="510" spans="10:16" x14ac:dyDescent="0.35">
      <c r="J510" s="36">
        <v>45344</v>
      </c>
      <c r="K510" t="str">
        <v>PM</v>
      </c>
      <c r="L510" t="str">
        <v>February</v>
      </c>
      <c r="M510" t="str">
        <v>THU</v>
      </c>
      <c r="N510">
        <v>0</v>
      </c>
      <c r="O510">
        <v>0</v>
      </c>
      <c r="P510" s="22">
        <f t="shared" si="7"/>
        <v>0</v>
      </c>
    </row>
    <row r="511" spans="10:16" x14ac:dyDescent="0.35">
      <c r="J511" s="36">
        <v>45345</v>
      </c>
      <c r="K511" t="str">
        <v>AM</v>
      </c>
      <c r="L511" t="str">
        <v>February</v>
      </c>
      <c r="M511" t="str">
        <v>FRI</v>
      </c>
      <c r="N511">
        <v>0</v>
      </c>
      <c r="O511">
        <v>0</v>
      </c>
      <c r="P511" s="22">
        <f t="shared" si="7"/>
        <v>0</v>
      </c>
    </row>
    <row r="512" spans="10:16" x14ac:dyDescent="0.35">
      <c r="J512" s="36">
        <v>45345</v>
      </c>
      <c r="K512" t="str">
        <v>PM</v>
      </c>
      <c r="L512" t="str">
        <v>February</v>
      </c>
      <c r="M512" t="str">
        <v>FRI</v>
      </c>
      <c r="N512">
        <v>0</v>
      </c>
      <c r="O512">
        <v>0</v>
      </c>
      <c r="P512" s="22">
        <f t="shared" si="7"/>
        <v>0</v>
      </c>
    </row>
    <row r="513" spans="10:16" x14ac:dyDescent="0.35">
      <c r="J513" s="36">
        <v>45346</v>
      </c>
      <c r="K513" t="str">
        <v>AM</v>
      </c>
      <c r="L513" t="str">
        <v>February</v>
      </c>
      <c r="M513" t="str">
        <v>SAT</v>
      </c>
      <c r="N513">
        <v>0</v>
      </c>
      <c r="O513">
        <v>0</v>
      </c>
      <c r="P513" s="22">
        <f t="shared" si="7"/>
        <v>0</v>
      </c>
    </row>
    <row r="514" spans="10:16" x14ac:dyDescent="0.35">
      <c r="J514" s="36">
        <v>45346</v>
      </c>
      <c r="K514" t="str">
        <v>PM</v>
      </c>
      <c r="L514" t="str">
        <v>February</v>
      </c>
      <c r="M514" t="str">
        <v>SAT</v>
      </c>
      <c r="N514">
        <v>5.75</v>
      </c>
      <c r="O514">
        <v>289.77713199999999</v>
      </c>
      <c r="P514" s="22">
        <f t="shared" si="7"/>
        <v>50.39602295652174</v>
      </c>
    </row>
    <row r="515" spans="10:16" x14ac:dyDescent="0.35">
      <c r="J515" s="36">
        <v>45347</v>
      </c>
      <c r="K515" t="str">
        <v>AM</v>
      </c>
      <c r="L515" t="str">
        <v>February</v>
      </c>
      <c r="M515" t="str">
        <v>SUN</v>
      </c>
      <c r="N515">
        <v>0</v>
      </c>
      <c r="O515">
        <v>0</v>
      </c>
      <c r="P515" s="22">
        <f t="shared" si="7"/>
        <v>0</v>
      </c>
    </row>
    <row r="516" spans="10:16" x14ac:dyDescent="0.35">
      <c r="J516" s="36">
        <v>45347</v>
      </c>
      <c r="K516" t="str">
        <v>PM</v>
      </c>
      <c r="L516" t="str">
        <v>February</v>
      </c>
      <c r="M516" t="str">
        <v>SUN</v>
      </c>
      <c r="N516">
        <v>5.2333333333333334</v>
      </c>
      <c r="O516">
        <v>169.05556000000001</v>
      </c>
      <c r="P516" s="22">
        <f t="shared" ref="P516:P579" si="8">IFERROR(O516/N516,0)</f>
        <v>32.303610191082804</v>
      </c>
    </row>
    <row r="517" spans="10:16" x14ac:dyDescent="0.35">
      <c r="J517" s="36">
        <v>45348</v>
      </c>
      <c r="K517" t="str">
        <v>AM</v>
      </c>
      <c r="L517" t="str">
        <v>February</v>
      </c>
      <c r="M517" t="str">
        <v>MON</v>
      </c>
      <c r="N517">
        <v>3.0166666666666666</v>
      </c>
      <c r="O517">
        <v>68.663443999999998</v>
      </c>
      <c r="P517" s="22">
        <f t="shared" si="8"/>
        <v>22.761362651933702</v>
      </c>
    </row>
    <row r="518" spans="10:16" x14ac:dyDescent="0.35">
      <c r="J518" s="36">
        <v>45348</v>
      </c>
      <c r="K518" t="str">
        <v>PM</v>
      </c>
      <c r="L518" t="str">
        <v>February</v>
      </c>
      <c r="M518" t="str">
        <v>MON</v>
      </c>
      <c r="N518">
        <v>5.4333333333333336</v>
      </c>
      <c r="O518">
        <v>181.67976800000002</v>
      </c>
      <c r="P518" s="22">
        <f t="shared" si="8"/>
        <v>33.43799411042945</v>
      </c>
    </row>
    <row r="519" spans="10:16" x14ac:dyDescent="0.35">
      <c r="J519" s="36">
        <v>45349</v>
      </c>
      <c r="K519" t="str">
        <v>AM</v>
      </c>
      <c r="L519" t="str">
        <v>February</v>
      </c>
      <c r="M519" t="str">
        <v>TUE</v>
      </c>
      <c r="N519">
        <v>0</v>
      </c>
      <c r="O519">
        <v>0</v>
      </c>
      <c r="P519" s="22">
        <f t="shared" si="8"/>
        <v>0</v>
      </c>
    </row>
    <row r="520" spans="10:16" x14ac:dyDescent="0.35">
      <c r="J520" s="36">
        <v>45349</v>
      </c>
      <c r="K520" t="str">
        <v>PM</v>
      </c>
      <c r="L520" t="str">
        <v>February</v>
      </c>
      <c r="M520" t="str">
        <v>TUE</v>
      </c>
      <c r="N520">
        <v>0</v>
      </c>
      <c r="O520">
        <v>0</v>
      </c>
      <c r="P520" s="22">
        <f t="shared" si="8"/>
        <v>0</v>
      </c>
    </row>
    <row r="521" spans="10:16" x14ac:dyDescent="0.35">
      <c r="J521" s="36">
        <v>45350</v>
      </c>
      <c r="K521" t="str">
        <v>AM</v>
      </c>
      <c r="L521" t="str">
        <v>February</v>
      </c>
      <c r="M521" t="str">
        <v>WED</v>
      </c>
      <c r="N521">
        <v>0</v>
      </c>
      <c r="O521">
        <v>0</v>
      </c>
      <c r="P521" s="22">
        <f t="shared" si="8"/>
        <v>0</v>
      </c>
    </row>
    <row r="522" spans="10:16" x14ac:dyDescent="0.35">
      <c r="J522" s="36">
        <v>45350</v>
      </c>
      <c r="K522" t="str">
        <v>PM</v>
      </c>
      <c r="L522" t="str">
        <v>February</v>
      </c>
      <c r="M522" t="str">
        <v>WED</v>
      </c>
      <c r="N522">
        <v>6</v>
      </c>
      <c r="O522">
        <v>165.27627200000001</v>
      </c>
      <c r="P522" s="22">
        <f t="shared" si="8"/>
        <v>27.546045333333335</v>
      </c>
    </row>
    <row r="523" spans="10:16" x14ac:dyDescent="0.35">
      <c r="J523" s="36">
        <v>45351</v>
      </c>
      <c r="K523" t="str">
        <v>AM</v>
      </c>
      <c r="L523" t="str">
        <v>February</v>
      </c>
      <c r="M523" t="str">
        <v>THU</v>
      </c>
      <c r="N523">
        <v>0</v>
      </c>
      <c r="O523">
        <v>0</v>
      </c>
      <c r="P523" s="22">
        <f t="shared" si="8"/>
        <v>0</v>
      </c>
    </row>
    <row r="524" spans="10:16" x14ac:dyDescent="0.35">
      <c r="J524" s="36">
        <v>45351</v>
      </c>
      <c r="K524" t="str">
        <v>PM</v>
      </c>
      <c r="L524" t="str">
        <v>February</v>
      </c>
      <c r="M524" t="str">
        <v>THU</v>
      </c>
      <c r="N524">
        <v>0</v>
      </c>
      <c r="O524">
        <v>0</v>
      </c>
      <c r="P524" s="22">
        <f t="shared" si="8"/>
        <v>0</v>
      </c>
    </row>
    <row r="525" spans="10:16" x14ac:dyDescent="0.35">
      <c r="J525" s="36">
        <v>45352</v>
      </c>
      <c r="K525" t="str">
        <v>AM</v>
      </c>
      <c r="L525" t="str">
        <v>March</v>
      </c>
      <c r="M525" t="str">
        <v>FRI</v>
      </c>
      <c r="N525">
        <v>5.25</v>
      </c>
      <c r="O525">
        <v>121.807196</v>
      </c>
      <c r="P525" s="22">
        <f t="shared" si="8"/>
        <v>23.201370666666669</v>
      </c>
    </row>
    <row r="526" spans="10:16" x14ac:dyDescent="0.35">
      <c r="J526" s="36">
        <v>45352</v>
      </c>
      <c r="K526" t="str">
        <v>PM</v>
      </c>
      <c r="L526" t="str">
        <v>March</v>
      </c>
      <c r="M526" t="str">
        <v>FRI</v>
      </c>
      <c r="N526">
        <v>0</v>
      </c>
      <c r="O526">
        <v>0</v>
      </c>
      <c r="P526" s="22">
        <f t="shared" si="8"/>
        <v>0</v>
      </c>
    </row>
    <row r="527" spans="10:16" x14ac:dyDescent="0.35">
      <c r="J527" s="36">
        <v>45353</v>
      </c>
      <c r="K527" t="str">
        <v>AM</v>
      </c>
      <c r="L527" t="str">
        <v>March</v>
      </c>
      <c r="M527" t="str">
        <v>SAT</v>
      </c>
      <c r="N527">
        <v>0</v>
      </c>
      <c r="O527">
        <v>0</v>
      </c>
      <c r="P527" s="22">
        <f t="shared" si="8"/>
        <v>0</v>
      </c>
    </row>
    <row r="528" spans="10:16" x14ac:dyDescent="0.35">
      <c r="J528" s="36">
        <v>45353</v>
      </c>
      <c r="K528" t="str">
        <v>PM</v>
      </c>
      <c r="L528" t="str">
        <v>March</v>
      </c>
      <c r="M528" t="str">
        <v>SAT</v>
      </c>
      <c r="N528">
        <v>5.5333333333333332</v>
      </c>
      <c r="O528">
        <v>162.63203999999999</v>
      </c>
      <c r="P528" s="22">
        <f t="shared" si="8"/>
        <v>29.391332530120479</v>
      </c>
    </row>
    <row r="529" spans="10:16" x14ac:dyDescent="0.35">
      <c r="J529" s="36">
        <v>45354</v>
      </c>
      <c r="K529" t="str">
        <v>AM</v>
      </c>
      <c r="L529" t="str">
        <v>March</v>
      </c>
      <c r="M529" t="str">
        <v>SUN</v>
      </c>
      <c r="N529">
        <v>4</v>
      </c>
      <c r="O529">
        <v>82.839999999999989</v>
      </c>
      <c r="P529" s="22">
        <f t="shared" si="8"/>
        <v>20.709999999999997</v>
      </c>
    </row>
    <row r="530" spans="10:16" x14ac:dyDescent="0.35">
      <c r="J530" s="36">
        <v>45354</v>
      </c>
      <c r="K530" t="str">
        <v>PM</v>
      </c>
      <c r="L530" t="str">
        <v>March</v>
      </c>
      <c r="M530" t="str">
        <v>SUN</v>
      </c>
      <c r="N530">
        <v>5.5666666666666664</v>
      </c>
      <c r="O530">
        <v>283.06921599999998</v>
      </c>
      <c r="P530" s="22">
        <f t="shared" si="8"/>
        <v>50.850757365269459</v>
      </c>
    </row>
    <row r="531" spans="10:16" x14ac:dyDescent="0.35">
      <c r="J531" s="36">
        <v>45355</v>
      </c>
      <c r="K531" t="str">
        <v>AM</v>
      </c>
      <c r="L531" t="str">
        <v>March</v>
      </c>
      <c r="M531" t="str">
        <v>MON</v>
      </c>
      <c r="N531">
        <v>2.75</v>
      </c>
      <c r="O531">
        <v>89.287804000000008</v>
      </c>
      <c r="P531" s="22">
        <f t="shared" si="8"/>
        <v>32.468292363636365</v>
      </c>
    </row>
    <row r="532" spans="10:16" x14ac:dyDescent="0.35">
      <c r="J532" s="36">
        <v>45355</v>
      </c>
      <c r="K532" t="str">
        <v>PM</v>
      </c>
      <c r="L532" t="str">
        <v>March</v>
      </c>
      <c r="M532" t="str">
        <v>MON</v>
      </c>
      <c r="N532">
        <v>5.4</v>
      </c>
      <c r="O532">
        <v>311.89962400000002</v>
      </c>
      <c r="P532" s="22">
        <f t="shared" si="8"/>
        <v>57.759189629629631</v>
      </c>
    </row>
    <row r="533" spans="10:16" x14ac:dyDescent="0.35">
      <c r="J533" s="36">
        <v>45356</v>
      </c>
      <c r="K533" t="str">
        <v>AM</v>
      </c>
      <c r="L533" t="str">
        <v>March</v>
      </c>
      <c r="M533" t="str">
        <v>TUE</v>
      </c>
      <c r="N533">
        <v>0</v>
      </c>
      <c r="O533">
        <v>0</v>
      </c>
      <c r="P533" s="22">
        <f t="shared" si="8"/>
        <v>0</v>
      </c>
    </row>
    <row r="534" spans="10:16" x14ac:dyDescent="0.35">
      <c r="J534" s="36">
        <v>45356</v>
      </c>
      <c r="K534" t="str">
        <v>PM</v>
      </c>
      <c r="L534" t="str">
        <v>March</v>
      </c>
      <c r="M534" t="str">
        <v>TUE</v>
      </c>
      <c r="N534">
        <v>0</v>
      </c>
      <c r="O534">
        <v>0</v>
      </c>
      <c r="P534" s="22">
        <f t="shared" si="8"/>
        <v>0</v>
      </c>
    </row>
    <row r="535" spans="10:16" x14ac:dyDescent="0.35">
      <c r="J535" s="36">
        <v>45357</v>
      </c>
      <c r="K535" t="str">
        <v>AM</v>
      </c>
      <c r="L535" t="str">
        <v>March</v>
      </c>
      <c r="M535" t="str">
        <v>WED</v>
      </c>
      <c r="N535">
        <v>0</v>
      </c>
      <c r="O535">
        <v>0</v>
      </c>
      <c r="P535" s="22">
        <f t="shared" si="8"/>
        <v>0</v>
      </c>
    </row>
    <row r="536" spans="10:16" x14ac:dyDescent="0.35">
      <c r="J536" s="36">
        <v>45357</v>
      </c>
      <c r="K536" t="str">
        <v>PM</v>
      </c>
      <c r="L536" t="str">
        <v>March</v>
      </c>
      <c r="M536" t="str">
        <v>WED</v>
      </c>
      <c r="N536">
        <v>6.5</v>
      </c>
      <c r="O536">
        <v>248.45899199999999</v>
      </c>
      <c r="P536" s="22">
        <f t="shared" si="8"/>
        <v>38.224460307692304</v>
      </c>
    </row>
    <row r="537" spans="10:16" x14ac:dyDescent="0.35">
      <c r="J537" s="36">
        <v>45358</v>
      </c>
      <c r="K537" t="str">
        <v>AM</v>
      </c>
      <c r="L537" t="str">
        <v>March</v>
      </c>
      <c r="M537" t="str">
        <v>THU</v>
      </c>
      <c r="N537">
        <v>0</v>
      </c>
      <c r="O537">
        <v>0</v>
      </c>
      <c r="P537" s="22">
        <f t="shared" si="8"/>
        <v>0</v>
      </c>
    </row>
    <row r="538" spans="10:16" x14ac:dyDescent="0.35">
      <c r="J538" s="36">
        <v>45358</v>
      </c>
      <c r="K538" t="str">
        <v>PM</v>
      </c>
      <c r="L538" t="str">
        <v>March</v>
      </c>
      <c r="M538" t="str">
        <v>THU</v>
      </c>
      <c r="N538">
        <v>0</v>
      </c>
      <c r="O538">
        <v>0</v>
      </c>
      <c r="P538" s="22">
        <f t="shared" si="8"/>
        <v>0</v>
      </c>
    </row>
    <row r="539" spans="10:16" x14ac:dyDescent="0.35">
      <c r="J539" s="36">
        <v>45359</v>
      </c>
      <c r="K539" t="str">
        <v>AM</v>
      </c>
      <c r="L539" t="str">
        <v>March</v>
      </c>
      <c r="M539" t="str">
        <v>FRI</v>
      </c>
      <c r="N539">
        <v>0</v>
      </c>
      <c r="O539">
        <v>0</v>
      </c>
      <c r="P539" s="22">
        <f t="shared" si="8"/>
        <v>0</v>
      </c>
    </row>
    <row r="540" spans="10:16" x14ac:dyDescent="0.35">
      <c r="J540" s="36">
        <v>45359</v>
      </c>
      <c r="K540" t="str">
        <v>PM</v>
      </c>
      <c r="L540" t="str">
        <v>March</v>
      </c>
      <c r="M540" t="str">
        <v>FRI</v>
      </c>
      <c r="N540">
        <v>6.8166666666666664</v>
      </c>
      <c r="O540">
        <v>225.74660400000002</v>
      </c>
      <c r="P540" s="22">
        <f t="shared" si="8"/>
        <v>33.116861222493888</v>
      </c>
    </row>
    <row r="541" spans="10:16" x14ac:dyDescent="0.35">
      <c r="J541" s="36">
        <v>45360</v>
      </c>
      <c r="K541" t="str">
        <v>AM</v>
      </c>
      <c r="L541" t="str">
        <v>March</v>
      </c>
      <c r="M541" t="str">
        <v>SAT</v>
      </c>
      <c r="N541">
        <v>3.2333333333333334</v>
      </c>
      <c r="O541">
        <v>76.934904000000003</v>
      </c>
      <c r="P541" s="22">
        <f t="shared" si="8"/>
        <v>23.794300206185568</v>
      </c>
    </row>
    <row r="542" spans="10:16" x14ac:dyDescent="0.35">
      <c r="J542" s="36">
        <v>45360</v>
      </c>
      <c r="K542" t="str">
        <v>PM</v>
      </c>
      <c r="L542" t="str">
        <v>March</v>
      </c>
      <c r="M542" t="str">
        <v>SAT</v>
      </c>
      <c r="N542">
        <v>5.5666666666666664</v>
      </c>
      <c r="O542">
        <v>344.84610399999997</v>
      </c>
      <c r="P542" s="22">
        <f t="shared" si="8"/>
        <v>61.948401916167661</v>
      </c>
    </row>
    <row r="543" spans="10:16" x14ac:dyDescent="0.35">
      <c r="J543" s="36">
        <v>45361</v>
      </c>
      <c r="K543" t="str">
        <v>AM</v>
      </c>
      <c r="L543" t="str">
        <v>March</v>
      </c>
      <c r="M543" t="str">
        <v>SUN</v>
      </c>
      <c r="N543">
        <v>4.2166666666666668</v>
      </c>
      <c r="O543">
        <v>78.937404000000001</v>
      </c>
      <c r="P543" s="22">
        <f t="shared" si="8"/>
        <v>18.720332964426877</v>
      </c>
    </row>
    <row r="544" spans="10:16" x14ac:dyDescent="0.35">
      <c r="J544" s="36">
        <v>45361</v>
      </c>
      <c r="K544" t="str">
        <v>PM</v>
      </c>
      <c r="L544" t="str">
        <v>March</v>
      </c>
      <c r="M544" t="str">
        <v>SUN</v>
      </c>
      <c r="N544">
        <v>4.5999999999999996</v>
      </c>
      <c r="O544">
        <v>172.90884799999998</v>
      </c>
      <c r="P544" s="22">
        <f t="shared" si="8"/>
        <v>37.588879999999996</v>
      </c>
    </row>
    <row r="545" spans="10:16" x14ac:dyDescent="0.35">
      <c r="J545" s="36">
        <v>45362</v>
      </c>
      <c r="K545" t="str">
        <v>AM</v>
      </c>
      <c r="L545" t="str">
        <v>March</v>
      </c>
      <c r="M545" t="str">
        <v>MON</v>
      </c>
      <c r="N545">
        <v>0</v>
      </c>
      <c r="O545">
        <v>0</v>
      </c>
      <c r="P545" s="22">
        <f t="shared" si="8"/>
        <v>0</v>
      </c>
    </row>
    <row r="546" spans="10:16" x14ac:dyDescent="0.35">
      <c r="J546" s="36">
        <v>45362</v>
      </c>
      <c r="K546" t="str">
        <v>PM</v>
      </c>
      <c r="L546" t="str">
        <v>March</v>
      </c>
      <c r="M546" t="str">
        <v>MON</v>
      </c>
      <c r="N546">
        <v>6.3833333333333337</v>
      </c>
      <c r="O546">
        <v>347.55293999999998</v>
      </c>
      <c r="P546" s="22">
        <f t="shared" si="8"/>
        <v>54.44693577023498</v>
      </c>
    </row>
    <row r="547" spans="10:16" x14ac:dyDescent="0.35">
      <c r="J547" s="36">
        <v>45363</v>
      </c>
      <c r="K547" t="str">
        <v>AM</v>
      </c>
      <c r="L547" t="str">
        <v>March</v>
      </c>
      <c r="M547" t="str">
        <v>TUE</v>
      </c>
      <c r="N547">
        <v>0</v>
      </c>
      <c r="O547">
        <v>0</v>
      </c>
      <c r="P547" s="22">
        <f t="shared" si="8"/>
        <v>0</v>
      </c>
    </row>
    <row r="548" spans="10:16" x14ac:dyDescent="0.35">
      <c r="J548" s="36">
        <v>45363</v>
      </c>
      <c r="K548" t="str">
        <v>PM</v>
      </c>
      <c r="L548" t="str">
        <v>March</v>
      </c>
      <c r="M548" t="str">
        <v>TUE</v>
      </c>
      <c r="N548">
        <v>0</v>
      </c>
      <c r="O548">
        <v>0</v>
      </c>
      <c r="P548" s="22">
        <f t="shared" si="8"/>
        <v>0</v>
      </c>
    </row>
    <row r="549" spans="10:16" x14ac:dyDescent="0.35">
      <c r="J549" s="36">
        <v>45364</v>
      </c>
      <c r="K549" t="str">
        <v>AM</v>
      </c>
      <c r="L549" t="str">
        <v>March</v>
      </c>
      <c r="M549" t="str">
        <v>WED</v>
      </c>
      <c r="N549">
        <v>0</v>
      </c>
      <c r="O549">
        <v>0</v>
      </c>
      <c r="P549" s="22">
        <f t="shared" si="8"/>
        <v>0</v>
      </c>
    </row>
    <row r="550" spans="10:16" x14ac:dyDescent="0.35">
      <c r="J550" s="36">
        <v>45364</v>
      </c>
      <c r="K550" t="str">
        <v>PM</v>
      </c>
      <c r="L550" t="str">
        <v>March</v>
      </c>
      <c r="M550" t="str">
        <v>WED</v>
      </c>
      <c r="N550">
        <v>6.6333333333333337</v>
      </c>
      <c r="O550">
        <v>326.54312000000004</v>
      </c>
      <c r="P550" s="22">
        <f t="shared" si="8"/>
        <v>49.22760603015076</v>
      </c>
    </row>
    <row r="551" spans="10:16" x14ac:dyDescent="0.35">
      <c r="J551" s="36">
        <v>45365</v>
      </c>
      <c r="K551" t="str">
        <v>AM</v>
      </c>
      <c r="L551" t="str">
        <v>March</v>
      </c>
      <c r="M551" t="str">
        <v>THU</v>
      </c>
      <c r="N551">
        <v>0</v>
      </c>
      <c r="O551">
        <v>0</v>
      </c>
      <c r="P551" s="22">
        <f t="shared" si="8"/>
        <v>0</v>
      </c>
    </row>
    <row r="552" spans="10:16" x14ac:dyDescent="0.35">
      <c r="J552" s="36">
        <v>45365</v>
      </c>
      <c r="K552" t="str">
        <v>PM</v>
      </c>
      <c r="L552" t="str">
        <v>March</v>
      </c>
      <c r="M552" t="str">
        <v>THU</v>
      </c>
      <c r="N552">
        <v>0</v>
      </c>
      <c r="O552">
        <v>0</v>
      </c>
      <c r="P552" s="22">
        <f t="shared" si="8"/>
        <v>0</v>
      </c>
    </row>
    <row r="553" spans="10:16" x14ac:dyDescent="0.35">
      <c r="J553" s="36">
        <v>45366</v>
      </c>
      <c r="K553" t="str">
        <v>AM</v>
      </c>
      <c r="L553" t="str">
        <v>March</v>
      </c>
      <c r="M553" t="str">
        <v>FRI</v>
      </c>
      <c r="N553">
        <v>0</v>
      </c>
      <c r="O553">
        <v>0</v>
      </c>
      <c r="P553" s="22">
        <f t="shared" si="8"/>
        <v>0</v>
      </c>
    </row>
    <row r="554" spans="10:16" x14ac:dyDescent="0.35">
      <c r="J554" s="36">
        <v>45366</v>
      </c>
      <c r="K554" t="str">
        <v>PM</v>
      </c>
      <c r="L554" t="str">
        <v>March</v>
      </c>
      <c r="M554" t="str">
        <v>FRI</v>
      </c>
      <c r="N554">
        <v>8.2166666666666668</v>
      </c>
      <c r="O554">
        <v>298.03705200000002</v>
      </c>
      <c r="P554" s="22">
        <f t="shared" si="8"/>
        <v>36.27225784989858</v>
      </c>
    </row>
    <row r="555" spans="10:16" x14ac:dyDescent="0.35">
      <c r="J555" s="36">
        <v>45367</v>
      </c>
      <c r="K555" t="str">
        <v>AM</v>
      </c>
      <c r="L555" t="str">
        <v>March</v>
      </c>
      <c r="M555" t="str">
        <v>SAT</v>
      </c>
      <c r="N555">
        <v>4.1500000000000004</v>
      </c>
      <c r="O555">
        <v>95.098060000000004</v>
      </c>
      <c r="P555" s="22">
        <f t="shared" si="8"/>
        <v>22.91519518072289</v>
      </c>
    </row>
    <row r="556" spans="10:16" x14ac:dyDescent="0.35">
      <c r="J556" s="36">
        <v>45367</v>
      </c>
      <c r="K556" t="str">
        <v>PM</v>
      </c>
      <c r="L556" t="str">
        <v>March</v>
      </c>
      <c r="M556" t="str">
        <v>SAT</v>
      </c>
      <c r="N556">
        <v>4.2</v>
      </c>
      <c r="O556">
        <v>219.94739200000001</v>
      </c>
      <c r="P556" s="22">
        <f t="shared" si="8"/>
        <v>52.368426666666664</v>
      </c>
    </row>
    <row r="557" spans="10:16" x14ac:dyDescent="0.35">
      <c r="J557" s="36">
        <v>45368</v>
      </c>
      <c r="K557" t="str">
        <v>AM</v>
      </c>
      <c r="L557" t="str">
        <v>March</v>
      </c>
      <c r="M557" t="str">
        <v>SUN</v>
      </c>
      <c r="N557">
        <v>4.7</v>
      </c>
      <c r="O557">
        <v>66.363367999999994</v>
      </c>
      <c r="P557" s="22">
        <f t="shared" si="8"/>
        <v>14.119865531914892</v>
      </c>
    </row>
    <row r="558" spans="10:16" x14ac:dyDescent="0.35">
      <c r="J558" s="36">
        <v>45368</v>
      </c>
      <c r="K558" t="str">
        <v>PM</v>
      </c>
      <c r="L558" t="str">
        <v>March</v>
      </c>
      <c r="M558" t="str">
        <v>SUN</v>
      </c>
      <c r="N558">
        <v>0</v>
      </c>
      <c r="O558">
        <v>0</v>
      </c>
      <c r="P558" s="22">
        <f t="shared" si="8"/>
        <v>0</v>
      </c>
    </row>
    <row r="559" spans="10:16" x14ac:dyDescent="0.35">
      <c r="J559" s="36">
        <v>45369</v>
      </c>
      <c r="K559" t="str">
        <v>AM</v>
      </c>
      <c r="L559" t="str">
        <v>March</v>
      </c>
      <c r="M559" t="str">
        <v>MON</v>
      </c>
      <c r="N559">
        <v>3.45</v>
      </c>
      <c r="O559">
        <v>90.931659999999994</v>
      </c>
      <c r="P559" s="22">
        <f t="shared" si="8"/>
        <v>26.357002898550721</v>
      </c>
    </row>
    <row r="560" spans="10:16" x14ac:dyDescent="0.35">
      <c r="J560" s="36">
        <v>45369</v>
      </c>
      <c r="K560" t="str">
        <v>PM</v>
      </c>
      <c r="L560" t="str">
        <v>March</v>
      </c>
      <c r="M560" t="str">
        <v>MON</v>
      </c>
      <c r="N560">
        <v>4.5166666666666666</v>
      </c>
      <c r="O560">
        <v>173.95813999999999</v>
      </c>
      <c r="P560" s="22">
        <f t="shared" si="8"/>
        <v>38.51471734317343</v>
      </c>
    </row>
    <row r="561" spans="10:16" x14ac:dyDescent="0.35">
      <c r="J561" s="36">
        <v>45370</v>
      </c>
      <c r="K561" t="str">
        <v>AM</v>
      </c>
      <c r="L561" t="str">
        <v>March</v>
      </c>
      <c r="M561" t="str">
        <v>TUE</v>
      </c>
      <c r="N561">
        <v>0</v>
      </c>
      <c r="O561">
        <v>0</v>
      </c>
      <c r="P561" s="22">
        <f t="shared" si="8"/>
        <v>0</v>
      </c>
    </row>
    <row r="562" spans="10:16" x14ac:dyDescent="0.35">
      <c r="J562" s="36">
        <v>45370</v>
      </c>
      <c r="K562" t="str">
        <v>PM</v>
      </c>
      <c r="L562" t="str">
        <v>March</v>
      </c>
      <c r="M562" t="str">
        <v>TUE</v>
      </c>
      <c r="N562">
        <v>0</v>
      </c>
      <c r="O562">
        <v>0</v>
      </c>
      <c r="P562" s="22">
        <f t="shared" si="8"/>
        <v>0</v>
      </c>
    </row>
    <row r="563" spans="10:16" x14ac:dyDescent="0.35">
      <c r="J563" s="36">
        <v>45371</v>
      </c>
      <c r="K563" t="str">
        <v>AM</v>
      </c>
      <c r="L563" t="str">
        <v>March</v>
      </c>
      <c r="M563" t="str">
        <v>WED</v>
      </c>
      <c r="N563">
        <v>0</v>
      </c>
      <c r="O563">
        <v>0</v>
      </c>
      <c r="P563" s="22">
        <f t="shared" si="8"/>
        <v>0</v>
      </c>
    </row>
    <row r="564" spans="10:16" x14ac:dyDescent="0.35">
      <c r="J564" s="36">
        <v>45371</v>
      </c>
      <c r="K564" t="str">
        <v>PM</v>
      </c>
      <c r="L564" t="str">
        <v>March</v>
      </c>
      <c r="M564" t="str">
        <v>WED</v>
      </c>
      <c r="N564">
        <v>4.2333333333333334</v>
      </c>
      <c r="O564">
        <v>53.015720000000002</v>
      </c>
      <c r="P564" s="22">
        <f t="shared" si="8"/>
        <v>12.52339842519685</v>
      </c>
    </row>
    <row r="565" spans="10:16" x14ac:dyDescent="0.35">
      <c r="J565" s="36">
        <v>45372</v>
      </c>
      <c r="K565" t="str">
        <v>AM</v>
      </c>
      <c r="L565" t="str">
        <v>March</v>
      </c>
      <c r="M565" t="str">
        <v>THU</v>
      </c>
      <c r="N565">
        <v>0</v>
      </c>
      <c r="O565">
        <v>0</v>
      </c>
      <c r="P565" s="22">
        <f t="shared" si="8"/>
        <v>0</v>
      </c>
    </row>
    <row r="566" spans="10:16" x14ac:dyDescent="0.35">
      <c r="J566" s="36">
        <v>45372</v>
      </c>
      <c r="K566" t="str">
        <v>PM</v>
      </c>
      <c r="L566" t="str">
        <v>March</v>
      </c>
      <c r="M566" t="str">
        <v>THU</v>
      </c>
      <c r="N566">
        <v>0</v>
      </c>
      <c r="O566">
        <v>0</v>
      </c>
      <c r="P566" s="22">
        <f t="shared" si="8"/>
        <v>0</v>
      </c>
    </row>
    <row r="567" spans="10:16" x14ac:dyDescent="0.35">
      <c r="J567" s="36">
        <v>45373</v>
      </c>
      <c r="K567" t="str">
        <v>AM</v>
      </c>
      <c r="L567" t="str">
        <v>March</v>
      </c>
      <c r="M567" t="str">
        <v>FRI</v>
      </c>
      <c r="N567">
        <v>0</v>
      </c>
      <c r="O567">
        <v>0</v>
      </c>
      <c r="P567" s="22">
        <f t="shared" si="8"/>
        <v>0</v>
      </c>
    </row>
    <row r="568" spans="10:16" x14ac:dyDescent="0.35">
      <c r="J568" s="36">
        <v>45373</v>
      </c>
      <c r="K568" t="str">
        <v>PM</v>
      </c>
      <c r="L568" t="str">
        <v>March</v>
      </c>
      <c r="M568" t="str">
        <v>FRI</v>
      </c>
      <c r="N568">
        <v>0</v>
      </c>
      <c r="O568">
        <v>0</v>
      </c>
      <c r="P568" s="22">
        <f t="shared" si="8"/>
        <v>0</v>
      </c>
    </row>
    <row r="569" spans="10:16" x14ac:dyDescent="0.35">
      <c r="J569" s="36">
        <v>45374</v>
      </c>
      <c r="K569" t="str">
        <v>AM</v>
      </c>
      <c r="L569" t="str">
        <v>March</v>
      </c>
      <c r="M569" t="str">
        <v>SAT</v>
      </c>
      <c r="N569">
        <v>0</v>
      </c>
      <c r="O569">
        <v>0</v>
      </c>
      <c r="P569" s="22">
        <f t="shared" si="8"/>
        <v>0</v>
      </c>
    </row>
    <row r="570" spans="10:16" x14ac:dyDescent="0.35">
      <c r="J570" s="36">
        <v>45374</v>
      </c>
      <c r="K570" t="str">
        <v>PM</v>
      </c>
      <c r="L570" t="str">
        <v>March</v>
      </c>
      <c r="M570" t="str">
        <v>SAT</v>
      </c>
      <c r="N570">
        <v>6.75</v>
      </c>
      <c r="O570">
        <v>230.48858799999996</v>
      </c>
      <c r="P570" s="22">
        <f t="shared" si="8"/>
        <v>34.146457481481477</v>
      </c>
    </row>
    <row r="571" spans="10:16" x14ac:dyDescent="0.35">
      <c r="J571" s="36">
        <v>45375</v>
      </c>
      <c r="K571" t="str">
        <v>AM</v>
      </c>
      <c r="L571" t="str">
        <v>March</v>
      </c>
      <c r="M571" t="str">
        <v>SUN</v>
      </c>
      <c r="N571">
        <v>5</v>
      </c>
      <c r="O571">
        <v>155.60628</v>
      </c>
      <c r="P571" s="22">
        <f t="shared" si="8"/>
        <v>31.121255999999999</v>
      </c>
    </row>
    <row r="572" spans="10:16" x14ac:dyDescent="0.35">
      <c r="J572" s="36">
        <v>45375</v>
      </c>
      <c r="K572" t="str">
        <v>PM</v>
      </c>
      <c r="L572" t="str">
        <v>March</v>
      </c>
      <c r="M572" t="str">
        <v>SUN</v>
      </c>
      <c r="N572">
        <v>0</v>
      </c>
      <c r="O572">
        <v>0</v>
      </c>
      <c r="P572" s="22">
        <f t="shared" si="8"/>
        <v>0</v>
      </c>
    </row>
    <row r="573" spans="10:16" x14ac:dyDescent="0.35">
      <c r="J573" s="36">
        <v>45376</v>
      </c>
      <c r="K573" t="str">
        <v>AM</v>
      </c>
      <c r="L573" t="str">
        <v>March</v>
      </c>
      <c r="M573" t="str">
        <v>MON</v>
      </c>
      <c r="N573">
        <v>3.4166666666666665</v>
      </c>
      <c r="O573">
        <v>55.795068000000001</v>
      </c>
      <c r="P573" s="22">
        <f t="shared" si="8"/>
        <v>16.330263804878051</v>
      </c>
    </row>
    <row r="574" spans="10:16" x14ac:dyDescent="0.35">
      <c r="J574" s="36">
        <v>45376</v>
      </c>
      <c r="K574" t="str">
        <v>PM</v>
      </c>
      <c r="L574" t="str">
        <v>March</v>
      </c>
      <c r="M574" t="str">
        <v>MON</v>
      </c>
      <c r="N574">
        <v>5.95</v>
      </c>
      <c r="O574">
        <v>212.710452</v>
      </c>
      <c r="P574" s="22">
        <f t="shared" si="8"/>
        <v>35.749655798319324</v>
      </c>
    </row>
    <row r="575" spans="10:16" x14ac:dyDescent="0.35">
      <c r="J575" s="36">
        <v>45377</v>
      </c>
      <c r="K575" t="str">
        <v>AM</v>
      </c>
      <c r="L575" t="str">
        <v>March</v>
      </c>
      <c r="M575" t="str">
        <v>TUE</v>
      </c>
      <c r="N575">
        <v>0</v>
      </c>
      <c r="O575">
        <v>0</v>
      </c>
      <c r="P575" s="22">
        <f t="shared" si="8"/>
        <v>0</v>
      </c>
    </row>
    <row r="576" spans="10:16" x14ac:dyDescent="0.35">
      <c r="J576" s="36">
        <v>45377</v>
      </c>
      <c r="K576" t="str">
        <v>PM</v>
      </c>
      <c r="L576" t="str">
        <v>March</v>
      </c>
      <c r="M576" t="str">
        <v>TUE</v>
      </c>
      <c r="N576">
        <v>0</v>
      </c>
      <c r="O576">
        <v>0</v>
      </c>
      <c r="P576" s="22">
        <f t="shared" si="8"/>
        <v>0</v>
      </c>
    </row>
    <row r="577" spans="10:16" x14ac:dyDescent="0.35">
      <c r="J577" s="36">
        <v>45378</v>
      </c>
      <c r="K577" t="str">
        <v>AM</v>
      </c>
      <c r="L577" t="str">
        <v>March</v>
      </c>
      <c r="M577" t="str">
        <v>WED</v>
      </c>
      <c r="N577">
        <v>0</v>
      </c>
      <c r="O577">
        <v>0</v>
      </c>
      <c r="P577" s="22">
        <f t="shared" si="8"/>
        <v>0</v>
      </c>
    </row>
    <row r="578" spans="10:16" x14ac:dyDescent="0.35">
      <c r="J578" s="36">
        <v>45378</v>
      </c>
      <c r="K578" t="str">
        <v>PM</v>
      </c>
      <c r="L578" t="str">
        <v>March</v>
      </c>
      <c r="M578" t="str">
        <v>WED</v>
      </c>
      <c r="N578">
        <v>0</v>
      </c>
      <c r="O578">
        <v>0</v>
      </c>
      <c r="P578" s="22">
        <f t="shared" si="8"/>
        <v>0</v>
      </c>
    </row>
    <row r="579" spans="10:16" x14ac:dyDescent="0.35">
      <c r="J579" s="36">
        <v>45379</v>
      </c>
      <c r="K579" t="str">
        <v>AM</v>
      </c>
      <c r="L579" t="str">
        <v>March</v>
      </c>
      <c r="M579" t="str">
        <v>THU</v>
      </c>
      <c r="N579">
        <v>0</v>
      </c>
      <c r="O579">
        <v>0</v>
      </c>
      <c r="P579" s="22">
        <f t="shared" si="8"/>
        <v>0</v>
      </c>
    </row>
    <row r="580" spans="10:16" x14ac:dyDescent="0.35">
      <c r="J580" s="36">
        <v>45379</v>
      </c>
      <c r="K580" t="str">
        <v>PM</v>
      </c>
      <c r="L580" t="str">
        <v>March</v>
      </c>
      <c r="M580" t="str">
        <v>THU</v>
      </c>
      <c r="N580">
        <v>0</v>
      </c>
      <c r="O580">
        <v>0</v>
      </c>
      <c r="P580" s="22">
        <f t="shared" ref="P580:P643" si="9">IFERROR(O580/N580,0)</f>
        <v>0</v>
      </c>
    </row>
    <row r="581" spans="10:16" x14ac:dyDescent="0.35">
      <c r="J581" s="36">
        <v>45380</v>
      </c>
      <c r="K581" t="str">
        <v>AM</v>
      </c>
      <c r="L581" t="str">
        <v>March</v>
      </c>
      <c r="M581" t="str">
        <v>FRI</v>
      </c>
      <c r="N581">
        <v>0</v>
      </c>
      <c r="O581">
        <v>0</v>
      </c>
      <c r="P581" s="22">
        <f t="shared" si="9"/>
        <v>0</v>
      </c>
    </row>
    <row r="582" spans="10:16" x14ac:dyDescent="0.35">
      <c r="J582" s="36">
        <v>45380</v>
      </c>
      <c r="K582" t="str">
        <v>PM</v>
      </c>
      <c r="L582" t="str">
        <v>March</v>
      </c>
      <c r="M582" t="str">
        <v>FRI</v>
      </c>
      <c r="N582">
        <v>7.8166666666666664</v>
      </c>
      <c r="O582">
        <v>345.4649</v>
      </c>
      <c r="P582" s="22">
        <f t="shared" si="9"/>
        <v>44.195936034115142</v>
      </c>
    </row>
    <row r="583" spans="10:16" x14ac:dyDescent="0.35">
      <c r="J583" s="36">
        <v>45381</v>
      </c>
      <c r="K583" t="str">
        <v>AM</v>
      </c>
      <c r="L583" t="str">
        <v>March</v>
      </c>
      <c r="M583" t="str">
        <v>SAT</v>
      </c>
      <c r="N583">
        <v>0</v>
      </c>
      <c r="O583">
        <v>0</v>
      </c>
      <c r="P583" s="22">
        <f t="shared" si="9"/>
        <v>0</v>
      </c>
    </row>
    <row r="584" spans="10:16" x14ac:dyDescent="0.35">
      <c r="J584" s="36">
        <v>45381</v>
      </c>
      <c r="K584" t="str">
        <v>PM</v>
      </c>
      <c r="L584" t="str">
        <v>March</v>
      </c>
      <c r="M584" t="str">
        <v>SAT</v>
      </c>
      <c r="N584">
        <v>5.1333333333333337</v>
      </c>
      <c r="O584">
        <v>155.63970399999999</v>
      </c>
      <c r="P584" s="22">
        <f t="shared" si="9"/>
        <v>30.319422857142854</v>
      </c>
    </row>
    <row r="585" spans="10:16" x14ac:dyDescent="0.35">
      <c r="J585" s="36">
        <v>45382</v>
      </c>
      <c r="K585" t="str">
        <v>AM</v>
      </c>
      <c r="L585" t="str">
        <v>March</v>
      </c>
      <c r="M585" t="str">
        <v>SUN</v>
      </c>
      <c r="N585">
        <v>3.95</v>
      </c>
      <c r="O585">
        <v>103.476812</v>
      </c>
      <c r="P585" s="22">
        <f t="shared" si="9"/>
        <v>26.196661265822783</v>
      </c>
    </row>
    <row r="586" spans="10:16" x14ac:dyDescent="0.35">
      <c r="J586" s="36">
        <v>45382</v>
      </c>
      <c r="K586" t="str">
        <v>PM</v>
      </c>
      <c r="L586" t="str">
        <v>March</v>
      </c>
      <c r="M586" t="str">
        <v>SUN</v>
      </c>
      <c r="N586">
        <v>5.0333333333333332</v>
      </c>
      <c r="O586">
        <v>166.80110400000001</v>
      </c>
      <c r="P586" s="22">
        <f t="shared" si="9"/>
        <v>33.139292185430463</v>
      </c>
    </row>
    <row r="587" spans="10:16" x14ac:dyDescent="0.35">
      <c r="J587" s="36">
        <v>45383</v>
      </c>
      <c r="K587" t="str">
        <v>AM</v>
      </c>
      <c r="L587" t="str">
        <v>April</v>
      </c>
      <c r="M587" t="str">
        <v>MON</v>
      </c>
      <c r="N587">
        <v>4.1166666666666663</v>
      </c>
      <c r="O587">
        <v>147.19654799999998</v>
      </c>
      <c r="P587" s="22">
        <f t="shared" si="9"/>
        <v>35.756246477732795</v>
      </c>
    </row>
    <row r="588" spans="10:16" x14ac:dyDescent="0.35">
      <c r="J588" s="36">
        <v>45383</v>
      </c>
      <c r="K588" t="str">
        <v>PM</v>
      </c>
      <c r="L588" t="str">
        <v>April</v>
      </c>
      <c r="M588" t="str">
        <v>MON</v>
      </c>
      <c r="N588">
        <v>4.2333333333333334</v>
      </c>
      <c r="O588">
        <v>167.286216</v>
      </c>
      <c r="P588" s="22">
        <f t="shared" si="9"/>
        <v>39.516428976377952</v>
      </c>
    </row>
    <row r="589" spans="10:16" x14ac:dyDescent="0.35">
      <c r="J589" s="36">
        <v>45384</v>
      </c>
      <c r="K589" t="str">
        <v>AM</v>
      </c>
      <c r="L589" t="str">
        <v>April</v>
      </c>
      <c r="M589" t="str">
        <v>TUE</v>
      </c>
      <c r="N589">
        <v>0</v>
      </c>
      <c r="O589">
        <v>0</v>
      </c>
      <c r="P589" s="22">
        <f t="shared" si="9"/>
        <v>0</v>
      </c>
    </row>
    <row r="590" spans="10:16" x14ac:dyDescent="0.35">
      <c r="J590" s="36">
        <v>45384</v>
      </c>
      <c r="K590" t="str">
        <v>PM</v>
      </c>
      <c r="L590" t="str">
        <v>April</v>
      </c>
      <c r="M590" t="str">
        <v>TUE</v>
      </c>
      <c r="N590">
        <v>6.166666666666667</v>
      </c>
      <c r="O590">
        <v>212.50799999999998</v>
      </c>
      <c r="P590" s="22">
        <f t="shared" si="9"/>
        <v>34.460756756756751</v>
      </c>
    </row>
    <row r="591" spans="10:16" x14ac:dyDescent="0.35">
      <c r="J591" s="36">
        <v>45385</v>
      </c>
      <c r="K591" t="str">
        <v>AM</v>
      </c>
      <c r="L591" t="str">
        <v>April</v>
      </c>
      <c r="M591" t="str">
        <v>WED</v>
      </c>
      <c r="N591">
        <v>3.75</v>
      </c>
      <c r="O591">
        <v>90.533100000000005</v>
      </c>
      <c r="P591" s="22">
        <f t="shared" si="9"/>
        <v>24.142160000000001</v>
      </c>
    </row>
    <row r="592" spans="10:16" x14ac:dyDescent="0.35">
      <c r="J592" s="36">
        <v>45385</v>
      </c>
      <c r="K592" t="str">
        <v>PM</v>
      </c>
      <c r="L592" t="str">
        <v>April</v>
      </c>
      <c r="M592" t="str">
        <v>WED</v>
      </c>
      <c r="N592">
        <v>3.25</v>
      </c>
      <c r="O592">
        <v>63.631980000000006</v>
      </c>
      <c r="P592" s="22">
        <f t="shared" si="9"/>
        <v>19.579070769230771</v>
      </c>
    </row>
    <row r="593" spans="10:16" x14ac:dyDescent="0.35">
      <c r="J593" s="36">
        <v>45386</v>
      </c>
      <c r="K593" t="str">
        <v>AM</v>
      </c>
      <c r="L593" t="str">
        <v>April</v>
      </c>
      <c r="M593" t="str">
        <v>THU</v>
      </c>
      <c r="N593">
        <v>0</v>
      </c>
      <c r="O593">
        <v>0</v>
      </c>
      <c r="P593" s="22">
        <f t="shared" si="9"/>
        <v>0</v>
      </c>
    </row>
    <row r="594" spans="10:16" x14ac:dyDescent="0.35">
      <c r="J594" s="36">
        <v>45386</v>
      </c>
      <c r="K594" t="str">
        <v>PM</v>
      </c>
      <c r="L594" t="str">
        <v>April</v>
      </c>
      <c r="M594" t="str">
        <v>THU</v>
      </c>
      <c r="N594">
        <v>0</v>
      </c>
      <c r="O594">
        <v>0</v>
      </c>
      <c r="P594" s="22">
        <f t="shared" si="9"/>
        <v>0</v>
      </c>
    </row>
    <row r="595" spans="10:16" x14ac:dyDescent="0.35">
      <c r="J595" s="36">
        <v>45387</v>
      </c>
      <c r="K595" t="str">
        <v>AM</v>
      </c>
      <c r="L595" t="str">
        <v>April</v>
      </c>
      <c r="M595" t="str">
        <v>FRI</v>
      </c>
      <c r="N595">
        <v>0</v>
      </c>
      <c r="O595">
        <v>0</v>
      </c>
      <c r="P595" s="22">
        <f t="shared" si="9"/>
        <v>0</v>
      </c>
    </row>
    <row r="596" spans="10:16" x14ac:dyDescent="0.35">
      <c r="J596" s="36">
        <v>45387</v>
      </c>
      <c r="K596" t="str">
        <v>PM</v>
      </c>
      <c r="L596" t="str">
        <v>April</v>
      </c>
      <c r="M596" t="str">
        <v>FRI</v>
      </c>
      <c r="N596">
        <v>6.583333333333333</v>
      </c>
      <c r="O596">
        <v>198.61344399999999</v>
      </c>
      <c r="P596" s="22">
        <f t="shared" si="9"/>
        <v>30.169130734177216</v>
      </c>
    </row>
    <row r="597" spans="10:16" x14ac:dyDescent="0.35">
      <c r="J597" s="36">
        <v>45388</v>
      </c>
      <c r="K597" t="str">
        <v>AM</v>
      </c>
      <c r="L597" t="str">
        <v>April</v>
      </c>
      <c r="M597" t="str">
        <v>SAT</v>
      </c>
      <c r="N597">
        <v>0</v>
      </c>
      <c r="O597">
        <v>0</v>
      </c>
      <c r="P597" s="22">
        <f t="shared" si="9"/>
        <v>0</v>
      </c>
    </row>
    <row r="598" spans="10:16" x14ac:dyDescent="0.35">
      <c r="J598" s="36">
        <v>45388</v>
      </c>
      <c r="K598" t="str">
        <v>PM</v>
      </c>
      <c r="L598" t="str">
        <v>April</v>
      </c>
      <c r="M598" t="str">
        <v>SAT</v>
      </c>
      <c r="N598">
        <v>0</v>
      </c>
      <c r="O598">
        <v>0</v>
      </c>
      <c r="P598" s="22">
        <f t="shared" si="9"/>
        <v>0</v>
      </c>
    </row>
    <row r="599" spans="10:16" x14ac:dyDescent="0.35">
      <c r="J599" s="36">
        <v>45389</v>
      </c>
      <c r="K599" t="str">
        <v>AM</v>
      </c>
      <c r="L599" t="str">
        <v>April</v>
      </c>
      <c r="M599" t="str">
        <v>SUN</v>
      </c>
      <c r="N599">
        <v>0</v>
      </c>
      <c r="O599">
        <v>0</v>
      </c>
      <c r="P599" s="22">
        <f t="shared" si="9"/>
        <v>0</v>
      </c>
    </row>
    <row r="600" spans="10:16" x14ac:dyDescent="0.35">
      <c r="J600" s="36">
        <v>45389</v>
      </c>
      <c r="K600" t="str">
        <v>PM</v>
      </c>
      <c r="L600" t="str">
        <v>April</v>
      </c>
      <c r="M600" t="str">
        <v>SUN</v>
      </c>
      <c r="N600">
        <v>5.8666666666666663</v>
      </c>
      <c r="O600">
        <v>147.77316000000002</v>
      </c>
      <c r="P600" s="22">
        <f t="shared" si="9"/>
        <v>25.188606818181825</v>
      </c>
    </row>
    <row r="601" spans="10:16" x14ac:dyDescent="0.35">
      <c r="J601" s="36">
        <v>45390</v>
      </c>
      <c r="K601" t="str">
        <v>AM</v>
      </c>
      <c r="L601" t="str">
        <v>April</v>
      </c>
      <c r="M601" t="str">
        <v>MON</v>
      </c>
      <c r="N601">
        <v>1.5166666666666666</v>
      </c>
      <c r="O601">
        <v>17.499027999999999</v>
      </c>
      <c r="P601" s="22">
        <f t="shared" si="9"/>
        <v>11.537820659340658</v>
      </c>
    </row>
    <row r="602" spans="10:16" x14ac:dyDescent="0.35">
      <c r="J602" s="36">
        <v>45390</v>
      </c>
      <c r="K602" t="str">
        <v>PM</v>
      </c>
      <c r="L602" t="str">
        <v>April</v>
      </c>
      <c r="M602" t="str">
        <v>MON</v>
      </c>
      <c r="N602">
        <v>3.8166666666666669</v>
      </c>
      <c r="O602">
        <v>106.895884</v>
      </c>
      <c r="P602" s="22">
        <f t="shared" si="9"/>
        <v>28.007655196506548</v>
      </c>
    </row>
    <row r="603" spans="10:16" x14ac:dyDescent="0.35">
      <c r="J603" s="36">
        <v>45391</v>
      </c>
      <c r="K603" t="str">
        <v>AM</v>
      </c>
      <c r="L603" t="str">
        <v>April</v>
      </c>
      <c r="M603" t="str">
        <v>TUE</v>
      </c>
      <c r="N603">
        <v>0</v>
      </c>
      <c r="O603">
        <v>0</v>
      </c>
      <c r="P603" s="22">
        <f t="shared" si="9"/>
        <v>0</v>
      </c>
    </row>
    <row r="604" spans="10:16" x14ac:dyDescent="0.35">
      <c r="J604" s="36">
        <v>45391</v>
      </c>
      <c r="K604" t="str">
        <v>PM</v>
      </c>
      <c r="L604" t="str">
        <v>April</v>
      </c>
      <c r="M604" t="str">
        <v>TUE</v>
      </c>
      <c r="N604">
        <v>0</v>
      </c>
      <c r="O604">
        <v>0</v>
      </c>
      <c r="P604" s="22">
        <f t="shared" si="9"/>
        <v>0</v>
      </c>
    </row>
    <row r="605" spans="10:16" x14ac:dyDescent="0.35">
      <c r="J605" s="36">
        <v>45392</v>
      </c>
      <c r="K605" t="str">
        <v>AM</v>
      </c>
      <c r="L605" t="str">
        <v>April</v>
      </c>
      <c r="M605" t="str">
        <v>WED</v>
      </c>
      <c r="N605">
        <v>3.0833333333333335</v>
      </c>
      <c r="O605">
        <v>56.53566</v>
      </c>
      <c r="P605" s="22">
        <f t="shared" si="9"/>
        <v>18.335889729729729</v>
      </c>
    </row>
    <row r="606" spans="10:16" x14ac:dyDescent="0.35">
      <c r="J606" s="36">
        <v>45392</v>
      </c>
      <c r="K606" t="str">
        <v>PM</v>
      </c>
      <c r="L606" t="str">
        <v>April</v>
      </c>
      <c r="M606" t="str">
        <v>WED</v>
      </c>
      <c r="N606">
        <v>4.3499999999999996</v>
      </c>
      <c r="O606">
        <v>189.01321999999999</v>
      </c>
      <c r="P606" s="22">
        <f t="shared" si="9"/>
        <v>43.451314942528739</v>
      </c>
    </row>
    <row r="607" spans="10:16" x14ac:dyDescent="0.35">
      <c r="J607" s="36">
        <v>45393</v>
      </c>
      <c r="K607" t="str">
        <v>AM</v>
      </c>
      <c r="L607" t="str">
        <v>April</v>
      </c>
      <c r="M607" t="str">
        <v>THU</v>
      </c>
      <c r="N607">
        <v>0</v>
      </c>
      <c r="O607">
        <v>0</v>
      </c>
      <c r="P607" s="22">
        <f t="shared" si="9"/>
        <v>0</v>
      </c>
    </row>
    <row r="608" spans="10:16" x14ac:dyDescent="0.35">
      <c r="J608" s="36">
        <v>45393</v>
      </c>
      <c r="K608" t="str">
        <v>PM</v>
      </c>
      <c r="L608" t="str">
        <v>April</v>
      </c>
      <c r="M608" t="str">
        <v>THU</v>
      </c>
      <c r="N608">
        <v>0</v>
      </c>
      <c r="O608">
        <v>0</v>
      </c>
      <c r="P608" s="22">
        <f t="shared" si="9"/>
        <v>0</v>
      </c>
    </row>
    <row r="609" spans="10:16" x14ac:dyDescent="0.35">
      <c r="J609" s="36">
        <v>45394</v>
      </c>
      <c r="K609" t="str">
        <v>AM</v>
      </c>
      <c r="L609" t="str">
        <v>April</v>
      </c>
      <c r="M609" t="str">
        <v>FRI</v>
      </c>
      <c r="N609">
        <v>3.15</v>
      </c>
      <c r="O609">
        <v>72.763332000000005</v>
      </c>
      <c r="P609" s="22">
        <f t="shared" si="9"/>
        <v>23.099470476190479</v>
      </c>
    </row>
    <row r="610" spans="10:16" x14ac:dyDescent="0.35">
      <c r="J610" s="36">
        <v>45394</v>
      </c>
      <c r="K610" t="str">
        <v>PM</v>
      </c>
      <c r="L610" t="str">
        <v>April</v>
      </c>
      <c r="M610" t="str">
        <v>FRI</v>
      </c>
      <c r="N610">
        <v>5.2333333333333334</v>
      </c>
      <c r="O610">
        <v>251.99614399999996</v>
      </c>
      <c r="P610" s="22">
        <f t="shared" si="9"/>
        <v>48.152129426751586</v>
      </c>
    </row>
    <row r="611" spans="10:16" x14ac:dyDescent="0.35">
      <c r="J611" s="36">
        <v>45395</v>
      </c>
      <c r="K611" t="str">
        <v>AM</v>
      </c>
      <c r="L611" t="str">
        <v>April</v>
      </c>
      <c r="M611" t="str">
        <v>SAT</v>
      </c>
      <c r="N611">
        <v>5</v>
      </c>
      <c r="O611">
        <v>219.69695200000001</v>
      </c>
      <c r="P611" s="22">
        <f t="shared" si="9"/>
        <v>43.939390400000001</v>
      </c>
    </row>
    <row r="612" spans="10:16" x14ac:dyDescent="0.35">
      <c r="J612" s="36">
        <v>45395</v>
      </c>
      <c r="K612" t="str">
        <v>PM</v>
      </c>
      <c r="L612" t="str">
        <v>April</v>
      </c>
      <c r="M612" t="str">
        <v>SAT</v>
      </c>
      <c r="N612">
        <v>5</v>
      </c>
      <c r="O612">
        <v>219.69695200000001</v>
      </c>
      <c r="P612" s="22">
        <f t="shared" si="9"/>
        <v>43.939390400000001</v>
      </c>
    </row>
    <row r="613" spans="10:16" x14ac:dyDescent="0.35">
      <c r="J613" s="36">
        <v>45396</v>
      </c>
      <c r="K613" t="str">
        <v>AM</v>
      </c>
      <c r="L613" t="str">
        <v>April</v>
      </c>
      <c r="M613" t="str">
        <v>SUN</v>
      </c>
      <c r="N613">
        <v>0</v>
      </c>
      <c r="O613">
        <v>0</v>
      </c>
      <c r="P613" s="22">
        <f t="shared" si="9"/>
        <v>0</v>
      </c>
    </row>
    <row r="614" spans="10:16" x14ac:dyDescent="0.35">
      <c r="J614" s="36">
        <v>45396</v>
      </c>
      <c r="K614" t="str">
        <v>PM</v>
      </c>
      <c r="L614" t="str">
        <v>April</v>
      </c>
      <c r="M614" t="str">
        <v>SUN</v>
      </c>
      <c r="N614">
        <v>6.5333333333333332</v>
      </c>
      <c r="O614">
        <v>341.546808</v>
      </c>
      <c r="P614" s="22">
        <f t="shared" si="9"/>
        <v>52.277572653061227</v>
      </c>
    </row>
    <row r="615" spans="10:16" x14ac:dyDescent="0.35">
      <c r="J615" s="36">
        <v>45397</v>
      </c>
      <c r="K615" t="str">
        <v>AM</v>
      </c>
      <c r="L615" t="str">
        <v>April</v>
      </c>
      <c r="M615" t="str">
        <v>MON</v>
      </c>
      <c r="N615">
        <v>0</v>
      </c>
      <c r="O615">
        <v>0</v>
      </c>
      <c r="P615" s="22">
        <f t="shared" si="9"/>
        <v>0</v>
      </c>
    </row>
    <row r="616" spans="10:16" x14ac:dyDescent="0.35">
      <c r="J616" s="36">
        <v>45397</v>
      </c>
      <c r="K616" t="str">
        <v>PM</v>
      </c>
      <c r="L616" t="str">
        <v>April</v>
      </c>
      <c r="M616" t="str">
        <v>MON</v>
      </c>
      <c r="N616">
        <v>0</v>
      </c>
      <c r="O616">
        <v>0</v>
      </c>
      <c r="P616" s="22">
        <f t="shared" si="9"/>
        <v>0</v>
      </c>
    </row>
    <row r="617" spans="10:16" x14ac:dyDescent="0.35">
      <c r="J617" s="36">
        <v>45398</v>
      </c>
      <c r="K617" t="str">
        <v>AM</v>
      </c>
      <c r="L617" t="str">
        <v>April</v>
      </c>
      <c r="M617" t="str">
        <v>TUE</v>
      </c>
      <c r="N617">
        <v>5.3083333333333336</v>
      </c>
      <c r="O617">
        <v>131.962042</v>
      </c>
      <c r="P617" s="22">
        <f t="shared" si="9"/>
        <v>24.859411365777078</v>
      </c>
    </row>
    <row r="618" spans="10:16" x14ac:dyDescent="0.35">
      <c r="J618" s="36">
        <v>45398</v>
      </c>
      <c r="K618" t="str">
        <v>PM</v>
      </c>
      <c r="L618" t="str">
        <v>April</v>
      </c>
      <c r="M618" t="str">
        <v>TUE</v>
      </c>
      <c r="N618">
        <v>5.3083333333333336</v>
      </c>
      <c r="O618">
        <v>131.962042</v>
      </c>
      <c r="P618" s="22">
        <f t="shared" si="9"/>
        <v>24.859411365777078</v>
      </c>
    </row>
    <row r="619" spans="10:16" x14ac:dyDescent="0.35">
      <c r="J619" s="36">
        <v>45399</v>
      </c>
      <c r="K619" t="str">
        <v>AM</v>
      </c>
      <c r="L619" t="str">
        <v>April</v>
      </c>
      <c r="M619" t="str">
        <v>WED</v>
      </c>
      <c r="N619">
        <v>3.4333333333333331</v>
      </c>
      <c r="O619">
        <v>69.276480000000006</v>
      </c>
      <c r="P619" s="22">
        <f t="shared" si="9"/>
        <v>20.177615533980585</v>
      </c>
    </row>
    <row r="620" spans="10:16" x14ac:dyDescent="0.35">
      <c r="J620" s="36">
        <v>45399</v>
      </c>
      <c r="K620" t="str">
        <v>PM</v>
      </c>
      <c r="L620" t="str">
        <v>April</v>
      </c>
      <c r="M620" t="str">
        <v>WED</v>
      </c>
      <c r="N620">
        <v>3.95</v>
      </c>
      <c r="O620">
        <v>145.55123599999999</v>
      </c>
      <c r="P620" s="22">
        <f t="shared" si="9"/>
        <v>36.848414177215183</v>
      </c>
    </row>
    <row r="621" spans="10:16" x14ac:dyDescent="0.35">
      <c r="J621" s="36">
        <v>45400</v>
      </c>
      <c r="K621" t="str">
        <v>AM</v>
      </c>
      <c r="L621" t="str">
        <v>April</v>
      </c>
      <c r="M621" t="str">
        <v>THU</v>
      </c>
      <c r="N621">
        <v>4.4083333333333332</v>
      </c>
      <c r="O621">
        <v>100.37970200000001</v>
      </c>
      <c r="P621" s="22">
        <f t="shared" si="9"/>
        <v>22.770442797731572</v>
      </c>
    </row>
    <row r="622" spans="10:16" x14ac:dyDescent="0.35">
      <c r="J622" s="36">
        <v>45400</v>
      </c>
      <c r="K622" t="str">
        <v>PM</v>
      </c>
      <c r="L622" t="str">
        <v>April</v>
      </c>
      <c r="M622" t="str">
        <v>THU</v>
      </c>
      <c r="N622">
        <v>4.4083333333333332</v>
      </c>
      <c r="O622">
        <v>100.37970200000001</v>
      </c>
      <c r="P622" s="22">
        <f t="shared" si="9"/>
        <v>22.770442797731572</v>
      </c>
    </row>
    <row r="623" spans="10:16" x14ac:dyDescent="0.35">
      <c r="J623" s="36">
        <v>45401</v>
      </c>
      <c r="K623" t="str">
        <v>AM</v>
      </c>
      <c r="L623" t="str">
        <v>April</v>
      </c>
      <c r="M623" t="str">
        <v>FRI</v>
      </c>
      <c r="N623">
        <v>0</v>
      </c>
      <c r="O623">
        <v>0</v>
      </c>
      <c r="P623" s="22">
        <f t="shared" si="9"/>
        <v>0</v>
      </c>
    </row>
    <row r="624" spans="10:16" x14ac:dyDescent="0.35">
      <c r="J624" s="36">
        <v>45401</v>
      </c>
      <c r="K624" t="str">
        <v>PM</v>
      </c>
      <c r="L624" t="str">
        <v>April</v>
      </c>
      <c r="M624" t="str">
        <v>FRI</v>
      </c>
      <c r="N624">
        <v>6.4666666666666668</v>
      </c>
      <c r="O624">
        <v>216.12048000000001</v>
      </c>
      <c r="P624" s="22">
        <f t="shared" si="9"/>
        <v>33.420692783505153</v>
      </c>
    </row>
    <row r="625" spans="10:16" x14ac:dyDescent="0.35">
      <c r="J625" s="36">
        <v>45402</v>
      </c>
      <c r="K625" t="str">
        <v>AM</v>
      </c>
      <c r="L625" t="str">
        <v>April</v>
      </c>
      <c r="M625" t="str">
        <v>SAT</v>
      </c>
      <c r="N625">
        <v>4.3916666666666666</v>
      </c>
      <c r="O625">
        <v>203.769158</v>
      </c>
      <c r="P625" s="22">
        <f t="shared" si="9"/>
        <v>46.399049259962048</v>
      </c>
    </row>
    <row r="626" spans="10:16" x14ac:dyDescent="0.35">
      <c r="J626" s="36">
        <v>45402</v>
      </c>
      <c r="K626" t="str">
        <v>PM</v>
      </c>
      <c r="L626" t="str">
        <v>April</v>
      </c>
      <c r="M626" t="str">
        <v>SAT</v>
      </c>
      <c r="N626">
        <v>5.3916666666666666</v>
      </c>
      <c r="O626">
        <v>205.899158</v>
      </c>
      <c r="P626" s="22">
        <f t="shared" si="9"/>
        <v>38.188406429675425</v>
      </c>
    </row>
    <row r="627" spans="10:16" x14ac:dyDescent="0.35">
      <c r="J627" s="36">
        <v>45403</v>
      </c>
      <c r="K627" t="str">
        <v>AM</v>
      </c>
      <c r="L627" t="str">
        <v>April</v>
      </c>
      <c r="M627" t="str">
        <v>SUN</v>
      </c>
      <c r="N627">
        <v>0</v>
      </c>
      <c r="O627">
        <v>0</v>
      </c>
      <c r="P627" s="22">
        <f t="shared" si="9"/>
        <v>0</v>
      </c>
    </row>
    <row r="628" spans="10:16" x14ac:dyDescent="0.35">
      <c r="J628" s="36">
        <v>45403</v>
      </c>
      <c r="K628" t="str">
        <v>PM</v>
      </c>
      <c r="L628" t="str">
        <v>April</v>
      </c>
      <c r="M628" t="str">
        <v>SUN</v>
      </c>
      <c r="N628">
        <v>0</v>
      </c>
      <c r="O628">
        <v>0</v>
      </c>
      <c r="P628" s="22">
        <f t="shared" si="9"/>
        <v>0</v>
      </c>
    </row>
    <row r="629" spans="10:16" x14ac:dyDescent="0.35">
      <c r="J629" s="36">
        <v>45404</v>
      </c>
      <c r="K629" t="str">
        <v>AM</v>
      </c>
      <c r="L629" t="str">
        <v>April</v>
      </c>
      <c r="M629" t="str">
        <v>MON</v>
      </c>
      <c r="N629">
        <v>2.1833333333333331</v>
      </c>
      <c r="O629">
        <v>37.632892000000005</v>
      </c>
      <c r="P629" s="22">
        <f t="shared" si="9"/>
        <v>17.236439083969469</v>
      </c>
    </row>
    <row r="630" spans="10:16" x14ac:dyDescent="0.35">
      <c r="J630" s="36">
        <v>45404</v>
      </c>
      <c r="K630" t="str">
        <v>PM</v>
      </c>
      <c r="L630" t="str">
        <v>April</v>
      </c>
      <c r="M630" t="str">
        <v>MON</v>
      </c>
      <c r="N630">
        <v>0</v>
      </c>
      <c r="O630">
        <v>0</v>
      </c>
      <c r="P630" s="22">
        <f t="shared" si="9"/>
        <v>0</v>
      </c>
    </row>
    <row r="631" spans="10:16" x14ac:dyDescent="0.35">
      <c r="J631" s="36">
        <v>45405</v>
      </c>
      <c r="K631" t="str">
        <v>AM</v>
      </c>
      <c r="L631" t="str">
        <v>April</v>
      </c>
      <c r="M631" t="str">
        <v>TUE</v>
      </c>
      <c r="N631">
        <v>0</v>
      </c>
      <c r="O631">
        <v>0</v>
      </c>
      <c r="P631" s="22">
        <f t="shared" si="9"/>
        <v>0</v>
      </c>
    </row>
    <row r="632" spans="10:16" x14ac:dyDescent="0.35">
      <c r="J632" s="36">
        <v>45405</v>
      </c>
      <c r="K632" t="str">
        <v>PM</v>
      </c>
      <c r="L632" t="str">
        <v>April</v>
      </c>
      <c r="M632" t="str">
        <v>TUE</v>
      </c>
      <c r="N632">
        <v>0</v>
      </c>
      <c r="O632">
        <v>0</v>
      </c>
      <c r="P632" s="22">
        <f t="shared" si="9"/>
        <v>0</v>
      </c>
    </row>
    <row r="633" spans="10:16" x14ac:dyDescent="0.35">
      <c r="J633" s="36">
        <v>45406</v>
      </c>
      <c r="K633" t="str">
        <v>AM</v>
      </c>
      <c r="L633" t="str">
        <v>April</v>
      </c>
      <c r="M633" t="str">
        <v>WED</v>
      </c>
      <c r="N633">
        <v>0</v>
      </c>
      <c r="O633">
        <v>0</v>
      </c>
      <c r="P633" s="22">
        <f t="shared" si="9"/>
        <v>0</v>
      </c>
    </row>
    <row r="634" spans="10:16" x14ac:dyDescent="0.35">
      <c r="J634" s="36">
        <v>45406</v>
      </c>
      <c r="K634" t="str">
        <v>PM</v>
      </c>
      <c r="L634" t="str">
        <v>April</v>
      </c>
      <c r="M634" t="str">
        <v>WED</v>
      </c>
      <c r="N634">
        <v>0</v>
      </c>
      <c r="O634">
        <v>0</v>
      </c>
      <c r="P634" s="22">
        <f t="shared" si="9"/>
        <v>0</v>
      </c>
    </row>
    <row r="635" spans="10:16" x14ac:dyDescent="0.35">
      <c r="J635" s="36">
        <v>45407</v>
      </c>
      <c r="K635" t="str">
        <v>AM</v>
      </c>
      <c r="L635" t="str">
        <v>April</v>
      </c>
      <c r="M635" t="str">
        <v>THU</v>
      </c>
      <c r="N635">
        <v>0</v>
      </c>
      <c r="O635">
        <v>0</v>
      </c>
      <c r="P635" s="22">
        <f t="shared" si="9"/>
        <v>0</v>
      </c>
    </row>
    <row r="636" spans="10:16" x14ac:dyDescent="0.35">
      <c r="J636" s="36">
        <v>45407</v>
      </c>
      <c r="K636" t="str">
        <v>PM</v>
      </c>
      <c r="L636" t="str">
        <v>April</v>
      </c>
      <c r="M636" t="str">
        <v>THU</v>
      </c>
      <c r="N636">
        <v>0</v>
      </c>
      <c r="O636">
        <v>0</v>
      </c>
      <c r="P636" s="22">
        <f t="shared" si="9"/>
        <v>0</v>
      </c>
    </row>
    <row r="637" spans="10:16" x14ac:dyDescent="0.35">
      <c r="J637" s="36">
        <v>45408</v>
      </c>
      <c r="K637" t="str">
        <v>AM</v>
      </c>
      <c r="L637" t="str">
        <v>April</v>
      </c>
      <c r="M637" t="str">
        <v>FRI</v>
      </c>
      <c r="N637">
        <v>0</v>
      </c>
      <c r="O637">
        <v>0</v>
      </c>
      <c r="P637" s="22">
        <f t="shared" si="9"/>
        <v>0</v>
      </c>
    </row>
    <row r="638" spans="10:16" x14ac:dyDescent="0.35">
      <c r="J638" s="36">
        <v>45408</v>
      </c>
      <c r="K638" t="str">
        <v>PM</v>
      </c>
      <c r="L638" t="str">
        <v>April</v>
      </c>
      <c r="M638" t="str">
        <v>FRI</v>
      </c>
      <c r="N638">
        <v>7.166666666666667</v>
      </c>
      <c r="O638">
        <v>284.76803999999998</v>
      </c>
      <c r="P638" s="22">
        <f t="shared" si="9"/>
        <v>39.735075348837206</v>
      </c>
    </row>
    <row r="639" spans="10:16" x14ac:dyDescent="0.35">
      <c r="J639" s="36">
        <v>45409</v>
      </c>
      <c r="K639" t="str">
        <v>AM</v>
      </c>
      <c r="L639" t="str">
        <v>April</v>
      </c>
      <c r="M639" t="str">
        <v>SAT</v>
      </c>
      <c r="N639">
        <v>5.1166666666666663</v>
      </c>
      <c r="O639">
        <v>234.53430800000001</v>
      </c>
      <c r="P639" s="22">
        <f t="shared" si="9"/>
        <v>45.837324039087953</v>
      </c>
    </row>
    <row r="640" spans="10:16" x14ac:dyDescent="0.35">
      <c r="J640" s="36">
        <v>45409</v>
      </c>
      <c r="K640" t="str">
        <v>PM</v>
      </c>
      <c r="L640" t="str">
        <v>April</v>
      </c>
      <c r="M640" t="str">
        <v>SAT</v>
      </c>
      <c r="N640">
        <v>5.1166666666666663</v>
      </c>
      <c r="O640">
        <v>234.53430800000001</v>
      </c>
      <c r="P640" s="22">
        <f t="shared" si="9"/>
        <v>45.837324039087953</v>
      </c>
    </row>
    <row r="641" spans="10:16" x14ac:dyDescent="0.35">
      <c r="J641" s="36">
        <v>45410</v>
      </c>
      <c r="K641" t="str">
        <v>AM</v>
      </c>
      <c r="L641" t="str">
        <v>April</v>
      </c>
      <c r="M641" t="str">
        <v>SUN</v>
      </c>
      <c r="N641">
        <v>0</v>
      </c>
      <c r="O641">
        <v>0</v>
      </c>
      <c r="P641" s="22">
        <f t="shared" si="9"/>
        <v>0</v>
      </c>
    </row>
    <row r="642" spans="10:16" x14ac:dyDescent="0.35">
      <c r="J642" s="36">
        <v>45410</v>
      </c>
      <c r="K642" t="str">
        <v>PM</v>
      </c>
      <c r="L642" t="str">
        <v>April</v>
      </c>
      <c r="M642" t="str">
        <v>SUN</v>
      </c>
      <c r="N642">
        <v>5.4666666666666668</v>
      </c>
      <c r="O642">
        <v>309.659424</v>
      </c>
      <c r="P642" s="22">
        <f t="shared" si="9"/>
        <v>56.645016585365852</v>
      </c>
    </row>
    <row r="643" spans="10:16" x14ac:dyDescent="0.35">
      <c r="J643" s="36">
        <v>45411</v>
      </c>
      <c r="K643" t="str">
        <v>AM</v>
      </c>
      <c r="L643" t="str">
        <v>April</v>
      </c>
      <c r="M643" t="str">
        <v>MON</v>
      </c>
      <c r="N643">
        <v>4.0166666666666666</v>
      </c>
      <c r="O643">
        <v>104.67538</v>
      </c>
      <c r="P643" s="22">
        <f t="shared" si="9"/>
        <v>26.060260580912864</v>
      </c>
    </row>
    <row r="644" spans="10:16" x14ac:dyDescent="0.35">
      <c r="J644" s="36">
        <v>45411</v>
      </c>
      <c r="K644" t="str">
        <v>PM</v>
      </c>
      <c r="L644" t="str">
        <v>April</v>
      </c>
      <c r="M644" t="str">
        <v>MON</v>
      </c>
      <c r="N644">
        <v>4.166666666666667</v>
      </c>
      <c r="O644">
        <v>117.92331999999999</v>
      </c>
      <c r="P644" s="22">
        <f t="shared" ref="P644:P707" si="10">IFERROR(O644/N644,0)</f>
        <v>28.301596799999995</v>
      </c>
    </row>
    <row r="645" spans="10:16" x14ac:dyDescent="0.35">
      <c r="J645" s="36">
        <v>45412</v>
      </c>
      <c r="K645" t="str">
        <v>AM</v>
      </c>
      <c r="L645" t="str">
        <v>April</v>
      </c>
      <c r="M645" t="str">
        <v>TUE</v>
      </c>
      <c r="N645">
        <v>0</v>
      </c>
      <c r="O645">
        <v>0</v>
      </c>
      <c r="P645" s="22">
        <f t="shared" si="10"/>
        <v>0</v>
      </c>
    </row>
    <row r="646" spans="10:16" x14ac:dyDescent="0.35">
      <c r="J646" s="36">
        <v>45412</v>
      </c>
      <c r="K646" t="str">
        <v>PM</v>
      </c>
      <c r="L646" t="str">
        <v>April</v>
      </c>
      <c r="M646" t="str">
        <v>TUE</v>
      </c>
      <c r="N646">
        <v>0</v>
      </c>
      <c r="O646">
        <v>0</v>
      </c>
      <c r="P646" s="22">
        <f t="shared" si="10"/>
        <v>0</v>
      </c>
    </row>
    <row r="647" spans="10:16" x14ac:dyDescent="0.35">
      <c r="J647" s="36">
        <v>45413</v>
      </c>
      <c r="K647" t="str">
        <v>AM</v>
      </c>
      <c r="L647" t="str">
        <v>May</v>
      </c>
      <c r="M647" t="str">
        <v>WED</v>
      </c>
      <c r="N647">
        <v>4.0999999999999996</v>
      </c>
      <c r="O647">
        <v>121.366584</v>
      </c>
      <c r="P647" s="22">
        <f t="shared" si="10"/>
        <v>29.60160585365854</v>
      </c>
    </row>
    <row r="648" spans="10:16" x14ac:dyDescent="0.35">
      <c r="J648" s="36">
        <v>45413</v>
      </c>
      <c r="K648" t="str">
        <v>PM</v>
      </c>
      <c r="L648" t="str">
        <v>May</v>
      </c>
      <c r="M648" t="str">
        <v>WED</v>
      </c>
      <c r="N648">
        <v>4.4666666666666668</v>
      </c>
      <c r="O648">
        <v>155.88106400000001</v>
      </c>
      <c r="P648" s="22">
        <f t="shared" si="10"/>
        <v>34.898745671641791</v>
      </c>
    </row>
    <row r="649" spans="10:16" x14ac:dyDescent="0.35">
      <c r="J649" s="36">
        <v>45414</v>
      </c>
      <c r="K649" t="str">
        <v>AM</v>
      </c>
      <c r="L649" t="str">
        <v>May</v>
      </c>
      <c r="M649" t="str">
        <v>THU</v>
      </c>
      <c r="N649">
        <v>0</v>
      </c>
      <c r="O649">
        <v>0</v>
      </c>
      <c r="P649" s="22">
        <f t="shared" si="10"/>
        <v>0</v>
      </c>
    </row>
    <row r="650" spans="10:16" x14ac:dyDescent="0.35">
      <c r="J650" s="36">
        <v>45414</v>
      </c>
      <c r="K650" t="str">
        <v>PM</v>
      </c>
      <c r="L650" t="str">
        <v>May</v>
      </c>
      <c r="M650" t="str">
        <v>THU</v>
      </c>
      <c r="N650">
        <v>0</v>
      </c>
      <c r="O650">
        <v>0</v>
      </c>
      <c r="P650" s="22">
        <f t="shared" si="10"/>
        <v>0</v>
      </c>
    </row>
    <row r="651" spans="10:16" x14ac:dyDescent="0.35">
      <c r="J651" s="36">
        <v>45415</v>
      </c>
      <c r="K651" t="str">
        <v>AM</v>
      </c>
      <c r="L651" t="str">
        <v>May</v>
      </c>
      <c r="M651" t="str">
        <v>FRI</v>
      </c>
      <c r="N651">
        <v>0</v>
      </c>
      <c r="O651">
        <v>0</v>
      </c>
      <c r="P651" s="22">
        <f t="shared" si="10"/>
        <v>0</v>
      </c>
    </row>
    <row r="652" spans="10:16" x14ac:dyDescent="0.35">
      <c r="J652" s="36">
        <v>45415</v>
      </c>
      <c r="K652" t="str">
        <v>PM</v>
      </c>
      <c r="L652" t="str">
        <v>May</v>
      </c>
      <c r="M652" t="str">
        <v>FRI</v>
      </c>
      <c r="N652">
        <v>7.55</v>
      </c>
      <c r="O652">
        <v>262.33873999999997</v>
      </c>
      <c r="P652" s="22">
        <f t="shared" si="10"/>
        <v>34.746852980132445</v>
      </c>
    </row>
    <row r="653" spans="10:16" x14ac:dyDescent="0.35">
      <c r="J653" s="36">
        <v>45416</v>
      </c>
      <c r="K653" t="str">
        <v>AM</v>
      </c>
      <c r="L653" t="str">
        <v>May</v>
      </c>
      <c r="M653" t="str">
        <v>SAT</v>
      </c>
      <c r="N653">
        <v>5.1416666666666666</v>
      </c>
      <c r="O653">
        <v>194.77481399999999</v>
      </c>
      <c r="P653" s="22">
        <f t="shared" si="10"/>
        <v>37.88164940032415</v>
      </c>
    </row>
    <row r="654" spans="10:16" x14ac:dyDescent="0.35">
      <c r="J654" s="36">
        <v>45416</v>
      </c>
      <c r="K654" t="str">
        <v>PM</v>
      </c>
      <c r="L654" t="str">
        <v>May</v>
      </c>
      <c r="M654" t="str">
        <v>SAT</v>
      </c>
      <c r="N654">
        <v>5.1416666666666666</v>
      </c>
      <c r="O654">
        <v>194.77481399999999</v>
      </c>
      <c r="P654" s="22">
        <f t="shared" si="10"/>
        <v>37.88164940032415</v>
      </c>
    </row>
    <row r="655" spans="10:16" x14ac:dyDescent="0.35">
      <c r="J655" s="36">
        <v>45417</v>
      </c>
      <c r="K655" t="str">
        <v>AM</v>
      </c>
      <c r="L655" t="str">
        <v>May</v>
      </c>
      <c r="M655" t="str">
        <v>SUN</v>
      </c>
      <c r="N655">
        <v>0</v>
      </c>
      <c r="O655">
        <v>0</v>
      </c>
      <c r="P655" s="22">
        <f t="shared" si="10"/>
        <v>0</v>
      </c>
    </row>
    <row r="656" spans="10:16" x14ac:dyDescent="0.35">
      <c r="J656" s="36">
        <v>45417</v>
      </c>
      <c r="K656" t="str">
        <v>PM</v>
      </c>
      <c r="L656" t="str">
        <v>May</v>
      </c>
      <c r="M656" t="str">
        <v>SUN</v>
      </c>
      <c r="N656">
        <v>6.166666666666667</v>
      </c>
      <c r="O656">
        <v>330.93636000000004</v>
      </c>
      <c r="P656" s="22">
        <f t="shared" si="10"/>
        <v>53.665355675675677</v>
      </c>
    </row>
    <row r="657" spans="10:16" x14ac:dyDescent="0.35">
      <c r="J657" s="36">
        <v>45418</v>
      </c>
      <c r="K657" t="str">
        <v>AM</v>
      </c>
      <c r="L657" t="str">
        <v>May</v>
      </c>
      <c r="M657" t="str">
        <v>MON</v>
      </c>
      <c r="N657">
        <v>0</v>
      </c>
      <c r="O657">
        <v>0</v>
      </c>
      <c r="P657" s="22">
        <f t="shared" si="10"/>
        <v>0</v>
      </c>
    </row>
    <row r="658" spans="10:16" x14ac:dyDescent="0.35">
      <c r="J658" s="36">
        <v>45418</v>
      </c>
      <c r="K658" t="str">
        <v>PM</v>
      </c>
      <c r="L658" t="str">
        <v>May</v>
      </c>
      <c r="M658" t="str">
        <v>MON</v>
      </c>
      <c r="N658">
        <v>4.7833333333333332</v>
      </c>
      <c r="O658">
        <v>219.89998</v>
      </c>
      <c r="P658" s="22">
        <f t="shared" si="10"/>
        <v>45.9721212543554</v>
      </c>
    </row>
    <row r="659" spans="10:16" x14ac:dyDescent="0.35">
      <c r="J659" s="36">
        <v>45419</v>
      </c>
      <c r="K659" t="str">
        <v>AM</v>
      </c>
      <c r="L659" t="str">
        <v>May</v>
      </c>
      <c r="M659" t="str">
        <v>TUE</v>
      </c>
      <c r="N659">
        <v>0</v>
      </c>
      <c r="O659">
        <v>0</v>
      </c>
      <c r="P659" s="22">
        <f t="shared" si="10"/>
        <v>0</v>
      </c>
    </row>
    <row r="660" spans="10:16" x14ac:dyDescent="0.35">
      <c r="J660" s="36">
        <v>45419</v>
      </c>
      <c r="K660" t="str">
        <v>PM</v>
      </c>
      <c r="L660" t="str">
        <v>May</v>
      </c>
      <c r="M660" t="str">
        <v>TUE</v>
      </c>
      <c r="N660">
        <v>0</v>
      </c>
      <c r="O660">
        <v>0</v>
      </c>
      <c r="P660" s="22">
        <f t="shared" si="10"/>
        <v>0</v>
      </c>
    </row>
    <row r="661" spans="10:16" x14ac:dyDescent="0.35">
      <c r="J661" s="36">
        <v>45420</v>
      </c>
      <c r="K661" t="str">
        <v>AM</v>
      </c>
      <c r="L661" t="str">
        <v>May</v>
      </c>
      <c r="M661" t="str">
        <v>WED</v>
      </c>
      <c r="N661">
        <v>0</v>
      </c>
      <c r="O661">
        <v>0</v>
      </c>
      <c r="P661" s="22">
        <f t="shared" si="10"/>
        <v>0</v>
      </c>
    </row>
    <row r="662" spans="10:16" x14ac:dyDescent="0.35">
      <c r="J662" s="36">
        <v>45420</v>
      </c>
      <c r="K662" t="str">
        <v>PM</v>
      </c>
      <c r="L662" t="str">
        <v>May</v>
      </c>
      <c r="M662" t="str">
        <v>WED</v>
      </c>
      <c r="N662">
        <v>4</v>
      </c>
      <c r="O662">
        <v>98.66968</v>
      </c>
      <c r="P662" s="22">
        <f t="shared" si="10"/>
        <v>24.66742</v>
      </c>
    </row>
    <row r="663" spans="10:16" x14ac:dyDescent="0.35">
      <c r="J663" s="36">
        <v>45421</v>
      </c>
      <c r="K663" t="str">
        <v>AM</v>
      </c>
      <c r="L663" t="str">
        <v>May</v>
      </c>
      <c r="M663" t="str">
        <v>THU</v>
      </c>
      <c r="N663">
        <v>0</v>
      </c>
      <c r="O663">
        <v>0</v>
      </c>
      <c r="P663" s="22">
        <f t="shared" si="10"/>
        <v>0</v>
      </c>
    </row>
    <row r="664" spans="10:16" x14ac:dyDescent="0.35">
      <c r="J664" s="36">
        <v>45421</v>
      </c>
      <c r="K664" t="str">
        <v>PM</v>
      </c>
      <c r="L664" t="str">
        <v>May</v>
      </c>
      <c r="M664" t="str">
        <v>THU</v>
      </c>
      <c r="N664">
        <v>0</v>
      </c>
      <c r="O664">
        <v>0</v>
      </c>
      <c r="P664" s="22">
        <f t="shared" si="10"/>
        <v>0</v>
      </c>
    </row>
    <row r="665" spans="10:16" x14ac:dyDescent="0.35">
      <c r="J665" s="36">
        <v>45422</v>
      </c>
      <c r="K665" t="str">
        <v>AM</v>
      </c>
      <c r="L665" t="str">
        <v>May</v>
      </c>
      <c r="M665" t="str">
        <v>FRI</v>
      </c>
      <c r="N665">
        <v>0</v>
      </c>
      <c r="O665">
        <v>0</v>
      </c>
      <c r="P665" s="22">
        <f t="shared" si="10"/>
        <v>0</v>
      </c>
    </row>
    <row r="666" spans="10:16" x14ac:dyDescent="0.35">
      <c r="J666" s="36">
        <v>45422</v>
      </c>
      <c r="K666" t="str">
        <v>PM</v>
      </c>
      <c r="L666" t="str">
        <v>May</v>
      </c>
      <c r="M666" t="str">
        <v>FRI</v>
      </c>
      <c r="N666">
        <v>7.333333333333333</v>
      </c>
      <c r="O666">
        <v>220.57392000000004</v>
      </c>
      <c r="P666" s="22">
        <f t="shared" si="10"/>
        <v>30.078261818181826</v>
      </c>
    </row>
    <row r="667" spans="10:16" x14ac:dyDescent="0.35">
      <c r="J667" s="36">
        <v>45423</v>
      </c>
      <c r="K667" t="str">
        <v>AM</v>
      </c>
      <c r="L667" t="str">
        <v>May</v>
      </c>
      <c r="M667" t="str">
        <v>SAT</v>
      </c>
      <c r="N667">
        <v>5.4</v>
      </c>
      <c r="O667">
        <v>180.02605600000001</v>
      </c>
      <c r="P667" s="22">
        <f t="shared" si="10"/>
        <v>33.338158518518519</v>
      </c>
    </row>
    <row r="668" spans="10:16" x14ac:dyDescent="0.35">
      <c r="J668" s="36">
        <v>45423</v>
      </c>
      <c r="K668" t="str">
        <v>PM</v>
      </c>
      <c r="L668" t="str">
        <v>May</v>
      </c>
      <c r="M668" t="str">
        <v>SAT</v>
      </c>
      <c r="N668">
        <v>5.4</v>
      </c>
      <c r="O668">
        <v>180.02605600000001</v>
      </c>
      <c r="P668" s="22">
        <f t="shared" si="10"/>
        <v>33.338158518518519</v>
      </c>
    </row>
    <row r="669" spans="10:16" x14ac:dyDescent="0.35">
      <c r="J669" s="36">
        <v>45424</v>
      </c>
      <c r="K669" t="str">
        <v>AM</v>
      </c>
      <c r="L669" t="str">
        <v>May</v>
      </c>
      <c r="M669" t="str">
        <v>SUN</v>
      </c>
      <c r="N669">
        <v>0</v>
      </c>
      <c r="O669">
        <v>0</v>
      </c>
      <c r="P669" s="22">
        <f t="shared" si="10"/>
        <v>0</v>
      </c>
    </row>
    <row r="670" spans="10:16" x14ac:dyDescent="0.35">
      <c r="J670" s="36">
        <v>45424</v>
      </c>
      <c r="K670" t="str">
        <v>PM</v>
      </c>
      <c r="L670" t="str">
        <v>May</v>
      </c>
      <c r="M670" t="str">
        <v>SUN</v>
      </c>
      <c r="N670">
        <v>7</v>
      </c>
      <c r="O670">
        <v>441.84240000000005</v>
      </c>
      <c r="P670" s="22">
        <f t="shared" si="10"/>
        <v>63.120342857142866</v>
      </c>
    </row>
    <row r="671" spans="10:16" x14ac:dyDescent="0.35">
      <c r="J671" s="36">
        <v>45425</v>
      </c>
      <c r="K671" t="str">
        <v>AM</v>
      </c>
      <c r="L671" t="str">
        <v>May</v>
      </c>
      <c r="M671" t="str">
        <v>MON</v>
      </c>
      <c r="N671">
        <v>3.0833333333333335</v>
      </c>
      <c r="O671">
        <v>74.6875</v>
      </c>
      <c r="P671" s="22">
        <f t="shared" si="10"/>
        <v>24.222972972972972</v>
      </c>
    </row>
    <row r="672" spans="10:16" x14ac:dyDescent="0.35">
      <c r="J672" s="36">
        <v>45425</v>
      </c>
      <c r="K672" t="str">
        <v>PM</v>
      </c>
      <c r="L672" t="str">
        <v>May</v>
      </c>
      <c r="M672" t="str">
        <v>MON</v>
      </c>
      <c r="N672">
        <v>0</v>
      </c>
      <c r="O672">
        <v>0</v>
      </c>
      <c r="P672" s="22">
        <f t="shared" si="10"/>
        <v>0</v>
      </c>
    </row>
    <row r="673" spans="10:16" x14ac:dyDescent="0.35">
      <c r="J673" s="36">
        <v>45426</v>
      </c>
      <c r="K673" t="str">
        <v>AM</v>
      </c>
      <c r="L673" t="str">
        <v>May</v>
      </c>
      <c r="M673" t="str">
        <v>TUE</v>
      </c>
      <c r="N673">
        <v>0</v>
      </c>
      <c r="O673">
        <v>0</v>
      </c>
      <c r="P673" s="22">
        <f t="shared" si="10"/>
        <v>0</v>
      </c>
    </row>
    <row r="674" spans="10:16" x14ac:dyDescent="0.35">
      <c r="J674" s="36">
        <v>45426</v>
      </c>
      <c r="K674" t="str">
        <v>PM</v>
      </c>
      <c r="L674" t="str">
        <v>May</v>
      </c>
      <c r="M674" t="str">
        <v>TUE</v>
      </c>
      <c r="N674">
        <v>0</v>
      </c>
      <c r="O674">
        <v>0</v>
      </c>
      <c r="P674" s="22">
        <f t="shared" si="10"/>
        <v>0</v>
      </c>
    </row>
    <row r="675" spans="10:16" x14ac:dyDescent="0.35">
      <c r="J675" s="36">
        <v>45427</v>
      </c>
      <c r="K675" t="str">
        <v>AM</v>
      </c>
      <c r="L675" t="str">
        <v>May</v>
      </c>
      <c r="M675" t="str">
        <v>WED</v>
      </c>
      <c r="N675">
        <v>0</v>
      </c>
      <c r="O675">
        <v>0</v>
      </c>
      <c r="P675" s="22">
        <f t="shared" si="10"/>
        <v>0</v>
      </c>
    </row>
    <row r="676" spans="10:16" x14ac:dyDescent="0.35">
      <c r="J676" s="36">
        <v>45427</v>
      </c>
      <c r="K676" t="str">
        <v>PM</v>
      </c>
      <c r="L676" t="str">
        <v>May</v>
      </c>
      <c r="M676" t="str">
        <v>WED</v>
      </c>
      <c r="N676">
        <v>4.3666666666666663</v>
      </c>
      <c r="O676">
        <v>151.49395200000001</v>
      </c>
      <c r="P676" s="22">
        <f t="shared" si="10"/>
        <v>34.693271450381687</v>
      </c>
    </row>
    <row r="677" spans="10:16" x14ac:dyDescent="0.35">
      <c r="J677" s="36">
        <v>45428</v>
      </c>
      <c r="K677" t="str">
        <v>AM</v>
      </c>
      <c r="L677" t="str">
        <v>May</v>
      </c>
      <c r="M677" t="str">
        <v>THU</v>
      </c>
      <c r="N677">
        <v>0</v>
      </c>
      <c r="O677">
        <v>0</v>
      </c>
      <c r="P677" s="22">
        <f t="shared" si="10"/>
        <v>0</v>
      </c>
    </row>
    <row r="678" spans="10:16" x14ac:dyDescent="0.35">
      <c r="J678" s="36">
        <v>45428</v>
      </c>
      <c r="K678" t="str">
        <v>PM</v>
      </c>
      <c r="L678" t="str">
        <v>May</v>
      </c>
      <c r="M678" t="str">
        <v>THU</v>
      </c>
      <c r="N678">
        <v>5</v>
      </c>
      <c r="O678">
        <v>158.003232</v>
      </c>
      <c r="P678" s="22">
        <f t="shared" si="10"/>
        <v>31.600646399999999</v>
      </c>
    </row>
    <row r="679" spans="10:16" x14ac:dyDescent="0.35">
      <c r="J679" s="36">
        <v>45429</v>
      </c>
      <c r="K679" t="str">
        <v>AM</v>
      </c>
      <c r="L679" t="str">
        <v>May</v>
      </c>
      <c r="M679" t="str">
        <v>FRI</v>
      </c>
      <c r="N679">
        <v>0</v>
      </c>
      <c r="O679">
        <v>0</v>
      </c>
      <c r="P679" s="22">
        <f t="shared" si="10"/>
        <v>0</v>
      </c>
    </row>
    <row r="680" spans="10:16" x14ac:dyDescent="0.35">
      <c r="J680" s="36">
        <v>45429</v>
      </c>
      <c r="K680" t="str">
        <v>PM</v>
      </c>
      <c r="L680" t="str">
        <v>May</v>
      </c>
      <c r="M680" t="str">
        <v>FRI</v>
      </c>
      <c r="N680">
        <v>0</v>
      </c>
      <c r="O680">
        <v>0</v>
      </c>
      <c r="P680" s="22">
        <f t="shared" si="10"/>
        <v>0</v>
      </c>
    </row>
    <row r="681" spans="10:16" x14ac:dyDescent="0.35">
      <c r="J681" s="36">
        <v>45430</v>
      </c>
      <c r="K681" t="str">
        <v>AM</v>
      </c>
      <c r="L681" t="str">
        <v>May</v>
      </c>
      <c r="M681" t="str">
        <v>SAT</v>
      </c>
      <c r="N681">
        <v>3.0833333333333335</v>
      </c>
      <c r="O681">
        <v>165.25896399999999</v>
      </c>
      <c r="P681" s="22">
        <f t="shared" si="10"/>
        <v>53.597501837837832</v>
      </c>
    </row>
    <row r="682" spans="10:16" x14ac:dyDescent="0.35">
      <c r="J682" s="36">
        <v>45430</v>
      </c>
      <c r="K682" t="str">
        <v>PM</v>
      </c>
      <c r="L682" t="str">
        <v>May</v>
      </c>
      <c r="M682" t="str">
        <v>SAT</v>
      </c>
      <c r="N682">
        <v>5.2833333333333332</v>
      </c>
      <c r="O682">
        <v>280.04757199999995</v>
      </c>
      <c r="P682" s="22">
        <f t="shared" si="10"/>
        <v>53.005849589905353</v>
      </c>
    </row>
    <row r="683" spans="10:16" x14ac:dyDescent="0.35">
      <c r="J683" s="36">
        <v>45431</v>
      </c>
      <c r="K683" t="str">
        <v>AM</v>
      </c>
      <c r="L683" t="str">
        <v>May</v>
      </c>
      <c r="M683" t="str">
        <v>SUN</v>
      </c>
      <c r="N683">
        <v>4.833333333333333</v>
      </c>
      <c r="O683">
        <v>103.512664</v>
      </c>
      <c r="P683" s="22">
        <f t="shared" si="10"/>
        <v>21.416413241379313</v>
      </c>
    </row>
    <row r="684" spans="10:16" x14ac:dyDescent="0.35">
      <c r="J684" s="36">
        <v>45431</v>
      </c>
      <c r="K684" t="str">
        <v>PM</v>
      </c>
      <c r="L684" t="str">
        <v>May</v>
      </c>
      <c r="M684" t="str">
        <v>SUN</v>
      </c>
      <c r="N684">
        <v>4.8833333333333337</v>
      </c>
      <c r="O684">
        <v>213.52000400000003</v>
      </c>
      <c r="P684" s="22">
        <f t="shared" si="10"/>
        <v>43.724232901023896</v>
      </c>
    </row>
    <row r="685" spans="10:16" x14ac:dyDescent="0.35">
      <c r="J685" s="36">
        <v>45432</v>
      </c>
      <c r="K685" t="str">
        <v>AM</v>
      </c>
      <c r="L685" t="str">
        <v>May</v>
      </c>
      <c r="M685" t="str">
        <v>MON</v>
      </c>
      <c r="N685">
        <v>0</v>
      </c>
      <c r="O685">
        <v>0</v>
      </c>
      <c r="P685" s="22">
        <f t="shared" si="10"/>
        <v>0</v>
      </c>
    </row>
    <row r="686" spans="10:16" x14ac:dyDescent="0.35">
      <c r="J686" s="36">
        <v>45432</v>
      </c>
      <c r="K686" t="str">
        <v>PM</v>
      </c>
      <c r="L686" t="str">
        <v>May</v>
      </c>
      <c r="M686" t="str">
        <v>MON</v>
      </c>
      <c r="N686">
        <v>3.95</v>
      </c>
      <c r="O686">
        <v>132.661508</v>
      </c>
      <c r="P686" s="22">
        <f t="shared" si="10"/>
        <v>33.585191898734173</v>
      </c>
    </row>
    <row r="687" spans="10:16" x14ac:dyDescent="0.35">
      <c r="J687" s="36">
        <v>45433</v>
      </c>
      <c r="K687" t="str">
        <v>AM</v>
      </c>
      <c r="L687" t="str">
        <v>May</v>
      </c>
      <c r="M687" t="str">
        <v>TUE</v>
      </c>
      <c r="N687">
        <v>0</v>
      </c>
      <c r="O687">
        <v>0</v>
      </c>
      <c r="P687" s="22">
        <f t="shared" si="10"/>
        <v>0</v>
      </c>
    </row>
    <row r="688" spans="10:16" x14ac:dyDescent="0.35">
      <c r="J688" s="36">
        <v>45433</v>
      </c>
      <c r="K688" t="str">
        <v>PM</v>
      </c>
      <c r="L688" t="str">
        <v>May</v>
      </c>
      <c r="M688" t="str">
        <v>TUE</v>
      </c>
      <c r="N688">
        <v>0</v>
      </c>
      <c r="O688">
        <v>0</v>
      </c>
      <c r="P688" s="22">
        <f t="shared" si="10"/>
        <v>0</v>
      </c>
    </row>
    <row r="689" spans="10:16" x14ac:dyDescent="0.35">
      <c r="J689" s="36">
        <v>45434</v>
      </c>
      <c r="K689" t="str">
        <v>AM</v>
      </c>
      <c r="L689" t="str">
        <v>May</v>
      </c>
      <c r="M689" t="str">
        <v>WED</v>
      </c>
      <c r="N689">
        <v>0</v>
      </c>
      <c r="O689">
        <v>0</v>
      </c>
      <c r="P689" s="22">
        <f t="shared" si="10"/>
        <v>0</v>
      </c>
    </row>
    <row r="690" spans="10:16" x14ac:dyDescent="0.35">
      <c r="J690" s="36">
        <v>45434</v>
      </c>
      <c r="K690" t="str">
        <v>PM</v>
      </c>
      <c r="L690" t="str">
        <v>May</v>
      </c>
      <c r="M690" t="str">
        <v>WED</v>
      </c>
      <c r="N690">
        <v>6.0166666666666666</v>
      </c>
      <c r="O690">
        <v>236.30309999999997</v>
      </c>
      <c r="P690" s="22">
        <f t="shared" si="10"/>
        <v>39.274753462603876</v>
      </c>
    </row>
    <row r="691" spans="10:16" x14ac:dyDescent="0.35">
      <c r="J691" s="36">
        <v>45435</v>
      </c>
      <c r="K691" t="str">
        <v>AM</v>
      </c>
      <c r="L691" t="str">
        <v>May</v>
      </c>
      <c r="M691" t="str">
        <v>THU</v>
      </c>
      <c r="N691">
        <v>0</v>
      </c>
      <c r="O691">
        <v>0</v>
      </c>
      <c r="P691" s="22">
        <f t="shared" si="10"/>
        <v>0</v>
      </c>
    </row>
    <row r="692" spans="10:16" x14ac:dyDescent="0.35">
      <c r="J692" s="36">
        <v>45435</v>
      </c>
      <c r="K692" t="str">
        <v>PM</v>
      </c>
      <c r="L692" t="str">
        <v>May</v>
      </c>
      <c r="M692" t="str">
        <v>THU</v>
      </c>
      <c r="N692">
        <v>4.833333333333333</v>
      </c>
      <c r="O692">
        <v>210.908976</v>
      </c>
      <c r="P692" s="22">
        <f t="shared" si="10"/>
        <v>43.636339862068965</v>
      </c>
    </row>
    <row r="693" spans="10:16" x14ac:dyDescent="0.35">
      <c r="J693" s="36">
        <v>45436</v>
      </c>
      <c r="K693" t="str">
        <v>AM</v>
      </c>
      <c r="L693" t="str">
        <v>May</v>
      </c>
      <c r="M693" t="str">
        <v>FRI</v>
      </c>
      <c r="N693">
        <v>3.5833333333333335</v>
      </c>
      <c r="O693">
        <v>92.010459999999995</v>
      </c>
      <c r="P693" s="22">
        <f t="shared" si="10"/>
        <v>25.677337674418602</v>
      </c>
    </row>
    <row r="694" spans="10:16" x14ac:dyDescent="0.35">
      <c r="J694" s="36">
        <v>45436</v>
      </c>
      <c r="K694" t="str">
        <v>PM</v>
      </c>
      <c r="L694" t="str">
        <v>May</v>
      </c>
      <c r="M694" t="str">
        <v>FRI</v>
      </c>
      <c r="N694">
        <v>5.1166666666666663</v>
      </c>
      <c r="O694">
        <v>223.43648400000001</v>
      </c>
      <c r="P694" s="22">
        <f t="shared" si="10"/>
        <v>43.668368208469062</v>
      </c>
    </row>
    <row r="695" spans="10:16" x14ac:dyDescent="0.35">
      <c r="J695" s="36">
        <v>45437</v>
      </c>
      <c r="K695" t="str">
        <v>AM</v>
      </c>
      <c r="L695" t="str">
        <v>May</v>
      </c>
      <c r="M695" t="str">
        <v>SAT</v>
      </c>
      <c r="N695">
        <v>4.0999999999999996</v>
      </c>
      <c r="O695">
        <v>138.638608</v>
      </c>
      <c r="P695" s="22">
        <f t="shared" si="10"/>
        <v>33.814294634146343</v>
      </c>
    </row>
    <row r="696" spans="10:16" x14ac:dyDescent="0.35">
      <c r="J696" s="36">
        <v>45437</v>
      </c>
      <c r="K696" t="str">
        <v>PM</v>
      </c>
      <c r="L696" t="str">
        <v>May</v>
      </c>
      <c r="M696" t="str">
        <v>SAT</v>
      </c>
      <c r="N696">
        <v>4.0999999999999996</v>
      </c>
      <c r="O696">
        <v>138.638608</v>
      </c>
      <c r="P696" s="22">
        <f t="shared" si="10"/>
        <v>33.814294634146343</v>
      </c>
    </row>
    <row r="697" spans="10:16" x14ac:dyDescent="0.35">
      <c r="J697" s="36">
        <v>45438</v>
      </c>
      <c r="K697" t="str">
        <v>AM</v>
      </c>
      <c r="L697" t="str">
        <v>May</v>
      </c>
      <c r="M697" t="str">
        <v>SUN</v>
      </c>
      <c r="N697">
        <v>3.6666666666666665</v>
      </c>
      <c r="O697">
        <v>110.51574399999998</v>
      </c>
      <c r="P697" s="22">
        <f t="shared" si="10"/>
        <v>30.140657454545451</v>
      </c>
    </row>
    <row r="698" spans="10:16" x14ac:dyDescent="0.35">
      <c r="J698" s="36">
        <v>45438</v>
      </c>
      <c r="K698" t="str">
        <v>PM</v>
      </c>
      <c r="L698" t="str">
        <v>May</v>
      </c>
      <c r="M698" t="str">
        <v>SUN</v>
      </c>
      <c r="N698">
        <v>0</v>
      </c>
      <c r="O698">
        <v>0</v>
      </c>
      <c r="P698" s="22">
        <f t="shared" si="10"/>
        <v>0</v>
      </c>
    </row>
    <row r="699" spans="10:16" x14ac:dyDescent="0.35">
      <c r="J699" s="36">
        <v>45439</v>
      </c>
      <c r="K699" t="str">
        <v>AM</v>
      </c>
      <c r="L699" t="str">
        <v>May</v>
      </c>
      <c r="M699" t="str">
        <v>MON</v>
      </c>
      <c r="N699">
        <v>0</v>
      </c>
      <c r="O699">
        <v>0</v>
      </c>
      <c r="P699" s="22">
        <f t="shared" si="10"/>
        <v>0</v>
      </c>
    </row>
    <row r="700" spans="10:16" x14ac:dyDescent="0.35">
      <c r="J700" s="36">
        <v>45439</v>
      </c>
      <c r="K700" t="str">
        <v>PM</v>
      </c>
      <c r="L700" t="str">
        <v>May</v>
      </c>
      <c r="M700" t="str">
        <v>MON</v>
      </c>
      <c r="N700">
        <v>0</v>
      </c>
      <c r="O700">
        <v>0</v>
      </c>
      <c r="P700" s="22">
        <f t="shared" si="10"/>
        <v>0</v>
      </c>
    </row>
    <row r="701" spans="10:16" x14ac:dyDescent="0.35">
      <c r="J701" s="36">
        <v>45440</v>
      </c>
      <c r="K701" t="str">
        <v>AM</v>
      </c>
      <c r="L701" t="str">
        <v>May</v>
      </c>
      <c r="M701" t="str">
        <v>TUE</v>
      </c>
      <c r="N701">
        <v>0</v>
      </c>
      <c r="O701">
        <v>0</v>
      </c>
      <c r="P701" s="22">
        <f t="shared" si="10"/>
        <v>0</v>
      </c>
    </row>
    <row r="702" spans="10:16" x14ac:dyDescent="0.35">
      <c r="J702" s="36">
        <v>45440</v>
      </c>
      <c r="K702" t="str">
        <v>PM</v>
      </c>
      <c r="L702" t="str">
        <v>May</v>
      </c>
      <c r="M702" t="str">
        <v>TUE</v>
      </c>
      <c r="N702">
        <v>0</v>
      </c>
      <c r="O702">
        <v>0</v>
      </c>
      <c r="P702" s="22">
        <f t="shared" si="10"/>
        <v>0</v>
      </c>
    </row>
    <row r="703" spans="10:16" x14ac:dyDescent="0.35">
      <c r="J703" s="36">
        <v>45441</v>
      </c>
      <c r="K703" t="str">
        <v>AM</v>
      </c>
      <c r="L703" t="str">
        <v>May</v>
      </c>
      <c r="M703" t="str">
        <v>WED</v>
      </c>
      <c r="N703">
        <v>0</v>
      </c>
      <c r="O703">
        <v>0</v>
      </c>
      <c r="P703" s="22">
        <f t="shared" si="10"/>
        <v>0</v>
      </c>
    </row>
    <row r="704" spans="10:16" x14ac:dyDescent="0.35">
      <c r="J704" s="36">
        <v>45441</v>
      </c>
      <c r="K704" t="str">
        <v>PM</v>
      </c>
      <c r="L704" t="str">
        <v>May</v>
      </c>
      <c r="M704" t="str">
        <v>WED</v>
      </c>
      <c r="N704">
        <v>0</v>
      </c>
      <c r="O704">
        <v>0</v>
      </c>
      <c r="P704" s="22">
        <f t="shared" si="10"/>
        <v>0</v>
      </c>
    </row>
    <row r="705" spans="10:16" x14ac:dyDescent="0.35">
      <c r="J705" s="36">
        <v>45442</v>
      </c>
      <c r="K705" t="str">
        <v>AM</v>
      </c>
      <c r="L705" t="str">
        <v>May</v>
      </c>
      <c r="M705" t="str">
        <v>THU</v>
      </c>
      <c r="N705">
        <v>0</v>
      </c>
      <c r="O705">
        <v>0</v>
      </c>
      <c r="P705" s="22">
        <f t="shared" si="10"/>
        <v>0</v>
      </c>
    </row>
    <row r="706" spans="10:16" x14ac:dyDescent="0.35">
      <c r="J706" s="36">
        <v>45442</v>
      </c>
      <c r="K706" t="str">
        <v>PM</v>
      </c>
      <c r="L706" t="str">
        <v>May</v>
      </c>
      <c r="M706" t="str">
        <v>THU</v>
      </c>
      <c r="N706">
        <v>0</v>
      </c>
      <c r="O706">
        <v>0</v>
      </c>
      <c r="P706" s="22">
        <f t="shared" si="10"/>
        <v>0</v>
      </c>
    </row>
    <row r="707" spans="10:16" x14ac:dyDescent="0.35">
      <c r="J707" s="36">
        <v>45443</v>
      </c>
      <c r="K707" t="str">
        <v>AM</v>
      </c>
      <c r="L707" t="str">
        <v>May</v>
      </c>
      <c r="M707" t="str">
        <v>FRI</v>
      </c>
      <c r="N707">
        <v>0</v>
      </c>
      <c r="O707">
        <v>0</v>
      </c>
      <c r="P707" s="22">
        <f t="shared" si="10"/>
        <v>0</v>
      </c>
    </row>
    <row r="708" spans="10:16" x14ac:dyDescent="0.35">
      <c r="J708" s="36">
        <v>45443</v>
      </c>
      <c r="K708" t="str">
        <v>PM</v>
      </c>
      <c r="L708" t="str">
        <v>May</v>
      </c>
      <c r="M708" t="str">
        <v>FRI</v>
      </c>
      <c r="N708">
        <v>0</v>
      </c>
      <c r="O708">
        <v>0</v>
      </c>
      <c r="P708" s="22">
        <f t="shared" ref="P708:P734" si="11">IFERROR(O708/N708,0)</f>
        <v>0</v>
      </c>
    </row>
    <row r="709" spans="10:16" x14ac:dyDescent="0.35">
      <c r="J709" s="36">
        <v>45444</v>
      </c>
      <c r="K709" t="str">
        <v>AM</v>
      </c>
      <c r="L709" t="str">
        <v>June</v>
      </c>
      <c r="M709" t="str">
        <v>SAT</v>
      </c>
      <c r="N709">
        <v>5.4833333333333334</v>
      </c>
      <c r="O709">
        <v>158.522908</v>
      </c>
      <c r="P709" s="22">
        <f t="shared" si="11"/>
        <v>28.90995282674772</v>
      </c>
    </row>
    <row r="710" spans="10:16" x14ac:dyDescent="0.35">
      <c r="J710" s="36">
        <v>45444</v>
      </c>
      <c r="K710" t="str">
        <v>PM</v>
      </c>
      <c r="L710" t="str">
        <v>June</v>
      </c>
      <c r="M710" t="str">
        <v>SAT</v>
      </c>
      <c r="N710">
        <v>0</v>
      </c>
      <c r="O710">
        <v>0</v>
      </c>
      <c r="P710" s="22">
        <f t="shared" si="11"/>
        <v>0</v>
      </c>
    </row>
    <row r="711" spans="10:16" x14ac:dyDescent="0.35">
      <c r="J711" s="36">
        <v>45445</v>
      </c>
      <c r="K711" t="str">
        <v>AM</v>
      </c>
      <c r="L711" t="str">
        <v>June</v>
      </c>
      <c r="M711" t="str">
        <v>SUN</v>
      </c>
      <c r="N711">
        <v>5.166666666666667</v>
      </c>
      <c r="O711">
        <v>132.892088</v>
      </c>
      <c r="P711" s="22">
        <f t="shared" si="11"/>
        <v>25.721049290322579</v>
      </c>
    </row>
    <row r="712" spans="10:16" x14ac:dyDescent="0.35">
      <c r="J712" s="36">
        <v>45445</v>
      </c>
      <c r="K712" t="str">
        <v>PM</v>
      </c>
      <c r="L712" t="str">
        <v>June</v>
      </c>
      <c r="M712" t="str">
        <v>SUN</v>
      </c>
      <c r="N712">
        <v>0</v>
      </c>
      <c r="O712">
        <v>0</v>
      </c>
      <c r="P712" s="22">
        <f t="shared" si="11"/>
        <v>0</v>
      </c>
    </row>
    <row r="713" spans="10:16" x14ac:dyDescent="0.35">
      <c r="J713" s="36">
        <v>45446</v>
      </c>
      <c r="K713" t="str">
        <v>AM</v>
      </c>
      <c r="L713" t="str">
        <v>June</v>
      </c>
      <c r="M713" t="str">
        <v>MON</v>
      </c>
      <c r="N713">
        <v>0</v>
      </c>
      <c r="O713">
        <v>0</v>
      </c>
      <c r="P713" s="22">
        <f t="shared" si="11"/>
        <v>0</v>
      </c>
    </row>
    <row r="714" spans="10:16" x14ac:dyDescent="0.35">
      <c r="J714" s="36">
        <v>45446</v>
      </c>
      <c r="K714" t="str">
        <v>PM</v>
      </c>
      <c r="L714" t="str">
        <v>June</v>
      </c>
      <c r="M714" t="str">
        <v>MON</v>
      </c>
      <c r="N714">
        <v>4.3666666666666663</v>
      </c>
      <c r="O714">
        <v>99.568080000000009</v>
      </c>
      <c r="P714" s="22">
        <f t="shared" si="11"/>
        <v>22.801850381679394</v>
      </c>
    </row>
    <row r="715" spans="10:16" x14ac:dyDescent="0.35">
      <c r="J715" s="36">
        <v>45447</v>
      </c>
      <c r="K715" t="str">
        <v>AM</v>
      </c>
      <c r="L715" t="str">
        <v>June</v>
      </c>
      <c r="M715" t="str">
        <v>TUE</v>
      </c>
      <c r="N715">
        <v>0</v>
      </c>
      <c r="O715">
        <v>0</v>
      </c>
      <c r="P715" s="22">
        <f t="shared" si="11"/>
        <v>0</v>
      </c>
    </row>
    <row r="716" spans="10:16" x14ac:dyDescent="0.35">
      <c r="J716" s="36">
        <v>45447</v>
      </c>
      <c r="K716" t="str">
        <v>PM</v>
      </c>
      <c r="L716" t="str">
        <v>June</v>
      </c>
      <c r="M716" t="str">
        <v>TUE</v>
      </c>
      <c r="N716">
        <v>0</v>
      </c>
      <c r="O716">
        <v>0</v>
      </c>
      <c r="P716" s="22">
        <f t="shared" si="11"/>
        <v>0</v>
      </c>
    </row>
    <row r="717" spans="10:16" x14ac:dyDescent="0.35">
      <c r="J717" s="36">
        <v>45448</v>
      </c>
      <c r="K717" t="str">
        <v>AM</v>
      </c>
      <c r="L717" t="str">
        <v>June</v>
      </c>
      <c r="M717" t="str">
        <v>WED</v>
      </c>
      <c r="N717">
        <v>0</v>
      </c>
      <c r="O717">
        <v>0</v>
      </c>
      <c r="P717" s="22">
        <f t="shared" si="11"/>
        <v>0</v>
      </c>
    </row>
    <row r="718" spans="10:16" x14ac:dyDescent="0.35">
      <c r="J718" s="36">
        <v>45448</v>
      </c>
      <c r="K718" t="str">
        <v>PM</v>
      </c>
      <c r="L718" t="str">
        <v>June</v>
      </c>
      <c r="M718" t="str">
        <v>WED</v>
      </c>
      <c r="N718">
        <v>5.8166666666666664</v>
      </c>
      <c r="O718">
        <v>179.55335600000001</v>
      </c>
      <c r="P718" s="22">
        <f t="shared" si="11"/>
        <v>30.868771805157596</v>
      </c>
    </row>
    <row r="719" spans="10:16" x14ac:dyDescent="0.35">
      <c r="J719" s="36">
        <v>45449</v>
      </c>
      <c r="K719" t="str">
        <v>AM</v>
      </c>
      <c r="L719" t="str">
        <v>June</v>
      </c>
      <c r="M719" t="str">
        <v>THU</v>
      </c>
      <c r="N719">
        <v>0</v>
      </c>
      <c r="O719">
        <v>0</v>
      </c>
      <c r="P719" s="22">
        <f t="shared" si="11"/>
        <v>0</v>
      </c>
    </row>
    <row r="720" spans="10:16" x14ac:dyDescent="0.35">
      <c r="J720" s="36">
        <v>45449</v>
      </c>
      <c r="K720" t="str">
        <v>PM</v>
      </c>
      <c r="L720" t="str">
        <v>June</v>
      </c>
      <c r="M720" t="str">
        <v>THU</v>
      </c>
      <c r="N720">
        <v>5.2666666666666666</v>
      </c>
      <c r="O720">
        <v>211.11614399999999</v>
      </c>
      <c r="P720" s="22">
        <f t="shared" si="11"/>
        <v>40.085343797468354</v>
      </c>
    </row>
    <row r="721" spans="10:16" x14ac:dyDescent="0.35">
      <c r="J721" s="36">
        <v>45450</v>
      </c>
      <c r="K721" t="str">
        <v>AM</v>
      </c>
      <c r="L721" t="str">
        <v>June</v>
      </c>
      <c r="M721" t="str">
        <v>FRI</v>
      </c>
      <c r="N721">
        <v>0</v>
      </c>
      <c r="O721">
        <v>0</v>
      </c>
      <c r="P721" s="22">
        <f t="shared" si="11"/>
        <v>0</v>
      </c>
    </row>
    <row r="722" spans="10:16" x14ac:dyDescent="0.35">
      <c r="J722" s="36">
        <v>45450</v>
      </c>
      <c r="K722" t="str">
        <v>PM</v>
      </c>
      <c r="L722" t="str">
        <v>June</v>
      </c>
      <c r="M722" t="str">
        <v>FRI</v>
      </c>
      <c r="N722">
        <v>0</v>
      </c>
      <c r="O722">
        <v>0</v>
      </c>
      <c r="P722" s="22">
        <f t="shared" si="11"/>
        <v>0</v>
      </c>
    </row>
    <row r="723" spans="10:16" x14ac:dyDescent="0.35">
      <c r="J723" s="36">
        <v>45451</v>
      </c>
      <c r="K723" t="str">
        <v>AM</v>
      </c>
      <c r="L723" t="str">
        <v>June</v>
      </c>
      <c r="M723" t="str">
        <v>SAT</v>
      </c>
      <c r="N723">
        <v>5.1166666666666663</v>
      </c>
      <c r="O723">
        <v>222.51209999999998</v>
      </c>
      <c r="P723" s="22">
        <f t="shared" si="11"/>
        <v>43.487706840390878</v>
      </c>
    </row>
    <row r="724" spans="10:16" x14ac:dyDescent="0.35">
      <c r="J724" s="36">
        <v>45451</v>
      </c>
      <c r="K724" t="str">
        <v>PM</v>
      </c>
      <c r="L724" t="str">
        <v>June</v>
      </c>
      <c r="M724" t="str">
        <v>SAT</v>
      </c>
      <c r="N724">
        <v>4.0333333333333332</v>
      </c>
      <c r="O724">
        <v>237.050104</v>
      </c>
      <c r="P724" s="22">
        <f t="shared" si="11"/>
        <v>58.77275305785124</v>
      </c>
    </row>
    <row r="725" spans="10:16" x14ac:dyDescent="0.35">
      <c r="J725" s="36">
        <v>45452</v>
      </c>
      <c r="K725" t="str">
        <v>AM</v>
      </c>
      <c r="L725" t="str">
        <v>June</v>
      </c>
      <c r="M725" t="str">
        <v>SUN</v>
      </c>
      <c r="N725">
        <v>4.0166666666666666</v>
      </c>
      <c r="O725">
        <v>111.141576</v>
      </c>
      <c r="P725" s="22">
        <f t="shared" si="11"/>
        <v>27.670101908713693</v>
      </c>
    </row>
    <row r="726" spans="10:16" x14ac:dyDescent="0.35">
      <c r="J726" s="36">
        <v>45452</v>
      </c>
      <c r="K726" t="str">
        <v>PM</v>
      </c>
      <c r="L726" t="str">
        <v>June</v>
      </c>
      <c r="M726" t="str">
        <v>SUN</v>
      </c>
      <c r="N726">
        <v>4.0166666666666666</v>
      </c>
      <c r="O726">
        <v>111.141576</v>
      </c>
      <c r="P726" s="22">
        <f t="shared" si="11"/>
        <v>27.670101908713693</v>
      </c>
    </row>
    <row r="727" spans="10:16" x14ac:dyDescent="0.35">
      <c r="J727" s="36">
        <v>45453</v>
      </c>
      <c r="K727" t="str">
        <v>AM</v>
      </c>
      <c r="L727" t="str">
        <v>June</v>
      </c>
      <c r="M727" t="str">
        <v>MON</v>
      </c>
      <c r="N727">
        <v>0</v>
      </c>
      <c r="O727">
        <v>0</v>
      </c>
      <c r="P727" s="22">
        <f t="shared" si="11"/>
        <v>0</v>
      </c>
    </row>
    <row r="728" spans="10:16" x14ac:dyDescent="0.35">
      <c r="J728" s="36">
        <v>45453</v>
      </c>
      <c r="K728" t="str">
        <v>PM</v>
      </c>
      <c r="L728" t="str">
        <v>June</v>
      </c>
      <c r="M728" t="str">
        <v>MON</v>
      </c>
      <c r="N728">
        <v>0</v>
      </c>
      <c r="O728">
        <v>0</v>
      </c>
      <c r="P728" s="22">
        <f t="shared" si="11"/>
        <v>0</v>
      </c>
    </row>
    <row r="729" spans="10:16" x14ac:dyDescent="0.35">
      <c r="J729" s="36">
        <v>45454</v>
      </c>
      <c r="K729" t="str">
        <v>AM</v>
      </c>
      <c r="L729" t="str">
        <v>June</v>
      </c>
      <c r="M729" t="str">
        <v>TUE</v>
      </c>
      <c r="N729">
        <v>0</v>
      </c>
      <c r="O729">
        <v>0</v>
      </c>
      <c r="P729" s="22">
        <f t="shared" si="11"/>
        <v>0</v>
      </c>
    </row>
    <row r="730" spans="10:16" x14ac:dyDescent="0.35">
      <c r="J730" s="36">
        <v>45454</v>
      </c>
      <c r="K730" t="str">
        <v>PM</v>
      </c>
      <c r="L730" t="str">
        <v>June</v>
      </c>
      <c r="M730" t="str">
        <v>TUE</v>
      </c>
      <c r="N730">
        <v>0</v>
      </c>
      <c r="O730">
        <v>0</v>
      </c>
      <c r="P730" s="22">
        <f t="shared" si="11"/>
        <v>0</v>
      </c>
    </row>
    <row r="731" spans="10:16" x14ac:dyDescent="0.35">
      <c r="J731" s="36">
        <v>45455</v>
      </c>
      <c r="K731" t="str">
        <v>AM</v>
      </c>
      <c r="L731" t="str">
        <v>June</v>
      </c>
      <c r="M731" t="str">
        <v>WED</v>
      </c>
      <c r="N731">
        <v>0</v>
      </c>
      <c r="O731">
        <v>0</v>
      </c>
      <c r="P731" s="22">
        <f t="shared" si="11"/>
        <v>0</v>
      </c>
    </row>
    <row r="732" spans="10:16" x14ac:dyDescent="0.35">
      <c r="J732" s="36">
        <v>45455</v>
      </c>
      <c r="K732" t="str">
        <v>PM</v>
      </c>
      <c r="L732" t="str">
        <v>June</v>
      </c>
      <c r="M732" t="str">
        <v>WED</v>
      </c>
      <c r="N732">
        <v>0</v>
      </c>
      <c r="O732">
        <v>0</v>
      </c>
      <c r="P732" s="22">
        <f t="shared" si="11"/>
        <v>0</v>
      </c>
    </row>
    <row r="733" spans="10:16" x14ac:dyDescent="0.35">
      <c r="J733" s="36">
        <v>45456</v>
      </c>
      <c r="K733" t="str">
        <v>AM</v>
      </c>
      <c r="L733" t="str">
        <v>June</v>
      </c>
      <c r="M733" t="str">
        <v>THU</v>
      </c>
      <c r="N733">
        <v>0</v>
      </c>
      <c r="O733">
        <v>0</v>
      </c>
      <c r="P733" s="22">
        <f t="shared" si="11"/>
        <v>0</v>
      </c>
    </row>
    <row r="734" spans="10:16" x14ac:dyDescent="0.35">
      <c r="J734" s="36">
        <v>45456</v>
      </c>
      <c r="K734" t="str">
        <v>PM</v>
      </c>
      <c r="L734" t="str">
        <v>June</v>
      </c>
      <c r="M734" t="str">
        <v>THU</v>
      </c>
      <c r="N734">
        <v>0</v>
      </c>
      <c r="O734">
        <v>0</v>
      </c>
      <c r="P734" s="22">
        <f t="shared" si="11"/>
        <v>0</v>
      </c>
    </row>
  </sheetData>
  <pageMargins left="0.7" right="0.7" top="0.75" bottom="0.75" header="0.3" footer="0.3"/>
  <customProperties>
    <customPr name="LastActive"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10EAA-332D-42AD-ACF1-034BBB1AC732}">
  <sheetPr codeName="Sheet4"/>
  <dimension ref="A1:AH626"/>
  <sheetViews>
    <sheetView workbookViewId="0">
      <selection activeCell="T9" sqref="T9"/>
    </sheetView>
  </sheetViews>
  <sheetFormatPr defaultRowHeight="14.5" x14ac:dyDescent="0.35"/>
  <cols>
    <col min="1" max="1" width="12.1796875" customWidth="1"/>
    <col min="2" max="3" width="11.81640625" bestFit="1" customWidth="1"/>
    <col min="4" max="4" width="12.453125" customWidth="1"/>
    <col min="5" max="5" width="11.81640625" bestFit="1" customWidth="1"/>
    <col min="6" max="6" width="14.08984375" customWidth="1"/>
    <col min="10" max="10" width="10.1796875" bestFit="1" customWidth="1"/>
    <col min="11" max="11" width="11.81640625" bestFit="1" customWidth="1"/>
  </cols>
  <sheetData>
    <row r="1" spans="1:23" ht="41.5" customHeight="1" x14ac:dyDescent="0.7">
      <c r="A1" s="352" t="s">
        <v>201</v>
      </c>
      <c r="B1" s="326"/>
      <c r="C1" s="326"/>
      <c r="D1" s="326"/>
      <c r="E1" s="326"/>
      <c r="F1" s="326"/>
      <c r="G1" s="326"/>
      <c r="H1" s="326"/>
      <c r="I1" s="326"/>
      <c r="J1" s="326"/>
      <c r="K1" s="327"/>
    </row>
    <row r="2" spans="1:23" s="204" customFormat="1" ht="70" customHeight="1" x14ac:dyDescent="0.35">
      <c r="A2" s="213" t="s">
        <v>0</v>
      </c>
      <c r="B2" s="214" t="s">
        <v>1</v>
      </c>
      <c r="C2" s="213" t="s">
        <v>2</v>
      </c>
      <c r="D2" s="213" t="s">
        <v>3</v>
      </c>
      <c r="E2" s="215" t="s">
        <v>4</v>
      </c>
      <c r="F2" s="215" t="s">
        <v>5</v>
      </c>
      <c r="G2" s="215" t="s">
        <v>6</v>
      </c>
      <c r="H2" s="215" t="s">
        <v>7</v>
      </c>
      <c r="I2" s="215" t="s">
        <v>8</v>
      </c>
      <c r="J2" s="215" t="s">
        <v>9</v>
      </c>
      <c r="K2" s="215" t="s">
        <v>10</v>
      </c>
      <c r="L2" s="216" t="s">
        <v>11</v>
      </c>
      <c r="M2" s="216" t="s">
        <v>12</v>
      </c>
      <c r="N2" s="217" t="s">
        <v>13</v>
      </c>
      <c r="O2" s="215" t="s">
        <v>14</v>
      </c>
      <c r="P2" s="215" t="s">
        <v>15</v>
      </c>
      <c r="Q2" s="215" t="s">
        <v>16</v>
      </c>
      <c r="R2" s="216" t="s">
        <v>17</v>
      </c>
      <c r="S2" s="216" t="s">
        <v>18</v>
      </c>
      <c r="T2" s="216" t="s">
        <v>19</v>
      </c>
      <c r="U2" s="214" t="s">
        <v>20</v>
      </c>
      <c r="V2" s="244" t="s">
        <v>209</v>
      </c>
      <c r="W2" s="244" t="s">
        <v>208</v>
      </c>
    </row>
    <row r="3" spans="1:23" ht="28.5" customHeight="1" x14ac:dyDescent="0.35">
      <c r="A3" s="80">
        <v>1</v>
      </c>
      <c r="B3" s="80">
        <v>2</v>
      </c>
      <c r="C3" s="80">
        <v>3</v>
      </c>
      <c r="D3" s="80">
        <v>4</v>
      </c>
      <c r="E3" s="80">
        <v>5</v>
      </c>
      <c r="F3" s="80">
        <v>6</v>
      </c>
      <c r="G3" s="80">
        <v>7</v>
      </c>
      <c r="H3" s="80">
        <v>8</v>
      </c>
      <c r="I3" s="80">
        <v>9</v>
      </c>
      <c r="J3" s="80">
        <v>10</v>
      </c>
      <c r="K3" s="80">
        <v>11</v>
      </c>
      <c r="L3" s="80">
        <v>12</v>
      </c>
      <c r="M3" s="80">
        <v>13</v>
      </c>
      <c r="N3" s="80">
        <v>14</v>
      </c>
      <c r="O3" s="80">
        <v>15</v>
      </c>
      <c r="P3" s="80">
        <v>16</v>
      </c>
      <c r="Q3" s="80">
        <v>17</v>
      </c>
      <c r="R3" s="80">
        <v>18</v>
      </c>
      <c r="S3" s="80">
        <v>19</v>
      </c>
      <c r="T3" s="80">
        <v>20</v>
      </c>
      <c r="U3" s="80">
        <v>21</v>
      </c>
      <c r="V3" s="80">
        <v>22</v>
      </c>
      <c r="W3" s="80">
        <v>23</v>
      </c>
    </row>
    <row r="4" spans="1:23" ht="58" x14ac:dyDescent="0.35">
      <c r="A4" s="204" t="s">
        <v>188</v>
      </c>
      <c r="B4" s="204" t="s">
        <v>189</v>
      </c>
      <c r="C4" s="204" t="s">
        <v>190</v>
      </c>
      <c r="D4" s="204" t="s">
        <v>191</v>
      </c>
      <c r="E4" s="204" t="s">
        <v>192</v>
      </c>
      <c r="F4" s="204" t="s">
        <v>193</v>
      </c>
      <c r="G4" s="204" t="s">
        <v>93</v>
      </c>
      <c r="H4" s="204" t="s">
        <v>195</v>
      </c>
      <c r="I4" s="204"/>
      <c r="J4" s="204" t="s">
        <v>199</v>
      </c>
      <c r="K4" s="204" t="s">
        <v>200</v>
      </c>
      <c r="L4" s="204"/>
      <c r="M4" s="204"/>
      <c r="N4" s="204"/>
      <c r="O4" s="204"/>
      <c r="P4" s="204"/>
      <c r="Q4" s="204"/>
      <c r="R4" s="204"/>
      <c r="S4" s="204"/>
      <c r="T4" s="204"/>
      <c r="U4" s="204"/>
    </row>
    <row r="5" spans="1:23" x14ac:dyDescent="0.35">
      <c r="A5" t="s">
        <v>102</v>
      </c>
      <c r="B5" t="s">
        <v>101</v>
      </c>
      <c r="C5" t="s">
        <v>184</v>
      </c>
      <c r="D5" t="s">
        <v>182</v>
      </c>
      <c r="E5" t="s">
        <v>183</v>
      </c>
      <c r="F5" t="s">
        <v>187</v>
      </c>
      <c r="H5" t="s">
        <v>194</v>
      </c>
      <c r="I5" t="s">
        <v>196</v>
      </c>
      <c r="J5" t="s">
        <v>197</v>
      </c>
      <c r="K5" t="s">
        <v>198</v>
      </c>
      <c r="L5" t="s">
        <v>181</v>
      </c>
    </row>
    <row r="6" spans="1:23" x14ac:dyDescent="0.35">
      <c r="A6" t="str" cm="1">
        <f t="array" ref="A6:A15">TIPS!BinLabDIST</f>
        <v>13 - 49</v>
      </c>
      <c r="B6" cm="1">
        <f t="array" ref="B6:B15">TIPS!BinArrDIST</f>
        <v>48.732306799999996</v>
      </c>
      <c r="C6" cm="1">
        <f t="array" ref="C6:C15">[0]!BinMidTIPS</f>
        <v>30.715003399999997</v>
      </c>
      <c r="D6" cm="1">
        <f t="array" ref="D6:D15">FreqTIPS</f>
        <v>11</v>
      </c>
      <c r="E6" cm="1">
        <f t="array" ref="E6:E15">NormTIPS</f>
        <v>9.7548753935064436</v>
      </c>
      <c r="F6" cm="1">
        <f t="array" ref="F6:F17">HAxisTIPS</f>
        <v>13</v>
      </c>
      <c r="G6">
        <f>(MAX($F$6:$F$29)-MIN($F$6:$F$29))/(COUNT(D6:D29)-1)</f>
        <v>40</v>
      </c>
      <c r="H6">
        <f>IF(ROUND($F$6+(I6*$G$6),0)&gt;ROUND(MAX($F$6:$F$25),0),"X",ROUND($F$6+(I6*$G$6),0))</f>
        <v>13</v>
      </c>
      <c r="I6">
        <v>0</v>
      </c>
      <c r="J6">
        <f>MIN(HAxisTIPS)</f>
        <v>13</v>
      </c>
      <c r="K6">
        <f>IF(J6="X","X",IF(J6=ROUND(TIPS!$B$18,0),MAX(FreqTIPS)+1,0))</f>
        <v>0</v>
      </c>
      <c r="L6" cm="1">
        <f t="array" ref="L6:Q296">TIPS</f>
        <v>45093</v>
      </c>
      <c r="M6" t="str">
        <v>PM</v>
      </c>
      <c r="N6" t="str">
        <v>June</v>
      </c>
      <c r="O6" t="str">
        <v>FRI</v>
      </c>
      <c r="P6">
        <v>124.41805200000002</v>
      </c>
      <c r="Q6" t="str">
        <v>SINGLE</v>
      </c>
    </row>
    <row r="7" spans="1:23" x14ac:dyDescent="0.35">
      <c r="A7" t="str">
        <v>49 - 85</v>
      </c>
      <c r="B7">
        <v>84.771913599999991</v>
      </c>
      <c r="C7">
        <v>66.75211019999999</v>
      </c>
      <c r="D7">
        <v>28</v>
      </c>
      <c r="E7">
        <v>21.976587801551261</v>
      </c>
      <c r="F7">
        <v>31</v>
      </c>
      <c r="H7">
        <f t="shared" ref="H7:H25" si="0">IF(ROUND($F$6+(I7*$G$6),0)&gt;ROUND(MAX($F$6:$F$25),0),"X",ROUND($F$6+(I7*$G$6),0))</f>
        <v>53</v>
      </c>
      <c r="I7">
        <v>1</v>
      </c>
      <c r="J7">
        <f>IFERROR(IF(J6+1&gt;MAX(HAxisTIPS),"X",J6+1),"X")</f>
        <v>14</v>
      </c>
      <c r="K7">
        <f>IF(J7="X","X",IF(J7=ROUND(TIPS!$B$18,0),MAX(FreqTIPS)+1,0))</f>
        <v>0</v>
      </c>
      <c r="L7">
        <v>45094</v>
      </c>
      <c r="M7" t="str">
        <v>PM</v>
      </c>
      <c r="N7" t="str">
        <v>June</v>
      </c>
      <c r="O7" t="str">
        <v>SAT</v>
      </c>
      <c r="P7">
        <v>294.42299999999994</v>
      </c>
      <c r="Q7" t="str">
        <v>SINGLE</v>
      </c>
    </row>
    <row r="8" spans="1:23" x14ac:dyDescent="0.35">
      <c r="A8" t="str">
        <v>85 - 121</v>
      </c>
      <c r="B8">
        <v>120.81152039999998</v>
      </c>
      <c r="C8">
        <v>102.78921699999998</v>
      </c>
      <c r="D8">
        <v>42</v>
      </c>
      <c r="E8">
        <v>38.701148367100444</v>
      </c>
      <c r="F8">
        <v>67</v>
      </c>
      <c r="H8">
        <f t="shared" si="0"/>
        <v>93</v>
      </c>
      <c r="I8">
        <v>2</v>
      </c>
      <c r="J8">
        <f>IFERROR(IF(J7+1&gt;MAX(HAxisTIPS),"X",J7+1),"X")</f>
        <v>15</v>
      </c>
      <c r="K8">
        <f>IF(J8="X","X",IF(J8=ROUND(TIPS!$B$18,0),MAX(FreqTIPS)+1,0))</f>
        <v>0</v>
      </c>
      <c r="L8">
        <v>45095</v>
      </c>
      <c r="M8" t="str">
        <v>PM</v>
      </c>
      <c r="N8" t="str">
        <v>June</v>
      </c>
      <c r="O8" t="str">
        <v>SUN</v>
      </c>
      <c r="P8">
        <v>158.63176000000001</v>
      </c>
      <c r="Q8" t="str">
        <v>SINGLE</v>
      </c>
    </row>
    <row r="9" spans="1:23" x14ac:dyDescent="0.35">
      <c r="A9" t="str">
        <v>121 - 157</v>
      </c>
      <c r="B9">
        <v>156.85112719999998</v>
      </c>
      <c r="C9">
        <v>138.82632379999998</v>
      </c>
      <c r="D9">
        <v>46</v>
      </c>
      <c r="E9">
        <v>53.2736550522173</v>
      </c>
      <c r="F9">
        <v>103</v>
      </c>
      <c r="H9">
        <f t="shared" si="0"/>
        <v>133</v>
      </c>
      <c r="I9">
        <v>3</v>
      </c>
      <c r="J9">
        <f>IFERROR(IF(J8+1&gt;MAX(HAxisTIPS),"X",J8+1),"X")</f>
        <v>16</v>
      </c>
      <c r="K9">
        <f>IF(J9="X","X",IF(J9=ROUND(TIPS!$B$18,0),MAX(FreqTIPS)+1,0))</f>
        <v>0</v>
      </c>
      <c r="L9">
        <v>45097</v>
      </c>
      <c r="M9" t="str">
        <v>PM</v>
      </c>
      <c r="N9" t="str">
        <v>June</v>
      </c>
      <c r="O9" t="str">
        <v>TUE</v>
      </c>
      <c r="P9">
        <v>80.306155999999987</v>
      </c>
      <c r="Q9" t="str">
        <v>SINGLE</v>
      </c>
    </row>
    <row r="10" spans="1:23" x14ac:dyDescent="0.35">
      <c r="A10" t="str">
        <v>157 - 193</v>
      </c>
      <c r="B10">
        <v>192.89073399999998</v>
      </c>
      <c r="C10">
        <v>174.86343059999999</v>
      </c>
      <c r="D10">
        <v>55</v>
      </c>
      <c r="E10">
        <v>57.322640808338718</v>
      </c>
      <c r="F10">
        <v>139</v>
      </c>
      <c r="H10">
        <f t="shared" si="0"/>
        <v>173</v>
      </c>
      <c r="I10">
        <v>4</v>
      </c>
      <c r="J10">
        <f>IFERROR(IF(J9+1&gt;MAX(HAxisTIPS),"X",J9+1),"X")</f>
        <v>17</v>
      </c>
      <c r="K10">
        <f>IF(J10="X","X",IF(J10=ROUND(TIPS!$B$18,0),MAX(FreqTIPS)+1,0))</f>
        <v>0</v>
      </c>
      <c r="L10">
        <v>45098</v>
      </c>
      <c r="M10" t="str">
        <v>PM</v>
      </c>
      <c r="N10" t="str">
        <v>June</v>
      </c>
      <c r="O10" t="str">
        <v>WED</v>
      </c>
      <c r="P10">
        <v>164.05465600000002</v>
      </c>
      <c r="Q10" t="str">
        <v>SINGLE</v>
      </c>
    </row>
    <row r="11" spans="1:23" x14ac:dyDescent="0.35">
      <c r="A11" t="str">
        <v>193 - 229</v>
      </c>
      <c r="B11">
        <v>228.93034079999998</v>
      </c>
      <c r="C11">
        <v>210.90053739999999</v>
      </c>
      <c r="D11">
        <v>53</v>
      </c>
      <c r="E11">
        <v>48.213086867885188</v>
      </c>
      <c r="F11">
        <v>175</v>
      </c>
      <c r="H11">
        <f t="shared" si="0"/>
        <v>213</v>
      </c>
      <c r="I11">
        <v>5</v>
      </c>
      <c r="J11">
        <f>IFERROR(IF(J10+1&gt;MAX(HAxisTIPS),"X",J10+1),"X")</f>
        <v>18</v>
      </c>
      <c r="K11">
        <f>IF(J11="X","X",IF(J11=ROUND(TIPS!$B$18,0),MAX(FreqTIPS)+1,0))</f>
        <v>0</v>
      </c>
      <c r="L11">
        <v>45100</v>
      </c>
      <c r="M11" t="str">
        <v>PM</v>
      </c>
      <c r="N11" t="str">
        <v>June</v>
      </c>
      <c r="O11" t="str">
        <v>FRI</v>
      </c>
      <c r="P11">
        <v>212.73854399999999</v>
      </c>
      <c r="Q11" t="str">
        <v>SINGLE</v>
      </c>
    </row>
    <row r="12" spans="1:23" x14ac:dyDescent="0.35">
      <c r="A12" t="str">
        <v>229 - 265</v>
      </c>
      <c r="B12">
        <v>264.96994759999995</v>
      </c>
      <c r="C12">
        <v>246.93764419999997</v>
      </c>
      <c r="D12">
        <v>31</v>
      </c>
      <c r="E12">
        <v>31.697772192343564</v>
      </c>
      <c r="F12">
        <v>211</v>
      </c>
      <c r="H12">
        <f t="shared" si="0"/>
        <v>253</v>
      </c>
      <c r="I12">
        <v>6</v>
      </c>
      <c r="J12">
        <f>IFERROR(IF(J11+1&gt;MAX(HAxisTIPS),"X",J11+1),"X")</f>
        <v>19</v>
      </c>
      <c r="K12">
        <f>IF(J12="X","X",IF(J12=ROUND(TIPS!$B$18,0),MAX(FreqTIPS)+1,0))</f>
        <v>0</v>
      </c>
      <c r="L12">
        <v>45102</v>
      </c>
      <c r="M12" t="str">
        <v>PM</v>
      </c>
      <c r="N12" t="str">
        <v>June</v>
      </c>
      <c r="O12" t="str">
        <v>SUN</v>
      </c>
      <c r="P12">
        <v>230.30097999999998</v>
      </c>
      <c r="Q12" t="str">
        <v>SINGLE</v>
      </c>
    </row>
    <row r="13" spans="1:23" x14ac:dyDescent="0.35">
      <c r="A13" t="str">
        <v>265 - 301</v>
      </c>
      <c r="B13">
        <v>301.00955439999996</v>
      </c>
      <c r="C13">
        <v>282.97475099999997</v>
      </c>
      <c r="D13">
        <v>11</v>
      </c>
      <c r="E13">
        <v>16.289869099967788</v>
      </c>
      <c r="F13">
        <v>247</v>
      </c>
      <c r="H13">
        <f t="shared" si="0"/>
        <v>293</v>
      </c>
      <c r="I13">
        <v>7</v>
      </c>
      <c r="J13">
        <f>IFERROR(IF(J12+1&gt;MAX(HAxisTIPS),"X",J12+1),"X")</f>
        <v>20</v>
      </c>
      <c r="K13">
        <f>IF(J13="X","X",IF(J13=ROUND(TIPS!$B$18,0),MAX(FreqTIPS)+1,0))</f>
        <v>0</v>
      </c>
      <c r="L13">
        <v>45103</v>
      </c>
      <c r="M13" t="str">
        <v>PM</v>
      </c>
      <c r="N13" t="str">
        <v>June</v>
      </c>
      <c r="O13" t="str">
        <v>MON</v>
      </c>
      <c r="P13">
        <v>141.32609200000002</v>
      </c>
      <c r="Q13" t="str">
        <v>SINGLE</v>
      </c>
    </row>
    <row r="14" spans="1:23" x14ac:dyDescent="0.35">
      <c r="A14" t="str">
        <v>301 - 337</v>
      </c>
      <c r="B14">
        <v>337.04916119999996</v>
      </c>
      <c r="C14">
        <v>319.01185779999997</v>
      </c>
      <c r="D14">
        <v>9</v>
      </c>
      <c r="E14">
        <v>6.5438223714311388</v>
      </c>
      <c r="F14">
        <v>283</v>
      </c>
      <c r="H14">
        <f t="shared" si="0"/>
        <v>333</v>
      </c>
      <c r="I14">
        <v>8</v>
      </c>
      <c r="J14">
        <f>IFERROR(IF(J13+1&gt;MAX(HAxisTIPS),"X",J13+1),"X")</f>
        <v>21</v>
      </c>
      <c r="K14">
        <f>IF(J14="X","X",IF(J14=ROUND(TIPS!$B$18,0),MAX(FreqTIPS)+1,0))</f>
        <v>0</v>
      </c>
      <c r="L14">
        <v>45104</v>
      </c>
      <c r="M14" t="str">
        <v>PM</v>
      </c>
      <c r="N14" t="str">
        <v>June</v>
      </c>
      <c r="O14" t="str">
        <v>TUE</v>
      </c>
      <c r="P14">
        <v>237.84255200000001</v>
      </c>
      <c r="Q14" t="str">
        <v>SINGLE</v>
      </c>
    </row>
    <row r="15" spans="1:23" x14ac:dyDescent="0.35">
      <c r="A15" t="str">
        <v>337 - 373</v>
      </c>
      <c r="B15">
        <v>373.08876799999996</v>
      </c>
      <c r="C15">
        <v>355.04896459999998</v>
      </c>
      <c r="D15">
        <v>5</v>
      </c>
      <c r="E15">
        <v>2.0548042855771134</v>
      </c>
      <c r="F15">
        <v>319</v>
      </c>
      <c r="H15">
        <f t="shared" si="0"/>
        <v>373</v>
      </c>
      <c r="I15">
        <v>9</v>
      </c>
      <c r="J15">
        <f>IFERROR(IF(J14+1&gt;MAX(HAxisTIPS),"X",J14+1),"X")</f>
        <v>22</v>
      </c>
      <c r="K15">
        <f>IF(J15="X","X",IF(J15=ROUND(TIPS!$B$18,0),MAX(FreqTIPS)+1,0))</f>
        <v>0</v>
      </c>
      <c r="L15">
        <v>45105</v>
      </c>
      <c r="M15" t="str">
        <v>PM</v>
      </c>
      <c r="N15" t="str">
        <v>June</v>
      </c>
      <c r="O15" t="str">
        <v>WED</v>
      </c>
      <c r="P15">
        <v>191.79007999999999</v>
      </c>
      <c r="Q15" t="str">
        <v>SINGLE</v>
      </c>
    </row>
    <row r="16" spans="1:23" x14ac:dyDescent="0.35">
      <c r="F16">
        <v>355</v>
      </c>
      <c r="H16" t="str">
        <f t="shared" si="0"/>
        <v>X</v>
      </c>
      <c r="I16">
        <v>10</v>
      </c>
      <c r="J16">
        <f>IFERROR(IF(J15+1&gt;MAX(HAxisTIPS),"X",J15+1),"X")</f>
        <v>23</v>
      </c>
      <c r="K16">
        <f>IF(J16="X","X",IF(J16=ROUND(TIPS!$B$18,0),MAX(FreqTIPS)+1,0))</f>
        <v>0</v>
      </c>
      <c r="L16">
        <v>45107</v>
      </c>
      <c r="M16" t="str">
        <v>PM</v>
      </c>
      <c r="N16" t="str">
        <v>June</v>
      </c>
      <c r="O16" t="str">
        <v>FRI</v>
      </c>
      <c r="P16">
        <v>165.05888400000001</v>
      </c>
      <c r="Q16" t="str">
        <v>SINGLE</v>
      </c>
    </row>
    <row r="17" spans="6:34" x14ac:dyDescent="0.35">
      <c r="F17">
        <v>373</v>
      </c>
      <c r="H17" t="str">
        <f t="shared" si="0"/>
        <v>X</v>
      </c>
      <c r="I17">
        <v>11</v>
      </c>
      <c r="J17">
        <f>IFERROR(IF(J16+1&gt;MAX(HAxisTIPS),"X",J16+1),"X")</f>
        <v>24</v>
      </c>
      <c r="K17">
        <f>IF(J17="X","X",IF(J17=ROUND(TIPS!$B$18,0),MAX(FreqTIPS)+1,0))</f>
        <v>0</v>
      </c>
      <c r="L17">
        <v>45108</v>
      </c>
      <c r="M17" t="str">
        <v>PM</v>
      </c>
      <c r="N17" t="str">
        <v>July</v>
      </c>
      <c r="O17" t="str">
        <v>SAT</v>
      </c>
      <c r="P17">
        <v>221.20686000000001</v>
      </c>
      <c r="Q17" t="str">
        <v>SINGLE</v>
      </c>
    </row>
    <row r="18" spans="6:34" x14ac:dyDescent="0.35">
      <c r="H18" t="str">
        <f t="shared" si="0"/>
        <v>X</v>
      </c>
      <c r="I18">
        <v>12</v>
      </c>
      <c r="J18">
        <f>IFERROR(IF(J17+1&gt;MAX(HAxisTIPS),"X",J17+1),"X")</f>
        <v>25</v>
      </c>
      <c r="K18">
        <f>IF(J18="X","X",IF(J18=ROUND(TIPS!$B$18,0),MAX(FreqTIPS)+1,0))</f>
        <v>0</v>
      </c>
      <c r="L18">
        <v>45109</v>
      </c>
      <c r="M18" t="str">
        <v>PM</v>
      </c>
      <c r="N18" t="str">
        <v>July</v>
      </c>
      <c r="O18" t="str">
        <v>SUN</v>
      </c>
      <c r="P18">
        <v>184.44623999999999</v>
      </c>
      <c r="Q18" t="str">
        <v>SINGLE</v>
      </c>
    </row>
    <row r="19" spans="6:34" x14ac:dyDescent="0.35">
      <c r="H19" t="str">
        <f t="shared" si="0"/>
        <v>X</v>
      </c>
      <c r="I19">
        <v>13</v>
      </c>
      <c r="J19">
        <f>IFERROR(IF(J18+1&gt;MAX(HAxisTIPS),"X",J18+1),"X")</f>
        <v>26</v>
      </c>
      <c r="K19">
        <f>IF(J19="X","X",IF(J19=ROUND(TIPS!$B$18,0),MAX(FreqTIPS)+1,0))</f>
        <v>0</v>
      </c>
      <c r="L19">
        <v>45112</v>
      </c>
      <c r="M19" t="str">
        <v>PM</v>
      </c>
      <c r="N19" t="str">
        <v>July</v>
      </c>
      <c r="O19" t="str">
        <v>WED</v>
      </c>
      <c r="P19">
        <v>203.96432799999999</v>
      </c>
      <c r="Q19" t="str">
        <v>SINGLE</v>
      </c>
    </row>
    <row r="20" spans="6:34" x14ac:dyDescent="0.35">
      <c r="H20" t="str">
        <f t="shared" si="0"/>
        <v>X</v>
      </c>
      <c r="I20">
        <v>14</v>
      </c>
      <c r="J20">
        <f>IFERROR(IF(J19+1&gt;MAX(HAxisTIPS),"X",J19+1),"X")</f>
        <v>27</v>
      </c>
      <c r="K20">
        <f>IF(J20="X","X",IF(J20=ROUND(TIPS!$B$18,0),MAX(FreqTIPS)+1,0))</f>
        <v>0</v>
      </c>
      <c r="L20">
        <v>45113</v>
      </c>
      <c r="M20" t="str">
        <v>PM</v>
      </c>
      <c r="N20" t="str">
        <v>July</v>
      </c>
      <c r="O20" t="str">
        <v>THU</v>
      </c>
      <c r="P20">
        <v>191.58984399999997</v>
      </c>
      <c r="Q20" t="str">
        <v>SINGLE</v>
      </c>
    </row>
    <row r="21" spans="6:34" x14ac:dyDescent="0.35">
      <c r="H21" t="str">
        <f t="shared" si="0"/>
        <v>X</v>
      </c>
      <c r="I21">
        <v>15</v>
      </c>
      <c r="J21">
        <f>IFERROR(IF(J20+1&gt;MAX(HAxisTIPS),"X",J20+1),"X")</f>
        <v>28</v>
      </c>
      <c r="K21">
        <f>IF(J21="X","X",IF(J21=ROUND(TIPS!$B$18,0),MAX(FreqTIPS)+1,0))</f>
        <v>0</v>
      </c>
      <c r="L21">
        <v>45114</v>
      </c>
      <c r="M21" t="str">
        <v>PM</v>
      </c>
      <c r="N21" t="str">
        <v>July</v>
      </c>
      <c r="O21" t="str">
        <v>FRI</v>
      </c>
      <c r="P21">
        <v>167.95578399999999</v>
      </c>
      <c r="Q21" t="str">
        <v>SINGLE</v>
      </c>
    </row>
    <row r="22" spans="6:34" x14ac:dyDescent="0.35">
      <c r="H22" t="str">
        <f t="shared" si="0"/>
        <v>X</v>
      </c>
      <c r="I22">
        <v>16</v>
      </c>
      <c r="J22">
        <f>IFERROR(IF(J21+1&gt;MAX(HAxisTIPS),"X",J21+1),"X")</f>
        <v>29</v>
      </c>
      <c r="K22">
        <f>IF(J22="X","X",IF(J22=ROUND(TIPS!$B$18,0),MAX(FreqTIPS)+1,0))</f>
        <v>0</v>
      </c>
      <c r="L22">
        <v>45115</v>
      </c>
      <c r="M22" t="str">
        <v>PM</v>
      </c>
      <c r="N22" t="str">
        <v>July</v>
      </c>
      <c r="O22" t="str">
        <v>SAT</v>
      </c>
      <c r="P22">
        <v>238.67122000000001</v>
      </c>
      <c r="Q22" t="str">
        <v>SINGLE</v>
      </c>
    </row>
    <row r="23" spans="6:34" x14ac:dyDescent="0.35">
      <c r="H23" t="str">
        <f t="shared" si="0"/>
        <v>X</v>
      </c>
      <c r="I23">
        <v>17</v>
      </c>
      <c r="J23">
        <f>IFERROR(IF(J22+1&gt;MAX(HAxisTIPS),"X",J22+1),"X")</f>
        <v>30</v>
      </c>
      <c r="K23">
        <f>IF(J23="X","X",IF(J23=ROUND(TIPS!$B$18,0),MAX(FreqTIPS)+1,0))</f>
        <v>0</v>
      </c>
      <c r="L23">
        <v>45117</v>
      </c>
      <c r="M23" t="str">
        <v>PM</v>
      </c>
      <c r="N23" t="str">
        <v>July</v>
      </c>
      <c r="O23" t="str">
        <v>MON</v>
      </c>
      <c r="P23">
        <v>190.56170799999998</v>
      </c>
      <c r="Q23" t="str">
        <v>SINGLE</v>
      </c>
    </row>
    <row r="24" spans="6:34" x14ac:dyDescent="0.35">
      <c r="H24" t="str">
        <f t="shared" si="0"/>
        <v>X</v>
      </c>
      <c r="I24">
        <v>18</v>
      </c>
      <c r="J24">
        <f>IFERROR(IF(J23+1&gt;MAX(HAxisTIPS),"X",J23+1),"X")</f>
        <v>31</v>
      </c>
      <c r="K24">
        <f>IF(J24="X","X",IF(J24=ROUND(TIPS!$B$18,0),MAX(FreqTIPS)+1,0))</f>
        <v>0</v>
      </c>
      <c r="L24">
        <v>45118</v>
      </c>
      <c r="M24" t="str">
        <v>PM</v>
      </c>
      <c r="N24" t="str">
        <v>July</v>
      </c>
      <c r="O24" t="str">
        <v>TUE</v>
      </c>
      <c r="P24">
        <v>175.82314799999997</v>
      </c>
      <c r="Q24" t="str">
        <v>SINGLE</v>
      </c>
    </row>
    <row r="25" spans="6:34" x14ac:dyDescent="0.35">
      <c r="H25" t="str">
        <f t="shared" si="0"/>
        <v>X</v>
      </c>
      <c r="I25">
        <v>19</v>
      </c>
      <c r="J25">
        <f>IFERROR(IF(J24+1&gt;MAX(HAxisTIPS),"X",J24+1),"X")</f>
        <v>32</v>
      </c>
      <c r="K25">
        <f>IF(J25="X","X",IF(J25=ROUND(TIPS!$B$18,0),MAX(FreqTIPS)+1,0))</f>
        <v>0</v>
      </c>
      <c r="L25">
        <v>45119</v>
      </c>
      <c r="M25" t="str">
        <v>PM</v>
      </c>
      <c r="N25" t="str">
        <v>July</v>
      </c>
      <c r="O25" t="str">
        <v>WED</v>
      </c>
      <c r="P25">
        <v>147.38756000000001</v>
      </c>
      <c r="Q25" t="str">
        <v>SINGLE</v>
      </c>
    </row>
    <row r="26" spans="6:34" x14ac:dyDescent="0.35">
      <c r="J26">
        <f>IFERROR(IF(J25+1&gt;MAX(HAxisTIPS),"X",J25+1),"X")</f>
        <v>33</v>
      </c>
      <c r="K26">
        <f>IF(J26="X","X",IF(J26=ROUND(TIPS!$B$18,0),MAX(FreqTIPS)+1,0))</f>
        <v>0</v>
      </c>
      <c r="L26">
        <v>45121</v>
      </c>
      <c r="M26" t="str">
        <v>PM</v>
      </c>
      <c r="N26" t="str">
        <v>July</v>
      </c>
      <c r="O26" t="str">
        <v>FRI</v>
      </c>
      <c r="P26">
        <v>203.24042800000001</v>
      </c>
      <c r="Q26" t="str">
        <v>SINGLE</v>
      </c>
    </row>
    <row r="27" spans="6:34" x14ac:dyDescent="0.35">
      <c r="J27">
        <f>IFERROR(IF(J26+1&gt;MAX(HAxisTIPS),"X",J26+1),"X")</f>
        <v>34</v>
      </c>
      <c r="K27">
        <f>IF(J27="X","X",IF(J27=ROUND(TIPS!$B$18,0),MAX(FreqTIPS)+1,0))</f>
        <v>0</v>
      </c>
      <c r="L27">
        <v>45122</v>
      </c>
      <c r="M27" t="str">
        <v>PM</v>
      </c>
      <c r="N27" t="str">
        <v>July</v>
      </c>
      <c r="O27" t="str">
        <v>SAT</v>
      </c>
      <c r="P27">
        <v>116.77434399999999</v>
      </c>
      <c r="Q27" t="str">
        <v>SINGLE</v>
      </c>
    </row>
    <row r="28" spans="6:34" x14ac:dyDescent="0.35">
      <c r="J28">
        <f>IFERROR(IF(J27+1&gt;MAX(HAxisTIPS),"X",J27+1),"X")</f>
        <v>35</v>
      </c>
      <c r="K28">
        <f>IF(J28="X","X",IF(J28=ROUND(TIPS!$B$18,0),MAX(FreqTIPS)+1,0))</f>
        <v>0</v>
      </c>
      <c r="L28">
        <v>45125</v>
      </c>
      <c r="M28" t="str">
        <v>PM</v>
      </c>
      <c r="N28" t="str">
        <v>July</v>
      </c>
      <c r="O28" t="str">
        <v>TUE</v>
      </c>
      <c r="P28">
        <v>124.95961999999999</v>
      </c>
      <c r="Q28" t="str">
        <v>SINGLE</v>
      </c>
    </row>
    <row r="29" spans="6:34" x14ac:dyDescent="0.35">
      <c r="J29">
        <f>IFERROR(IF(J28+1&gt;MAX(HAxisTIPS),"X",J28+1),"X")</f>
        <v>36</v>
      </c>
      <c r="K29">
        <f>IF(J29="X","X",IF(J29=ROUND(TIPS!$B$18,0),MAX(FreqTIPS)+1,0))</f>
        <v>0</v>
      </c>
      <c r="L29">
        <v>45126</v>
      </c>
      <c r="M29" t="str">
        <v>PM</v>
      </c>
      <c r="N29" t="str">
        <v>July</v>
      </c>
      <c r="O29" t="str">
        <v>WED</v>
      </c>
      <c r="P29">
        <v>165.92441199999999</v>
      </c>
      <c r="Q29" t="str">
        <v>SINGLE</v>
      </c>
    </row>
    <row r="30" spans="6:34" x14ac:dyDescent="0.35">
      <c r="J30">
        <f>IFERROR(IF(J29+1&gt;MAX(HAxisTIPS),"X",J29+1),"X")</f>
        <v>37</v>
      </c>
      <c r="K30">
        <f>IF(J30="X","X",IF(J30=ROUND(TIPS!$B$18,0),MAX(FreqTIPS)+1,0))</f>
        <v>0</v>
      </c>
      <c r="L30">
        <v>45128</v>
      </c>
      <c r="M30" t="str">
        <v>PM</v>
      </c>
      <c r="N30" t="str">
        <v>July</v>
      </c>
      <c r="O30" t="str">
        <v>FRI</v>
      </c>
      <c r="P30">
        <v>241.94436000000002</v>
      </c>
      <c r="Q30" t="str">
        <v>SINGLE</v>
      </c>
      <c r="Y30" s="204"/>
      <c r="Z30" s="204"/>
      <c r="AA30" s="204"/>
      <c r="AB30" s="204"/>
      <c r="AC30" s="204"/>
      <c r="AD30" s="204"/>
      <c r="AE30" s="204"/>
      <c r="AF30" s="204"/>
      <c r="AG30" s="204"/>
      <c r="AH30" s="204"/>
    </row>
    <row r="31" spans="6:34" x14ac:dyDescent="0.35">
      <c r="J31">
        <f>IFERROR(IF(J30+1&gt;MAX(HAxisTIPS),"X",J30+1),"X")</f>
        <v>38</v>
      </c>
      <c r="K31">
        <f>IF(J31="X","X",IF(J31=ROUND(TIPS!$B$18,0),MAX(FreqTIPS)+1,0))</f>
        <v>0</v>
      </c>
      <c r="L31">
        <v>45129</v>
      </c>
      <c r="M31" t="str">
        <v>PM</v>
      </c>
      <c r="N31" t="str">
        <v>July</v>
      </c>
      <c r="O31" t="str">
        <v>SAT</v>
      </c>
      <c r="P31">
        <v>333.681308</v>
      </c>
      <c r="Q31" t="str">
        <v>SINGLE</v>
      </c>
    </row>
    <row r="32" spans="6:34" x14ac:dyDescent="0.35">
      <c r="J32">
        <f>IFERROR(IF(J31+1&gt;MAX(HAxisTIPS),"X",J31+1),"X")</f>
        <v>39</v>
      </c>
      <c r="K32">
        <f>IF(J32="X","X",IF(J32=ROUND(TIPS!$B$18,0),MAX(FreqTIPS)+1,0))</f>
        <v>0</v>
      </c>
      <c r="L32">
        <v>45131</v>
      </c>
      <c r="M32" t="str">
        <v>PM</v>
      </c>
      <c r="N32" t="str">
        <v>July</v>
      </c>
      <c r="O32" t="str">
        <v>MON</v>
      </c>
      <c r="P32">
        <v>170.00901999999999</v>
      </c>
      <c r="Q32" t="str">
        <v>SINGLE</v>
      </c>
    </row>
    <row r="33" spans="10:17" x14ac:dyDescent="0.35">
      <c r="J33">
        <f>IFERROR(IF(J32+1&gt;MAX(HAxisTIPS),"X",J32+1),"X")</f>
        <v>40</v>
      </c>
      <c r="K33">
        <f>IF(J33="X","X",IF(J33=ROUND(TIPS!$B$18,0),MAX(FreqTIPS)+1,0))</f>
        <v>0</v>
      </c>
      <c r="L33">
        <v>45132</v>
      </c>
      <c r="M33" t="str">
        <v>PM</v>
      </c>
      <c r="N33" t="str">
        <v>July</v>
      </c>
      <c r="O33" t="str">
        <v>TUE</v>
      </c>
      <c r="P33">
        <v>151.1086</v>
      </c>
      <c r="Q33" t="str">
        <v>SINGLE</v>
      </c>
    </row>
    <row r="34" spans="10:17" x14ac:dyDescent="0.35">
      <c r="J34">
        <f>IFERROR(IF(J33+1&gt;MAX(HAxisTIPS),"X",J33+1),"X")</f>
        <v>41</v>
      </c>
      <c r="K34">
        <f>IF(J34="X","X",IF(J34=ROUND(TIPS!$B$18,0),MAX(FreqTIPS)+1,0))</f>
        <v>0</v>
      </c>
      <c r="L34">
        <v>45133</v>
      </c>
      <c r="M34" t="str">
        <v>PM</v>
      </c>
      <c r="N34" t="str">
        <v>July</v>
      </c>
      <c r="O34" t="str">
        <v>WED</v>
      </c>
      <c r="P34">
        <v>185.11517599999999</v>
      </c>
      <c r="Q34" t="str">
        <v>SINGLE</v>
      </c>
    </row>
    <row r="35" spans="10:17" x14ac:dyDescent="0.35">
      <c r="J35">
        <f>IFERROR(IF(J34+1&gt;MAX(HAxisTIPS),"X",J34+1),"X")</f>
        <v>42</v>
      </c>
      <c r="K35">
        <f>IF(J35="X","X",IF(J35=ROUND(TIPS!$B$18,0),MAX(FreqTIPS)+1,0))</f>
        <v>0</v>
      </c>
      <c r="L35">
        <v>45135</v>
      </c>
      <c r="M35" t="str">
        <v>PM</v>
      </c>
      <c r="N35" t="str">
        <v>July</v>
      </c>
      <c r="O35" t="str">
        <v>FRI</v>
      </c>
      <c r="P35">
        <v>238.50191599999999</v>
      </c>
      <c r="Q35" t="str">
        <v>SINGLE</v>
      </c>
    </row>
    <row r="36" spans="10:17" x14ac:dyDescent="0.35">
      <c r="J36">
        <f>IFERROR(IF(J35+1&gt;MAX(HAxisTIPS),"X",J35+1),"X")</f>
        <v>43</v>
      </c>
      <c r="K36">
        <f>IF(J36="X","X",IF(J36=ROUND(TIPS!$B$18,0),MAX(FreqTIPS)+1,0))</f>
        <v>0</v>
      </c>
      <c r="L36">
        <v>45136</v>
      </c>
      <c r="M36" t="str">
        <v>PM</v>
      </c>
      <c r="N36" t="str">
        <v>July</v>
      </c>
      <c r="O36" t="str">
        <v>SAT</v>
      </c>
      <c r="P36">
        <v>172.51180399999998</v>
      </c>
      <c r="Q36" t="str">
        <v>SINGLE</v>
      </c>
    </row>
    <row r="37" spans="10:17" x14ac:dyDescent="0.35">
      <c r="J37">
        <f>IFERROR(IF(J36+1&gt;MAX(HAxisTIPS),"X",J36+1),"X")</f>
        <v>44</v>
      </c>
      <c r="K37">
        <f>IF(J37="X","X",IF(J37=ROUND(TIPS!$B$18,0),MAX(FreqTIPS)+1,0))</f>
        <v>0</v>
      </c>
      <c r="L37">
        <v>45137</v>
      </c>
      <c r="M37" t="str">
        <v>AM</v>
      </c>
      <c r="N37" t="str">
        <v>July</v>
      </c>
      <c r="O37" t="str">
        <v>SUN</v>
      </c>
      <c r="P37">
        <v>129.63104000000001</v>
      </c>
      <c r="Q37" t="str">
        <v>SINGLE</v>
      </c>
    </row>
    <row r="38" spans="10:17" x14ac:dyDescent="0.35">
      <c r="J38">
        <f>IFERROR(IF(J37+1&gt;MAX(HAxisTIPS),"X",J37+1),"X")</f>
        <v>45</v>
      </c>
      <c r="K38">
        <f>IF(J38="X","X",IF(J38=ROUND(TIPS!$B$18,0),MAX(FreqTIPS)+1,0))</f>
        <v>0</v>
      </c>
      <c r="L38">
        <v>45138</v>
      </c>
      <c r="M38" t="str">
        <v>PM</v>
      </c>
      <c r="N38" t="str">
        <v>July</v>
      </c>
      <c r="O38" t="str">
        <v>MON</v>
      </c>
      <c r="P38">
        <v>206.59433999999999</v>
      </c>
      <c r="Q38" t="str">
        <v>SINGLE</v>
      </c>
    </row>
    <row r="39" spans="10:17" x14ac:dyDescent="0.35">
      <c r="J39">
        <f>IFERROR(IF(J38+1&gt;MAX(HAxisTIPS),"X",J38+1),"X")</f>
        <v>46</v>
      </c>
      <c r="K39">
        <f>IF(J39="X","X",IF(J39=ROUND(TIPS!$B$18,0),MAX(FreqTIPS)+1,0))</f>
        <v>0</v>
      </c>
      <c r="L39">
        <v>45139</v>
      </c>
      <c r="M39" t="str">
        <v>PM</v>
      </c>
      <c r="N39" t="str">
        <v>August</v>
      </c>
      <c r="O39" t="str">
        <v>TUE</v>
      </c>
      <c r="P39">
        <v>138.13836000000001</v>
      </c>
      <c r="Q39" t="str">
        <v>SINGLE</v>
      </c>
    </row>
    <row r="40" spans="10:17" x14ac:dyDescent="0.35">
      <c r="J40">
        <f>IFERROR(IF(J39+1&gt;MAX(HAxisTIPS),"X",J39+1),"X")</f>
        <v>47</v>
      </c>
      <c r="K40">
        <f>IF(J40="X","X",IF(J40=ROUND(TIPS!$B$18,0),MAX(FreqTIPS)+1,0))</f>
        <v>0</v>
      </c>
      <c r="L40">
        <v>45140</v>
      </c>
      <c r="M40" t="str">
        <v>AM</v>
      </c>
      <c r="N40" t="str">
        <v>August</v>
      </c>
      <c r="O40" t="str">
        <v>WED</v>
      </c>
      <c r="P40">
        <v>114.396716</v>
      </c>
      <c r="Q40" t="str">
        <v>DOUBLE</v>
      </c>
    </row>
    <row r="41" spans="10:17" x14ac:dyDescent="0.35">
      <c r="J41">
        <f>IFERROR(IF(J40+1&gt;MAX(HAxisTIPS),"X",J40+1),"X")</f>
        <v>48</v>
      </c>
      <c r="K41">
        <f>IF(J41="X","X",IF(J41=ROUND(TIPS!$B$18,0),MAX(FreqTIPS)+1,0))</f>
        <v>0</v>
      </c>
      <c r="L41">
        <v>45140</v>
      </c>
      <c r="M41" t="str">
        <v>PM</v>
      </c>
      <c r="N41" t="str">
        <v>August</v>
      </c>
      <c r="O41" t="str">
        <v>WED</v>
      </c>
      <c r="P41">
        <v>94.560599999999994</v>
      </c>
      <c r="Q41" t="str">
        <v>DOUBLE</v>
      </c>
    </row>
    <row r="42" spans="10:17" x14ac:dyDescent="0.35">
      <c r="J42">
        <f>IFERROR(IF(J41+1&gt;MAX(HAxisTIPS),"X",J41+1),"X")</f>
        <v>49</v>
      </c>
      <c r="K42">
        <f>IF(J42="X","X",IF(J42=ROUND(TIPS!$B$18,0),MAX(FreqTIPS)+1,0))</f>
        <v>0</v>
      </c>
      <c r="L42">
        <v>45142</v>
      </c>
      <c r="M42" t="str">
        <v>AM</v>
      </c>
      <c r="N42" t="str">
        <v>August</v>
      </c>
      <c r="O42" t="str">
        <v>FRI</v>
      </c>
      <c r="P42">
        <v>162.478084</v>
      </c>
      <c r="Q42" t="str">
        <v>DOUBLE</v>
      </c>
    </row>
    <row r="43" spans="10:17" x14ac:dyDescent="0.35">
      <c r="J43">
        <f>IFERROR(IF(J42+1&gt;MAX(HAxisTIPS),"X",J42+1),"X")</f>
        <v>50</v>
      </c>
      <c r="K43">
        <f>IF(J43="X","X",IF(J43=ROUND(TIPS!$B$18,0),MAX(FreqTIPS)+1,0))</f>
        <v>0</v>
      </c>
      <c r="L43">
        <v>45142</v>
      </c>
      <c r="M43" t="str">
        <v>PM</v>
      </c>
      <c r="N43" t="str">
        <v>August</v>
      </c>
      <c r="O43" t="str">
        <v>FRI</v>
      </c>
      <c r="P43">
        <v>180.67177999999998</v>
      </c>
      <c r="Q43" t="str">
        <v>DOUBLE</v>
      </c>
    </row>
    <row r="44" spans="10:17" x14ac:dyDescent="0.35">
      <c r="J44">
        <f>IFERROR(IF(J43+1&gt;MAX(HAxisTIPS),"X",J43+1),"X")</f>
        <v>51</v>
      </c>
      <c r="K44">
        <f>IF(J44="X","X",IF(J44=ROUND(TIPS!$B$18,0),MAX(FreqTIPS)+1,0))</f>
        <v>0</v>
      </c>
      <c r="L44">
        <v>45143</v>
      </c>
      <c r="M44" t="str">
        <v>PM</v>
      </c>
      <c r="N44" t="str">
        <v>August</v>
      </c>
      <c r="O44" t="str">
        <v>SAT</v>
      </c>
      <c r="P44">
        <v>266.82144400000004</v>
      </c>
      <c r="Q44" t="str">
        <v>SINGLE</v>
      </c>
    </row>
    <row r="45" spans="10:17" x14ac:dyDescent="0.35">
      <c r="J45">
        <f>IFERROR(IF(J44+1&gt;MAX(HAxisTIPS),"X",J44+1),"X")</f>
        <v>52</v>
      </c>
      <c r="K45">
        <f>IF(J45="X","X",IF(J45=ROUND(TIPS!$B$18,0),MAX(FreqTIPS)+1,0))</f>
        <v>0</v>
      </c>
      <c r="L45">
        <v>45145</v>
      </c>
      <c r="M45" t="str">
        <v>AM</v>
      </c>
      <c r="N45" t="str">
        <v>August</v>
      </c>
      <c r="O45" t="str">
        <v>MON</v>
      </c>
      <c r="P45">
        <v>85.479011999999997</v>
      </c>
      <c r="Q45" t="str">
        <v>DOUBLE</v>
      </c>
    </row>
    <row r="46" spans="10:17" x14ac:dyDescent="0.35">
      <c r="J46">
        <f>IFERROR(IF(J45+1&gt;MAX(HAxisTIPS),"X",J45+1),"X")</f>
        <v>53</v>
      </c>
      <c r="K46">
        <f>IF(J46="X","X",IF(J46=ROUND(TIPS!$B$18,0),MAX(FreqTIPS)+1,0))</f>
        <v>0</v>
      </c>
      <c r="L46">
        <v>45145</v>
      </c>
      <c r="M46" t="str">
        <v>PM</v>
      </c>
      <c r="N46" t="str">
        <v>August</v>
      </c>
      <c r="O46" t="str">
        <v>MON</v>
      </c>
      <c r="P46">
        <v>201.50010799999998</v>
      </c>
      <c r="Q46" t="str">
        <v>DOUBLE</v>
      </c>
    </row>
    <row r="47" spans="10:17" x14ac:dyDescent="0.35">
      <c r="J47">
        <f>IFERROR(IF(J46+1&gt;MAX(HAxisTIPS),"X",J46+1),"X")</f>
        <v>54</v>
      </c>
      <c r="K47">
        <f>IF(J47="X","X",IF(J47=ROUND(TIPS!$B$18,0),MAX(FreqTIPS)+1,0))</f>
        <v>0</v>
      </c>
      <c r="L47">
        <v>45146</v>
      </c>
      <c r="M47" t="str">
        <v>AM</v>
      </c>
      <c r="N47" t="str">
        <v>August</v>
      </c>
      <c r="O47" t="str">
        <v>TUE</v>
      </c>
      <c r="P47">
        <v>125.16169600000001</v>
      </c>
      <c r="Q47" t="str">
        <v>SINGLE</v>
      </c>
    </row>
    <row r="48" spans="10:17" x14ac:dyDescent="0.35">
      <c r="J48">
        <f>IFERROR(IF(J47+1&gt;MAX(HAxisTIPS),"X",J47+1),"X")</f>
        <v>55</v>
      </c>
      <c r="K48">
        <f>IF(J48="X","X",IF(J48=ROUND(TIPS!$B$18,0),MAX(FreqTIPS)+1,0))</f>
        <v>0</v>
      </c>
      <c r="L48">
        <v>45147</v>
      </c>
      <c r="M48" t="str">
        <v>PM</v>
      </c>
      <c r="N48" t="str">
        <v>August</v>
      </c>
      <c r="O48" t="str">
        <v>WED</v>
      </c>
      <c r="P48">
        <v>132.90529599999999</v>
      </c>
      <c r="Q48" t="str">
        <v>SINGLE</v>
      </c>
    </row>
    <row r="49" spans="10:17" x14ac:dyDescent="0.35">
      <c r="J49">
        <f>IFERROR(IF(J48+1&gt;MAX(HAxisTIPS),"X",J48+1),"X")</f>
        <v>56</v>
      </c>
      <c r="K49">
        <f>IF(J49="X","X",IF(J49=ROUND(TIPS!$B$18,0),MAX(FreqTIPS)+1,0))</f>
        <v>0</v>
      </c>
      <c r="L49">
        <v>45149</v>
      </c>
      <c r="M49" t="str">
        <v>PM</v>
      </c>
      <c r="N49" t="str">
        <v>August</v>
      </c>
      <c r="O49" t="str">
        <v>FRI</v>
      </c>
      <c r="P49">
        <v>185.53326000000001</v>
      </c>
      <c r="Q49" t="str">
        <v>SINGLE</v>
      </c>
    </row>
    <row r="50" spans="10:17" x14ac:dyDescent="0.35">
      <c r="J50">
        <f>IFERROR(IF(J49+1&gt;MAX(HAxisTIPS),"X",J49+1),"X")</f>
        <v>57</v>
      </c>
      <c r="K50">
        <f>IF(J50="X","X",IF(J50=ROUND(TIPS!$B$18,0),MAX(FreqTIPS)+1,0))</f>
        <v>0</v>
      </c>
      <c r="L50">
        <v>45150</v>
      </c>
      <c r="M50" t="str">
        <v>PM</v>
      </c>
      <c r="N50" t="str">
        <v>August</v>
      </c>
      <c r="O50" t="str">
        <v>SAT</v>
      </c>
      <c r="P50">
        <v>308.20174799999995</v>
      </c>
      <c r="Q50" t="str">
        <v>SINGLE</v>
      </c>
    </row>
    <row r="51" spans="10:17" x14ac:dyDescent="0.35">
      <c r="J51">
        <f>IFERROR(IF(J50+1&gt;MAX(HAxisTIPS),"X",J50+1),"X")</f>
        <v>58</v>
      </c>
      <c r="K51">
        <f>IF(J51="X","X",IF(J51=ROUND(TIPS!$B$18,0),MAX(FreqTIPS)+1,0))</f>
        <v>0</v>
      </c>
      <c r="L51">
        <v>45152</v>
      </c>
      <c r="M51" t="str">
        <v>AM</v>
      </c>
      <c r="N51" t="str">
        <v>August</v>
      </c>
      <c r="O51" t="str">
        <v>MON</v>
      </c>
      <c r="P51">
        <v>121.035892</v>
      </c>
      <c r="Q51" t="str">
        <v>SINGLE</v>
      </c>
    </row>
    <row r="52" spans="10:17" x14ac:dyDescent="0.35">
      <c r="J52">
        <f>IFERROR(IF(J51+1&gt;MAX(HAxisTIPS),"X",J51+1),"X")</f>
        <v>59</v>
      </c>
      <c r="K52">
        <f>IF(J52="X","X",IF(J52=ROUND(TIPS!$B$18,0),MAX(FreqTIPS)+1,0))</f>
        <v>0</v>
      </c>
      <c r="L52">
        <v>45153</v>
      </c>
      <c r="M52" t="str">
        <v>AM</v>
      </c>
      <c r="N52" t="str">
        <v>August</v>
      </c>
      <c r="O52" t="str">
        <v>TUE</v>
      </c>
      <c r="P52">
        <v>52.001628000000004</v>
      </c>
      <c r="Q52" t="str">
        <v>DOUBLE</v>
      </c>
    </row>
    <row r="53" spans="10:17" x14ac:dyDescent="0.35">
      <c r="J53">
        <f>IFERROR(IF(J52+1&gt;MAX(HAxisTIPS),"X",J52+1),"X")</f>
        <v>60</v>
      </c>
      <c r="K53">
        <f>IF(J53="X","X",IF(J53=ROUND(TIPS!$B$18,0),MAX(FreqTIPS)+1,0))</f>
        <v>0</v>
      </c>
      <c r="L53">
        <v>45153</v>
      </c>
      <c r="M53" t="str">
        <v>PM</v>
      </c>
      <c r="N53" t="str">
        <v>August</v>
      </c>
      <c r="O53" t="str">
        <v>TUE</v>
      </c>
      <c r="P53">
        <v>100.28976399999999</v>
      </c>
      <c r="Q53" t="str">
        <v>DOUBLE</v>
      </c>
    </row>
    <row r="54" spans="10:17" x14ac:dyDescent="0.35">
      <c r="J54">
        <f>IFERROR(IF(J53+1&gt;MAX(HAxisTIPS),"X",J53+1),"X")</f>
        <v>61</v>
      </c>
      <c r="K54">
        <f>IF(J54="X","X",IF(J54=ROUND(TIPS!$B$18,0),MAX(FreqTIPS)+1,0))</f>
        <v>0</v>
      </c>
      <c r="L54">
        <v>45154</v>
      </c>
      <c r="M54" t="str">
        <v>AM</v>
      </c>
      <c r="N54" t="str">
        <v>August</v>
      </c>
      <c r="O54" t="str">
        <v>WED</v>
      </c>
      <c r="P54">
        <v>133.81860800000001</v>
      </c>
      <c r="Q54" t="str">
        <v>DOUBLE</v>
      </c>
    </row>
    <row r="55" spans="10:17" x14ac:dyDescent="0.35">
      <c r="J55">
        <f>IFERROR(IF(J54+1&gt;MAX(HAxisTIPS),"X",J54+1),"X")</f>
        <v>62</v>
      </c>
      <c r="K55">
        <f>IF(J55="X","X",IF(J55=ROUND(TIPS!$B$18,0),MAX(FreqTIPS)+1,0))</f>
        <v>0</v>
      </c>
      <c r="L55">
        <v>45154</v>
      </c>
      <c r="M55" t="str">
        <v>PM</v>
      </c>
      <c r="N55" t="str">
        <v>August</v>
      </c>
      <c r="O55" t="str">
        <v>WED</v>
      </c>
      <c r="P55">
        <v>292.53746799999999</v>
      </c>
      <c r="Q55" t="str">
        <v>DOUBLE</v>
      </c>
    </row>
    <row r="56" spans="10:17" x14ac:dyDescent="0.35">
      <c r="J56">
        <f>IFERROR(IF(J55+1&gt;MAX(HAxisTIPS),"X",J55+1),"X")</f>
        <v>63</v>
      </c>
      <c r="K56">
        <f>IF(J56="X","X",IF(J56=ROUND(TIPS!$B$18,0),MAX(FreqTIPS)+1,0))</f>
        <v>0</v>
      </c>
      <c r="L56">
        <v>45156</v>
      </c>
      <c r="M56" t="str">
        <v>PM</v>
      </c>
      <c r="N56" t="str">
        <v>August</v>
      </c>
      <c r="O56" t="str">
        <v>FRI</v>
      </c>
      <c r="P56">
        <v>179.999664</v>
      </c>
      <c r="Q56" t="str">
        <v>SINGLE</v>
      </c>
    </row>
    <row r="57" spans="10:17" x14ac:dyDescent="0.35">
      <c r="J57">
        <f>IFERROR(IF(J56+1&gt;MAX(HAxisTIPS),"X",J56+1),"X")</f>
        <v>64</v>
      </c>
      <c r="K57">
        <f>IF(J57="X","X",IF(J57=ROUND(TIPS!$B$18,0),MAX(FreqTIPS)+1,0))</f>
        <v>0</v>
      </c>
      <c r="L57">
        <v>45157</v>
      </c>
      <c r="M57" t="str">
        <v>PM</v>
      </c>
      <c r="N57" t="str">
        <v>August</v>
      </c>
      <c r="O57" t="str">
        <v>SAT</v>
      </c>
      <c r="P57">
        <v>316.70870400000001</v>
      </c>
      <c r="Q57" t="str">
        <v>SINGLE</v>
      </c>
    </row>
    <row r="58" spans="10:17" x14ac:dyDescent="0.35">
      <c r="J58">
        <f>IFERROR(IF(J57+1&gt;MAX(HAxisTIPS),"X",J57+1),"X")</f>
        <v>65</v>
      </c>
      <c r="K58">
        <f>IF(J58="X","X",IF(J58=ROUND(TIPS!$B$18,0),MAX(FreqTIPS)+1,0))</f>
        <v>0</v>
      </c>
      <c r="L58">
        <v>45159</v>
      </c>
      <c r="M58" t="str">
        <v>AM</v>
      </c>
      <c r="N58" t="str">
        <v>August</v>
      </c>
      <c r="O58" t="str">
        <v>MON</v>
      </c>
      <c r="P58">
        <v>148.91608400000001</v>
      </c>
      <c r="Q58" t="str">
        <v>SINGLE</v>
      </c>
    </row>
    <row r="59" spans="10:17" x14ac:dyDescent="0.35">
      <c r="J59">
        <f>IFERROR(IF(J58+1&gt;MAX(HAxisTIPS),"X",J58+1),"X")</f>
        <v>66</v>
      </c>
      <c r="K59">
        <f>IF(J59="X","X",IF(J59=ROUND(TIPS!$B$18,0),MAX(FreqTIPS)+1,0))</f>
        <v>0</v>
      </c>
      <c r="L59">
        <v>45160</v>
      </c>
      <c r="M59" t="str">
        <v>AM</v>
      </c>
      <c r="N59" t="str">
        <v>August</v>
      </c>
      <c r="O59" t="str">
        <v>TUE</v>
      </c>
      <c r="P59">
        <v>169.04360800000001</v>
      </c>
      <c r="Q59" t="str">
        <v>DOUBLE</v>
      </c>
    </row>
    <row r="60" spans="10:17" x14ac:dyDescent="0.35">
      <c r="J60">
        <f>IFERROR(IF(J59+1&gt;MAX(HAxisTIPS),"X",J59+1),"X")</f>
        <v>67</v>
      </c>
      <c r="K60">
        <f>IF(J60="X","X",IF(J60=ROUND(TIPS!$B$18,0),MAX(FreqTIPS)+1,0))</f>
        <v>0</v>
      </c>
      <c r="L60">
        <v>45160</v>
      </c>
      <c r="M60" t="str">
        <v>PM</v>
      </c>
      <c r="N60" t="str">
        <v>August</v>
      </c>
      <c r="O60" t="str">
        <v>TUE</v>
      </c>
      <c r="P60">
        <v>65.265259999999998</v>
      </c>
      <c r="Q60" t="str">
        <v>DOUBLE</v>
      </c>
    </row>
    <row r="61" spans="10:17" x14ac:dyDescent="0.35">
      <c r="J61">
        <f>IFERROR(IF(J60+1&gt;MAX(HAxisTIPS),"X",J60+1),"X")</f>
        <v>68</v>
      </c>
      <c r="K61">
        <f>IF(J61="X","X",IF(J61=ROUND(TIPS!$B$18,0),MAX(FreqTIPS)+1,0))</f>
        <v>0</v>
      </c>
      <c r="L61">
        <v>45161</v>
      </c>
      <c r="M61" t="str">
        <v>AM</v>
      </c>
      <c r="N61" t="str">
        <v>August</v>
      </c>
      <c r="O61" t="str">
        <v>WED</v>
      </c>
      <c r="P61">
        <v>82.299660000000003</v>
      </c>
      <c r="Q61" t="str">
        <v>DOUBLE</v>
      </c>
    </row>
    <row r="62" spans="10:17" x14ac:dyDescent="0.35">
      <c r="J62">
        <f>IFERROR(IF(J61+1&gt;MAX(HAxisTIPS),"X",J61+1),"X")</f>
        <v>69</v>
      </c>
      <c r="K62">
        <f>IF(J62="X","X",IF(J62=ROUND(TIPS!$B$18,0),MAX(FreqTIPS)+1,0))</f>
        <v>0</v>
      </c>
      <c r="L62">
        <v>45161</v>
      </c>
      <c r="M62" t="str">
        <v>PM</v>
      </c>
      <c r="N62" t="str">
        <v>August</v>
      </c>
      <c r="O62" t="str">
        <v>WED</v>
      </c>
      <c r="P62">
        <v>151.97421999999997</v>
      </c>
      <c r="Q62" t="str">
        <v>DOUBLE</v>
      </c>
    </row>
    <row r="63" spans="10:17" x14ac:dyDescent="0.35">
      <c r="J63">
        <f>IFERROR(IF(J62+1&gt;MAX(HAxisTIPS),"X",J62+1),"X")</f>
        <v>70</v>
      </c>
      <c r="K63">
        <f>IF(J63="X","X",IF(J63=ROUND(TIPS!$B$18,0),MAX(FreqTIPS)+1,0))</f>
        <v>0</v>
      </c>
      <c r="L63">
        <v>45163</v>
      </c>
      <c r="M63" t="str">
        <v>PM</v>
      </c>
      <c r="N63" t="str">
        <v>August</v>
      </c>
      <c r="O63" t="str">
        <v>FRI</v>
      </c>
      <c r="P63">
        <v>225.458944</v>
      </c>
      <c r="Q63" t="str">
        <v>SINGLE</v>
      </c>
    </row>
    <row r="64" spans="10:17" x14ac:dyDescent="0.35">
      <c r="J64">
        <f>IFERROR(IF(J63+1&gt;MAX(HAxisTIPS),"X",J63+1),"X")</f>
        <v>71</v>
      </c>
      <c r="K64">
        <f>IF(J64="X","X",IF(J64=ROUND(TIPS!$B$18,0),MAX(FreqTIPS)+1,0))</f>
        <v>0</v>
      </c>
      <c r="L64">
        <v>45164</v>
      </c>
      <c r="M64" t="str">
        <v>AM</v>
      </c>
      <c r="N64" t="str">
        <v>August</v>
      </c>
      <c r="O64" t="str">
        <v>SAT</v>
      </c>
      <c r="P64">
        <v>90.991011999999998</v>
      </c>
      <c r="Q64" t="str">
        <v>DOUBLE</v>
      </c>
    </row>
    <row r="65" spans="10:17" x14ac:dyDescent="0.35">
      <c r="J65">
        <f>IFERROR(IF(J64+1&gt;MAX(HAxisTIPS),"X",J64+1),"X")</f>
        <v>72</v>
      </c>
      <c r="K65">
        <f>IF(J65="X","X",IF(J65=ROUND(TIPS!$B$18,0),MAX(FreqTIPS)+1,0))</f>
        <v>0</v>
      </c>
      <c r="L65">
        <v>45164</v>
      </c>
      <c r="M65" t="str">
        <v>PM</v>
      </c>
      <c r="N65" t="str">
        <v>August</v>
      </c>
      <c r="O65" t="str">
        <v>SAT</v>
      </c>
      <c r="P65">
        <v>232.13966000000002</v>
      </c>
      <c r="Q65" t="str">
        <v>DOUBLE</v>
      </c>
    </row>
    <row r="66" spans="10:17" x14ac:dyDescent="0.35">
      <c r="J66">
        <f>IFERROR(IF(J65+1&gt;MAX(HAxisTIPS),"X",J65+1),"X")</f>
        <v>73</v>
      </c>
      <c r="K66">
        <f>IF(J66="X","X",IF(J66=ROUND(TIPS!$B$18,0),MAX(FreqTIPS)+1,0))</f>
        <v>0</v>
      </c>
      <c r="L66">
        <v>45165</v>
      </c>
      <c r="M66" t="str">
        <v>AM</v>
      </c>
      <c r="N66" t="str">
        <v>August</v>
      </c>
      <c r="O66" t="str">
        <v>SUN</v>
      </c>
      <c r="P66">
        <v>167.970966</v>
      </c>
      <c r="Q66" t="str">
        <v>DOUBLE</v>
      </c>
    </row>
    <row r="67" spans="10:17" x14ac:dyDescent="0.35">
      <c r="J67">
        <f>IFERROR(IF(J66+1&gt;MAX(HAxisTIPS),"X",J66+1),"X")</f>
        <v>74</v>
      </c>
      <c r="K67">
        <f>IF(J67="X","X",IF(J67=ROUND(TIPS!$B$18,0),MAX(FreqTIPS)+1,0))</f>
        <v>0</v>
      </c>
      <c r="L67">
        <v>45165</v>
      </c>
      <c r="M67" t="str">
        <v>PM</v>
      </c>
      <c r="N67" t="str">
        <v>August</v>
      </c>
      <c r="O67" t="str">
        <v>SUN</v>
      </c>
      <c r="P67">
        <v>156.953216</v>
      </c>
      <c r="Q67" t="str">
        <v>DOUBLE</v>
      </c>
    </row>
    <row r="68" spans="10:17" x14ac:dyDescent="0.35">
      <c r="J68">
        <f>IFERROR(IF(J67+1&gt;MAX(HAxisTIPS),"X",J67+1),"X")</f>
        <v>75</v>
      </c>
      <c r="K68">
        <f>IF(J68="X","X",IF(J68=ROUND(TIPS!$B$18,0),MAX(FreqTIPS)+1,0))</f>
        <v>0</v>
      </c>
      <c r="L68">
        <v>45166</v>
      </c>
      <c r="M68" t="str">
        <v>AM</v>
      </c>
      <c r="N68" t="str">
        <v>August</v>
      </c>
      <c r="O68" t="str">
        <v>MON</v>
      </c>
      <c r="P68">
        <v>52.754260000000002</v>
      </c>
      <c r="Q68" t="str">
        <v>DOUBLE</v>
      </c>
    </row>
    <row r="69" spans="10:17" x14ac:dyDescent="0.35">
      <c r="J69">
        <f>IFERROR(IF(J68+1&gt;MAX(HAxisTIPS),"X",J68+1),"X")</f>
        <v>76</v>
      </c>
      <c r="K69">
        <f>IF(J69="X","X",IF(J69=ROUND(TIPS!$B$18,0),MAX(FreqTIPS)+1,0))</f>
        <v>0</v>
      </c>
      <c r="L69">
        <v>45166</v>
      </c>
      <c r="M69" t="str">
        <v>PM</v>
      </c>
      <c r="N69" t="str">
        <v>August</v>
      </c>
      <c r="O69" t="str">
        <v>MON</v>
      </c>
      <c r="P69">
        <v>25.844839999999998</v>
      </c>
      <c r="Q69" t="str">
        <v>DOUBLE</v>
      </c>
    </row>
    <row r="70" spans="10:17" x14ac:dyDescent="0.35">
      <c r="J70">
        <f>IFERROR(IF(J69+1&gt;MAX(HAxisTIPS),"X",J69+1),"X")</f>
        <v>77</v>
      </c>
      <c r="K70">
        <f>IF(J70="X","X",IF(J70=ROUND(TIPS!$B$18,0),MAX(FreqTIPS)+1,0))</f>
        <v>0</v>
      </c>
      <c r="L70">
        <v>45168</v>
      </c>
      <c r="M70" t="str">
        <v>AM</v>
      </c>
      <c r="N70" t="str">
        <v>August</v>
      </c>
      <c r="O70" t="str">
        <v>WED</v>
      </c>
      <c r="P70">
        <v>114.16381999999999</v>
      </c>
      <c r="Q70" t="str">
        <v>DOUBLE</v>
      </c>
    </row>
    <row r="71" spans="10:17" x14ac:dyDescent="0.35">
      <c r="J71">
        <f>IFERROR(IF(J70+1&gt;MAX(HAxisTIPS),"X",J70+1),"X")</f>
        <v>78</v>
      </c>
      <c r="K71">
        <f>IF(J71="X","X",IF(J71=ROUND(TIPS!$B$18,0),MAX(FreqTIPS)+1,0))</f>
        <v>0</v>
      </c>
      <c r="L71">
        <v>45168</v>
      </c>
      <c r="M71" t="str">
        <v>PM</v>
      </c>
      <c r="N71" t="str">
        <v>August</v>
      </c>
      <c r="O71" t="str">
        <v>WED</v>
      </c>
      <c r="P71">
        <v>126.29014799999999</v>
      </c>
      <c r="Q71" t="str">
        <v>DOUBLE</v>
      </c>
    </row>
    <row r="72" spans="10:17" x14ac:dyDescent="0.35">
      <c r="J72">
        <f>IFERROR(IF(J71+1&gt;MAX(HAxisTIPS),"X",J71+1),"X")</f>
        <v>79</v>
      </c>
      <c r="K72">
        <f>IF(J72="X","X",IF(J72=ROUND(TIPS!$B$18,0),MAX(FreqTIPS)+1,0))</f>
        <v>0</v>
      </c>
      <c r="L72">
        <v>45171</v>
      </c>
      <c r="M72" t="str">
        <v>PM</v>
      </c>
      <c r="N72" t="str">
        <v>September</v>
      </c>
      <c r="O72" t="str">
        <v>SAT</v>
      </c>
      <c r="P72">
        <v>318.34183999999999</v>
      </c>
      <c r="Q72" t="str">
        <v>SINGLE</v>
      </c>
    </row>
    <row r="73" spans="10:17" x14ac:dyDescent="0.35">
      <c r="J73">
        <f>IFERROR(IF(J72+1&gt;MAX(HAxisTIPS),"X",J72+1),"X")</f>
        <v>80</v>
      </c>
      <c r="K73">
        <f>IF(J73="X","X",IF(J73=ROUND(TIPS!$B$18,0),MAX(FreqTIPS)+1,0))</f>
        <v>0</v>
      </c>
      <c r="L73">
        <v>45172</v>
      </c>
      <c r="M73" t="str">
        <v>PM</v>
      </c>
      <c r="N73" t="str">
        <v>September</v>
      </c>
      <c r="O73" t="str">
        <v>SUN</v>
      </c>
      <c r="P73">
        <v>192.6677</v>
      </c>
      <c r="Q73" t="str">
        <v>SINGLE</v>
      </c>
    </row>
    <row r="74" spans="10:17" x14ac:dyDescent="0.35">
      <c r="J74">
        <f>IFERROR(IF(J73+1&gt;MAX(HAxisTIPS),"X",J73+1),"X")</f>
        <v>81</v>
      </c>
      <c r="K74">
        <f>IF(J74="X","X",IF(J74=ROUND(TIPS!$B$18,0),MAX(FreqTIPS)+1,0))</f>
        <v>0</v>
      </c>
      <c r="L74">
        <v>45173</v>
      </c>
      <c r="M74" t="str">
        <v>PM</v>
      </c>
      <c r="N74" t="str">
        <v>September</v>
      </c>
      <c r="O74" t="str">
        <v>MON</v>
      </c>
      <c r="P74">
        <v>195.94261600000002</v>
      </c>
      <c r="Q74" t="str">
        <v>SINGLE</v>
      </c>
    </row>
    <row r="75" spans="10:17" x14ac:dyDescent="0.35">
      <c r="J75">
        <f>IFERROR(IF(J74+1&gt;MAX(HAxisTIPS),"X",J74+1),"X")</f>
        <v>82</v>
      </c>
      <c r="K75">
        <f>IF(J75="X","X",IF(J75=ROUND(TIPS!$B$18,0),MAX(FreqTIPS)+1,0))</f>
        <v>0</v>
      </c>
      <c r="L75">
        <v>45174</v>
      </c>
      <c r="M75" t="str">
        <v>PM</v>
      </c>
      <c r="N75" t="str">
        <v>September</v>
      </c>
      <c r="O75" t="str">
        <v>TUE</v>
      </c>
      <c r="P75">
        <v>149.30824799999999</v>
      </c>
      <c r="Q75" t="str">
        <v>SINGLE</v>
      </c>
    </row>
    <row r="76" spans="10:17" x14ac:dyDescent="0.35">
      <c r="J76">
        <f>IFERROR(IF(J75+1&gt;MAX(HAxisTIPS),"X",J75+1),"X")</f>
        <v>83</v>
      </c>
      <c r="K76">
        <f>IF(J76="X","X",IF(J76=ROUND(TIPS!$B$18,0),MAX(FreqTIPS)+1,0))</f>
        <v>0</v>
      </c>
      <c r="L76">
        <v>45175</v>
      </c>
      <c r="M76" t="str">
        <v>AM</v>
      </c>
      <c r="N76" t="str">
        <v>September</v>
      </c>
      <c r="O76" t="str">
        <v>WED</v>
      </c>
      <c r="P76">
        <v>42.626280000000001</v>
      </c>
      <c r="Q76" t="str">
        <v>SINGLE</v>
      </c>
    </row>
    <row r="77" spans="10:17" x14ac:dyDescent="0.35">
      <c r="J77">
        <f>IFERROR(IF(J76+1&gt;MAX(HAxisTIPS),"X",J76+1),"X")</f>
        <v>84</v>
      </c>
      <c r="K77">
        <f>IF(J77="X","X",IF(J77=ROUND(TIPS!$B$18,0),MAX(FreqTIPS)+1,0))</f>
        <v>0</v>
      </c>
      <c r="L77">
        <v>45177</v>
      </c>
      <c r="M77" t="str">
        <v>PM</v>
      </c>
      <c r="N77" t="str">
        <v>September</v>
      </c>
      <c r="O77" t="str">
        <v>FRI</v>
      </c>
      <c r="P77">
        <v>220.24354</v>
      </c>
      <c r="Q77" t="str">
        <v>SINGLE</v>
      </c>
    </row>
    <row r="78" spans="10:17" x14ac:dyDescent="0.35">
      <c r="J78">
        <f>IFERROR(IF(J77+1&gt;MAX(HAxisTIPS),"X",J77+1),"X")</f>
        <v>85</v>
      </c>
      <c r="K78">
        <f>IF(J78="X","X",IF(J78=ROUND(TIPS!$B$18,0),MAX(FreqTIPS)+1,0))</f>
        <v>0</v>
      </c>
      <c r="L78">
        <v>45178</v>
      </c>
      <c r="M78" t="str">
        <v>AM</v>
      </c>
      <c r="N78" t="str">
        <v>September</v>
      </c>
      <c r="O78" t="str">
        <v>SAT</v>
      </c>
      <c r="P78">
        <v>106.108092</v>
      </c>
      <c r="Q78" t="str">
        <v>SINGLE</v>
      </c>
    </row>
    <row r="79" spans="10:17" x14ac:dyDescent="0.35">
      <c r="J79">
        <f>IFERROR(IF(J78+1&gt;MAX(HAxisTIPS),"X",J78+1),"X")</f>
        <v>86</v>
      </c>
      <c r="K79">
        <f>IF(J79="X","X",IF(J79=ROUND(TIPS!$B$18,0),MAX(FreqTIPS)+1,0))</f>
        <v>0</v>
      </c>
      <c r="L79">
        <v>45179</v>
      </c>
      <c r="M79" t="str">
        <v>AM</v>
      </c>
      <c r="N79" t="str">
        <v>September</v>
      </c>
      <c r="O79" t="str">
        <v>SUN</v>
      </c>
      <c r="P79">
        <v>123.7079</v>
      </c>
      <c r="Q79" t="str">
        <v>DOUBLE</v>
      </c>
    </row>
    <row r="80" spans="10:17" x14ac:dyDescent="0.35">
      <c r="J80">
        <f>IFERROR(IF(J79+1&gt;MAX(HAxisTIPS),"X",J79+1),"X")</f>
        <v>87</v>
      </c>
      <c r="K80">
        <f>IF(J80="X","X",IF(J80=ROUND(TIPS!$B$18,0),MAX(FreqTIPS)+1,0))</f>
        <v>0</v>
      </c>
      <c r="L80">
        <v>45179</v>
      </c>
      <c r="M80" t="str">
        <v>PM</v>
      </c>
      <c r="N80" t="str">
        <v>September</v>
      </c>
      <c r="O80" t="str">
        <v>SUN</v>
      </c>
      <c r="P80">
        <v>123.7079</v>
      </c>
      <c r="Q80" t="str">
        <v>DOUBLE</v>
      </c>
    </row>
    <row r="81" spans="10:17" x14ac:dyDescent="0.35">
      <c r="J81">
        <f>IFERROR(IF(J80+1&gt;MAX(HAxisTIPS),"X",J80+1),"X")</f>
        <v>88</v>
      </c>
      <c r="K81">
        <f>IF(J81="X","X",IF(J81=ROUND(TIPS!$B$18,0),MAX(FreqTIPS)+1,0))</f>
        <v>0</v>
      </c>
      <c r="L81">
        <v>45180</v>
      </c>
      <c r="M81" t="str">
        <v>AM</v>
      </c>
      <c r="N81" t="str">
        <v>September</v>
      </c>
      <c r="O81" t="str">
        <v>MON</v>
      </c>
      <c r="P81">
        <v>68.743099999999998</v>
      </c>
      <c r="Q81" t="str">
        <v>DOUBLE</v>
      </c>
    </row>
    <row r="82" spans="10:17" x14ac:dyDescent="0.35">
      <c r="J82">
        <f>IFERROR(IF(J81+1&gt;MAX(HAxisTIPS),"X",J81+1),"X")</f>
        <v>89</v>
      </c>
      <c r="K82">
        <f>IF(J82="X","X",IF(J82=ROUND(TIPS!$B$18,0),MAX(FreqTIPS)+1,0))</f>
        <v>0</v>
      </c>
      <c r="L82">
        <v>45180</v>
      </c>
      <c r="M82" t="str">
        <v>PM</v>
      </c>
      <c r="N82" t="str">
        <v>September</v>
      </c>
      <c r="O82" t="str">
        <v>MON</v>
      </c>
      <c r="P82">
        <v>76.038240000000002</v>
      </c>
      <c r="Q82" t="str">
        <v>DOUBLE</v>
      </c>
    </row>
    <row r="83" spans="10:17" x14ac:dyDescent="0.35">
      <c r="J83">
        <f>IFERROR(IF(J82+1&gt;MAX(HAxisTIPS),"X",J82+1),"X")</f>
        <v>90</v>
      </c>
      <c r="K83">
        <f>IF(J83="X","X",IF(J83=ROUND(TIPS!$B$18,0),MAX(FreqTIPS)+1,0))</f>
        <v>0</v>
      </c>
      <c r="L83">
        <v>45182</v>
      </c>
      <c r="M83" t="str">
        <v>AM</v>
      </c>
      <c r="N83" t="str">
        <v>September</v>
      </c>
      <c r="O83" t="str">
        <v>WED</v>
      </c>
      <c r="P83">
        <v>108.471272</v>
      </c>
      <c r="Q83" t="str">
        <v>SINGLE</v>
      </c>
    </row>
    <row r="84" spans="10:17" x14ac:dyDescent="0.35">
      <c r="J84">
        <f>IFERROR(IF(J83+1&gt;MAX(HAxisTIPS),"X",J83+1),"X")</f>
        <v>91</v>
      </c>
      <c r="K84">
        <f>IF(J84="X","X",IF(J84=ROUND(TIPS!$B$18,0),MAX(FreqTIPS)+1,0))</f>
        <v>0</v>
      </c>
      <c r="L84">
        <v>45184</v>
      </c>
      <c r="M84" t="str">
        <v>AM</v>
      </c>
      <c r="N84" t="str">
        <v>September</v>
      </c>
      <c r="O84" t="str">
        <v>FRI</v>
      </c>
      <c r="P84">
        <v>109.82080000000001</v>
      </c>
      <c r="Q84" t="str">
        <v>DOUBLE</v>
      </c>
    </row>
    <row r="85" spans="10:17" x14ac:dyDescent="0.35">
      <c r="J85">
        <f>IFERROR(IF(J84+1&gt;MAX(HAxisTIPS),"X",J84+1),"X")</f>
        <v>92</v>
      </c>
      <c r="K85">
        <f>IF(J85="X","X",IF(J85=ROUND(TIPS!$B$18,0),MAX(FreqTIPS)+1,0))</f>
        <v>0</v>
      </c>
      <c r="L85">
        <v>45184</v>
      </c>
      <c r="M85" t="str">
        <v>PM</v>
      </c>
      <c r="N85" t="str">
        <v>September</v>
      </c>
      <c r="O85" t="str">
        <v>FRI</v>
      </c>
      <c r="P85">
        <v>129.09727599999999</v>
      </c>
      <c r="Q85" t="str">
        <v>DOUBLE</v>
      </c>
    </row>
    <row r="86" spans="10:17" x14ac:dyDescent="0.35">
      <c r="J86">
        <f>IFERROR(IF(J85+1&gt;MAX(HAxisTIPS),"X",J85+1),"X")</f>
        <v>93</v>
      </c>
      <c r="K86">
        <f>IF(J86="X","X",IF(J86=ROUND(TIPS!$B$18,0),MAX(FreqTIPS)+1,0))</f>
        <v>0</v>
      </c>
      <c r="L86">
        <v>45185</v>
      </c>
      <c r="M86" t="str">
        <v>AM</v>
      </c>
      <c r="N86" t="str">
        <v>September</v>
      </c>
      <c r="O86" t="str">
        <v>SAT</v>
      </c>
      <c r="P86">
        <v>201.58923199999998</v>
      </c>
      <c r="Q86" t="str">
        <v>SINGLE</v>
      </c>
    </row>
    <row r="87" spans="10:17" x14ac:dyDescent="0.35">
      <c r="J87">
        <f>IFERROR(IF(J86+1&gt;MAX(HAxisTIPS),"X",J86+1),"X")</f>
        <v>94</v>
      </c>
      <c r="K87">
        <f>IF(J87="X","X",IF(J87=ROUND(TIPS!$B$18,0),MAX(FreqTIPS)+1,0))</f>
        <v>0</v>
      </c>
      <c r="L87">
        <v>45186</v>
      </c>
      <c r="M87" t="str">
        <v>AM</v>
      </c>
      <c r="N87" t="str">
        <v>September</v>
      </c>
      <c r="O87" t="str">
        <v>SUN</v>
      </c>
      <c r="P87">
        <v>161.95194000000001</v>
      </c>
      <c r="Q87" t="str">
        <v>DOUBLE</v>
      </c>
    </row>
    <row r="88" spans="10:17" x14ac:dyDescent="0.35">
      <c r="J88">
        <f>IFERROR(IF(J87+1&gt;MAX(HAxisTIPS),"X",J87+1),"X")</f>
        <v>95</v>
      </c>
      <c r="K88">
        <f>IF(J88="X","X",IF(J88=ROUND(TIPS!$B$18,0),MAX(FreqTIPS)+1,0))</f>
        <v>0</v>
      </c>
      <c r="L88">
        <v>45187</v>
      </c>
      <c r="M88" t="str">
        <v>AM</v>
      </c>
      <c r="N88" t="str">
        <v>September</v>
      </c>
      <c r="O88" t="str">
        <v>MON</v>
      </c>
      <c r="P88">
        <v>58.22184</v>
      </c>
      <c r="Q88" t="str">
        <v>DOUBLE</v>
      </c>
    </row>
    <row r="89" spans="10:17" x14ac:dyDescent="0.35">
      <c r="J89">
        <f>IFERROR(IF(J88+1&gt;MAX(HAxisTIPS),"X",J88+1),"X")</f>
        <v>96</v>
      </c>
      <c r="K89">
        <f>IF(J89="X","X",IF(J89=ROUND(TIPS!$B$18,0),MAX(FreqTIPS)+1,0))</f>
        <v>0</v>
      </c>
      <c r="L89">
        <v>45187</v>
      </c>
      <c r="M89" t="str">
        <v>PM</v>
      </c>
      <c r="N89" t="str">
        <v>September</v>
      </c>
      <c r="O89" t="str">
        <v>MON</v>
      </c>
      <c r="P89">
        <v>85.087944000000007</v>
      </c>
      <c r="Q89" t="str">
        <v>DOUBLE</v>
      </c>
    </row>
    <row r="90" spans="10:17" x14ac:dyDescent="0.35">
      <c r="J90">
        <f>IFERROR(IF(J89+1&gt;MAX(HAxisTIPS),"X",J89+1),"X")</f>
        <v>97</v>
      </c>
      <c r="K90">
        <f>IF(J90="X","X",IF(J90=ROUND(TIPS!$B$18,0),MAX(FreqTIPS)+1,0))</f>
        <v>0</v>
      </c>
      <c r="L90">
        <v>45192</v>
      </c>
      <c r="M90" t="str">
        <v>AM</v>
      </c>
      <c r="N90" t="str">
        <v>September</v>
      </c>
      <c r="O90" t="str">
        <v>SAT</v>
      </c>
      <c r="P90">
        <v>156.81897599999999</v>
      </c>
      <c r="Q90" t="str">
        <v>SINGLE</v>
      </c>
    </row>
    <row r="91" spans="10:17" x14ac:dyDescent="0.35">
      <c r="J91">
        <f>IFERROR(IF(J90+1&gt;MAX(HAxisTIPS),"X",J90+1),"X")</f>
        <v>98</v>
      </c>
      <c r="K91">
        <f>IF(J91="X","X",IF(J91=ROUND(TIPS!$B$18,0),MAX(FreqTIPS)+1,0))</f>
        <v>0</v>
      </c>
      <c r="L91">
        <v>45193</v>
      </c>
      <c r="M91" t="str">
        <v>AM</v>
      </c>
      <c r="N91" t="str">
        <v>September</v>
      </c>
      <c r="O91" t="str">
        <v>SUN</v>
      </c>
      <c r="P91">
        <v>187.39946</v>
      </c>
      <c r="Q91" t="str">
        <v>DOUBLE</v>
      </c>
    </row>
    <row r="92" spans="10:17" x14ac:dyDescent="0.35">
      <c r="J92">
        <f>IFERROR(IF(J91+1&gt;MAX(HAxisTIPS),"X",J91+1),"X")</f>
        <v>99</v>
      </c>
      <c r="K92">
        <f>IF(J92="X","X",IF(J92=ROUND(TIPS!$B$18,0),MAX(FreqTIPS)+1,0))</f>
        <v>0</v>
      </c>
      <c r="L92">
        <v>45193</v>
      </c>
      <c r="M92" t="str">
        <v>PM</v>
      </c>
      <c r="N92" t="str">
        <v>September</v>
      </c>
      <c r="O92" t="str">
        <v>SUN</v>
      </c>
      <c r="P92">
        <v>187.39946</v>
      </c>
      <c r="Q92" t="str">
        <v>DOUBLE</v>
      </c>
    </row>
    <row r="93" spans="10:17" x14ac:dyDescent="0.35">
      <c r="J93">
        <f>IFERROR(IF(J92+1&gt;MAX(HAxisTIPS),"X",J92+1),"X")</f>
        <v>100</v>
      </c>
      <c r="K93">
        <f>IF(J93="X","X",IF(J93=ROUND(TIPS!$B$18,0),MAX(FreqTIPS)+1,0))</f>
        <v>0</v>
      </c>
      <c r="L93">
        <v>45194</v>
      </c>
      <c r="M93" t="str">
        <v>PM</v>
      </c>
      <c r="N93" t="str">
        <v>September</v>
      </c>
      <c r="O93" t="str">
        <v>MON</v>
      </c>
      <c r="P93">
        <v>166.86658</v>
      </c>
      <c r="Q93" t="str">
        <v>SINGLE</v>
      </c>
    </row>
    <row r="94" spans="10:17" x14ac:dyDescent="0.35">
      <c r="J94">
        <f>IFERROR(IF(J93+1&gt;MAX(HAxisTIPS),"X",J93+1),"X")</f>
        <v>101</v>
      </c>
      <c r="K94">
        <f>IF(J94="X","X",IF(J94=ROUND(TIPS!$B$18,0),MAX(FreqTIPS)+1,0))</f>
        <v>0</v>
      </c>
      <c r="L94">
        <v>45196</v>
      </c>
      <c r="M94" t="str">
        <v>PM</v>
      </c>
      <c r="N94" t="str">
        <v>September</v>
      </c>
      <c r="O94" t="str">
        <v>WED</v>
      </c>
      <c r="P94">
        <v>102.25415199999999</v>
      </c>
      <c r="Q94" t="str">
        <v>SINGLE</v>
      </c>
    </row>
    <row r="95" spans="10:17" x14ac:dyDescent="0.35">
      <c r="J95">
        <f>IFERROR(IF(J94+1&gt;MAX(HAxisTIPS),"X",J94+1),"X")</f>
        <v>102</v>
      </c>
      <c r="K95">
        <f>IF(J95="X","X",IF(J95=ROUND(TIPS!$B$18,0),MAX(FreqTIPS)+1,0))</f>
        <v>0</v>
      </c>
      <c r="L95">
        <v>45198</v>
      </c>
      <c r="M95" t="str">
        <v>PM</v>
      </c>
      <c r="N95" t="str">
        <v>September</v>
      </c>
      <c r="O95" t="str">
        <v>FRI</v>
      </c>
      <c r="P95">
        <v>135.44354399999997</v>
      </c>
      <c r="Q95" t="str">
        <v>SINGLE</v>
      </c>
    </row>
    <row r="96" spans="10:17" x14ac:dyDescent="0.35">
      <c r="J96">
        <f>IFERROR(IF(J95+1&gt;MAX(HAxisTIPS),"X",J95+1),"X")</f>
        <v>103</v>
      </c>
      <c r="K96">
        <f>IF(J96="X","X",IF(J96=ROUND(TIPS!$B$18,0),MAX(FreqTIPS)+1,0))</f>
        <v>0</v>
      </c>
      <c r="L96">
        <v>45199</v>
      </c>
      <c r="M96" t="str">
        <v>PM</v>
      </c>
      <c r="N96" t="str">
        <v>September</v>
      </c>
      <c r="O96" t="str">
        <v>SAT</v>
      </c>
      <c r="P96">
        <v>169.007724</v>
      </c>
      <c r="Q96" t="str">
        <v>SINGLE</v>
      </c>
    </row>
    <row r="97" spans="10:17" x14ac:dyDescent="0.35">
      <c r="J97">
        <f>IFERROR(IF(J96+1&gt;MAX(HAxisTIPS),"X",J96+1),"X")</f>
        <v>104</v>
      </c>
      <c r="K97">
        <f>IF(J97="X","X",IF(J97=ROUND(TIPS!$B$18,0),MAX(FreqTIPS)+1,0))</f>
        <v>0</v>
      </c>
      <c r="L97">
        <v>45200</v>
      </c>
      <c r="M97" t="str">
        <v>AM</v>
      </c>
      <c r="N97" t="str">
        <v>October</v>
      </c>
      <c r="O97" t="str">
        <v>SUN</v>
      </c>
      <c r="P97">
        <v>200.75157999999999</v>
      </c>
      <c r="Q97" t="str">
        <v>DOUBLE</v>
      </c>
    </row>
    <row r="98" spans="10:17" x14ac:dyDescent="0.35">
      <c r="J98">
        <f>IFERROR(IF(J97+1&gt;MAX(HAxisTIPS),"X",J97+1),"X")</f>
        <v>105</v>
      </c>
      <c r="K98">
        <f>IF(J98="X","X",IF(J98=ROUND(TIPS!$B$18,0),MAX(FreqTIPS)+1,0))</f>
        <v>0</v>
      </c>
      <c r="L98">
        <v>45200</v>
      </c>
      <c r="M98" t="str">
        <v>PM</v>
      </c>
      <c r="N98" t="str">
        <v>October</v>
      </c>
      <c r="O98" t="str">
        <v>SUN</v>
      </c>
      <c r="P98">
        <v>200.75157999999999</v>
      </c>
      <c r="Q98" t="str">
        <v>DOUBLE</v>
      </c>
    </row>
    <row r="99" spans="10:17" x14ac:dyDescent="0.35">
      <c r="J99">
        <f>IFERROR(IF(J98+1&gt;MAX(HAxisTIPS),"X",J98+1),"X")</f>
        <v>106</v>
      </c>
      <c r="K99">
        <f>IF(J99="X","X",IF(J99=ROUND(TIPS!$B$18,0),MAX(FreqTIPS)+1,0))</f>
        <v>0</v>
      </c>
      <c r="L99">
        <v>45201</v>
      </c>
      <c r="M99" t="str">
        <v>PM</v>
      </c>
      <c r="N99" t="str">
        <v>October</v>
      </c>
      <c r="O99" t="str">
        <v>MON</v>
      </c>
      <c r="P99">
        <v>140.81690399999999</v>
      </c>
      <c r="Q99" t="str">
        <v>SINGLE</v>
      </c>
    </row>
    <row r="100" spans="10:17" x14ac:dyDescent="0.35">
      <c r="J100">
        <f>IFERROR(IF(J99+1&gt;MAX(HAxisTIPS),"X",J99+1),"X")</f>
        <v>107</v>
      </c>
      <c r="K100">
        <f>IF(J100="X","X",IF(J100=ROUND(TIPS!$B$18,0),MAX(FreqTIPS)+1,0))</f>
        <v>0</v>
      </c>
      <c r="L100">
        <v>45203</v>
      </c>
      <c r="M100" t="str">
        <v>AM</v>
      </c>
      <c r="N100" t="str">
        <v>October</v>
      </c>
      <c r="O100" t="str">
        <v>WED</v>
      </c>
      <c r="P100">
        <v>48.305231999999997</v>
      </c>
      <c r="Q100" t="str">
        <v>SINGLE</v>
      </c>
    </row>
    <row r="101" spans="10:17" x14ac:dyDescent="0.35">
      <c r="J101">
        <f>IFERROR(IF(J100+1&gt;MAX(HAxisTIPS),"X",J100+1),"X")</f>
        <v>108</v>
      </c>
      <c r="K101">
        <f>IF(J101="X","X",IF(J101=ROUND(TIPS!$B$18,0),MAX(FreqTIPS)+1,0))</f>
        <v>0</v>
      </c>
      <c r="L101">
        <v>45206</v>
      </c>
      <c r="M101" t="str">
        <v>PM</v>
      </c>
      <c r="N101" t="str">
        <v>October</v>
      </c>
      <c r="O101" t="str">
        <v>SAT</v>
      </c>
      <c r="P101">
        <v>146.1317</v>
      </c>
      <c r="Q101" t="str">
        <v>SINGLE</v>
      </c>
    </row>
    <row r="102" spans="10:17" x14ac:dyDescent="0.35">
      <c r="J102">
        <f>IFERROR(IF(J101+1&gt;MAX(HAxisTIPS),"X",J101+1),"X")</f>
        <v>109</v>
      </c>
      <c r="K102">
        <f>IF(J102="X","X",IF(J102=ROUND(TIPS!$B$18,0),MAX(FreqTIPS)+1,0))</f>
        <v>0</v>
      </c>
      <c r="L102">
        <v>45207</v>
      </c>
      <c r="M102" t="str">
        <v>PM</v>
      </c>
      <c r="N102" t="str">
        <v>October</v>
      </c>
      <c r="O102" t="str">
        <v>SUN</v>
      </c>
      <c r="P102">
        <v>249.44045599999998</v>
      </c>
      <c r="Q102" t="str">
        <v>SINGLE</v>
      </c>
    </row>
    <row r="103" spans="10:17" x14ac:dyDescent="0.35">
      <c r="J103">
        <f>IFERROR(IF(J102+1&gt;MAX(HAxisTIPS),"X",J102+1),"X")</f>
        <v>110</v>
      </c>
      <c r="K103">
        <f>IF(J103="X","X",IF(J103=ROUND(TIPS!$B$18,0),MAX(FreqTIPS)+1,0))</f>
        <v>0</v>
      </c>
      <c r="L103">
        <v>45208</v>
      </c>
      <c r="M103" t="str">
        <v>PM</v>
      </c>
      <c r="N103" t="str">
        <v>October</v>
      </c>
      <c r="O103" t="str">
        <v>MON</v>
      </c>
      <c r="P103">
        <v>231.20622</v>
      </c>
      <c r="Q103" t="str">
        <v>SINGLE</v>
      </c>
    </row>
    <row r="104" spans="10:17" x14ac:dyDescent="0.35">
      <c r="J104">
        <f>IFERROR(IF(J103+1&gt;MAX(HAxisTIPS),"X",J103+1),"X")</f>
        <v>111</v>
      </c>
      <c r="K104">
        <f>IF(J104="X","X",IF(J104=ROUND(TIPS!$B$18,0),MAX(FreqTIPS)+1,0))</f>
        <v>0</v>
      </c>
      <c r="L104">
        <v>45209</v>
      </c>
      <c r="M104" t="str">
        <v>PM</v>
      </c>
      <c r="N104" t="str">
        <v>October</v>
      </c>
      <c r="O104" t="str">
        <v>TUE</v>
      </c>
      <c r="P104">
        <v>162.29396800000001</v>
      </c>
      <c r="Q104" t="str">
        <v>SINGLE</v>
      </c>
    </row>
    <row r="105" spans="10:17" x14ac:dyDescent="0.35">
      <c r="J105">
        <f>IFERROR(IF(J104+1&gt;MAX(HAxisTIPS),"X",J104+1),"X")</f>
        <v>112</v>
      </c>
      <c r="K105">
        <f>IF(J105="X","X",IF(J105=ROUND(TIPS!$B$18,0),MAX(FreqTIPS)+1,0))</f>
        <v>0</v>
      </c>
      <c r="L105">
        <v>45210</v>
      </c>
      <c r="M105" t="str">
        <v>PM</v>
      </c>
      <c r="N105" t="str">
        <v>October</v>
      </c>
      <c r="O105" t="str">
        <v>WED</v>
      </c>
      <c r="P105">
        <v>31.566172000000002</v>
      </c>
      <c r="Q105" t="str">
        <v>SINGLE</v>
      </c>
    </row>
    <row r="106" spans="10:17" x14ac:dyDescent="0.35">
      <c r="J106">
        <f>IFERROR(IF(J105+1&gt;MAX(HAxisTIPS),"X",J105+1),"X")</f>
        <v>113</v>
      </c>
      <c r="K106">
        <f>IF(J106="X","X",IF(J106=ROUND(TIPS!$B$18,0),MAX(FreqTIPS)+1,0))</f>
        <v>0</v>
      </c>
      <c r="L106">
        <v>45211</v>
      </c>
      <c r="M106" t="str">
        <v>PM</v>
      </c>
      <c r="N106" t="str">
        <v>October</v>
      </c>
      <c r="O106" t="str">
        <v>THU</v>
      </c>
      <c r="P106">
        <v>50.00262</v>
      </c>
      <c r="Q106" t="str">
        <v>SINGLE</v>
      </c>
    </row>
    <row r="107" spans="10:17" x14ac:dyDescent="0.35">
      <c r="J107">
        <f>IFERROR(IF(J106+1&gt;MAX(HAxisTIPS),"X",J106+1),"X")</f>
        <v>114</v>
      </c>
      <c r="K107">
        <f>IF(J107="X","X",IF(J107=ROUND(TIPS!$B$18,0),MAX(FreqTIPS)+1,0))</f>
        <v>0</v>
      </c>
      <c r="L107">
        <v>45214</v>
      </c>
      <c r="M107" t="str">
        <v>PM</v>
      </c>
      <c r="N107" t="str">
        <v>October</v>
      </c>
      <c r="O107" t="str">
        <v>SUN</v>
      </c>
      <c r="P107">
        <v>137.80432400000001</v>
      </c>
      <c r="Q107" t="str">
        <v>SINGLE</v>
      </c>
    </row>
    <row r="108" spans="10:17" x14ac:dyDescent="0.35">
      <c r="J108">
        <f>IFERROR(IF(J107+1&gt;MAX(HAxisTIPS),"X",J107+1),"X")</f>
        <v>115</v>
      </c>
      <c r="K108">
        <f>IF(J108="X","X",IF(J108=ROUND(TIPS!$B$18,0),MAX(FreqTIPS)+1,0))</f>
        <v>0</v>
      </c>
      <c r="L108">
        <v>45215</v>
      </c>
      <c r="M108" t="str">
        <v>PM</v>
      </c>
      <c r="N108" t="str">
        <v>October</v>
      </c>
      <c r="O108" t="str">
        <v>MON</v>
      </c>
      <c r="P108">
        <v>242.09894400000002</v>
      </c>
      <c r="Q108" t="str">
        <v>SINGLE</v>
      </c>
    </row>
    <row r="109" spans="10:17" x14ac:dyDescent="0.35">
      <c r="J109">
        <f>IFERROR(IF(J108+1&gt;MAX(HAxisTIPS),"X",J108+1),"X")</f>
        <v>116</v>
      </c>
      <c r="K109">
        <f>IF(J109="X","X",IF(J109=ROUND(TIPS!$B$18,0),MAX(FreqTIPS)+1,0))</f>
        <v>0</v>
      </c>
      <c r="L109">
        <v>45216</v>
      </c>
      <c r="M109" t="str">
        <v>AM</v>
      </c>
      <c r="N109" t="str">
        <v>October</v>
      </c>
      <c r="O109" t="str">
        <v>TUE</v>
      </c>
      <c r="P109">
        <v>115.57019199999999</v>
      </c>
      <c r="Q109" t="str">
        <v>DOUBLE</v>
      </c>
    </row>
    <row r="110" spans="10:17" x14ac:dyDescent="0.35">
      <c r="J110">
        <f>IFERROR(IF(J109+1&gt;MAX(HAxisTIPS),"X",J109+1),"X")</f>
        <v>117</v>
      </c>
      <c r="K110">
        <f>IF(J110="X","X",IF(J110=ROUND(TIPS!$B$18,0),MAX(FreqTIPS)+1,0))</f>
        <v>0</v>
      </c>
      <c r="L110">
        <v>45216</v>
      </c>
      <c r="M110" t="str">
        <v>PM</v>
      </c>
      <c r="N110" t="str">
        <v>October</v>
      </c>
      <c r="O110" t="str">
        <v>TUE</v>
      </c>
      <c r="P110">
        <v>39.669471999999999</v>
      </c>
      <c r="Q110" t="str">
        <v>DOUBLE</v>
      </c>
    </row>
    <row r="111" spans="10:17" x14ac:dyDescent="0.35">
      <c r="J111">
        <f>IFERROR(IF(J110+1&gt;MAX(HAxisTIPS),"X",J110+1),"X")</f>
        <v>118</v>
      </c>
      <c r="K111">
        <f>IF(J111="X","X",IF(J111=ROUND(TIPS!$B$18,0),MAX(FreqTIPS)+1,0))</f>
        <v>0</v>
      </c>
      <c r="L111">
        <v>45217</v>
      </c>
      <c r="M111" t="str">
        <v>PM</v>
      </c>
      <c r="N111" t="str">
        <v>October</v>
      </c>
      <c r="O111" t="str">
        <v>WED</v>
      </c>
      <c r="P111">
        <v>188.66008000000002</v>
      </c>
      <c r="Q111" t="str">
        <v>SINGLE</v>
      </c>
    </row>
    <row r="112" spans="10:17" x14ac:dyDescent="0.35">
      <c r="J112">
        <f>IFERROR(IF(J111+1&gt;MAX(HAxisTIPS),"X",J111+1),"X")</f>
        <v>119</v>
      </c>
      <c r="K112">
        <f>IF(J112="X","X",IF(J112=ROUND(TIPS!$B$18,0),MAX(FreqTIPS)+1,0))</f>
        <v>0</v>
      </c>
      <c r="L112">
        <v>45218</v>
      </c>
      <c r="M112" t="str">
        <v>PM</v>
      </c>
      <c r="N112" t="str">
        <v>October</v>
      </c>
      <c r="O112" t="str">
        <v>THU</v>
      </c>
      <c r="P112">
        <v>156.47206000000003</v>
      </c>
      <c r="Q112" t="str">
        <v>SINGLE</v>
      </c>
    </row>
    <row r="113" spans="10:17" x14ac:dyDescent="0.35">
      <c r="J113">
        <f>IFERROR(IF(J112+1&gt;MAX(HAxisTIPS),"X",J112+1),"X")</f>
        <v>120</v>
      </c>
      <c r="K113">
        <f>IF(J113="X","X",IF(J113=ROUND(TIPS!$B$18,0),MAX(FreqTIPS)+1,0))</f>
        <v>0</v>
      </c>
      <c r="L113">
        <v>45221</v>
      </c>
      <c r="M113" t="str">
        <v>PM</v>
      </c>
      <c r="N113" t="str">
        <v>October</v>
      </c>
      <c r="O113" t="str">
        <v>SUN</v>
      </c>
      <c r="P113">
        <v>174.95838000000001</v>
      </c>
      <c r="Q113" t="str">
        <v>SINGLE</v>
      </c>
    </row>
    <row r="114" spans="10:17" x14ac:dyDescent="0.35">
      <c r="J114">
        <f>IFERROR(IF(J113+1&gt;MAX(HAxisTIPS),"X",J113+1),"X")</f>
        <v>121</v>
      </c>
      <c r="K114">
        <f>IF(J114="X","X",IF(J114=ROUND(TIPS!$B$18,0),MAX(FreqTIPS)+1,0))</f>
        <v>0</v>
      </c>
      <c r="L114">
        <v>45222</v>
      </c>
      <c r="M114" t="str">
        <v>PM</v>
      </c>
      <c r="N114" t="str">
        <v>October</v>
      </c>
      <c r="O114" t="str">
        <v>MON</v>
      </c>
      <c r="P114">
        <v>204.05530799999997</v>
      </c>
      <c r="Q114" t="str">
        <v>SINGLE</v>
      </c>
    </row>
    <row r="115" spans="10:17" x14ac:dyDescent="0.35">
      <c r="J115">
        <f>IFERROR(IF(J114+1&gt;MAX(HAxisTIPS),"X",J114+1),"X")</f>
        <v>122</v>
      </c>
      <c r="K115">
        <f>IF(J115="X","X",IF(J115=ROUND(TIPS!$B$18,0),MAX(FreqTIPS)+1,0))</f>
        <v>0</v>
      </c>
      <c r="L115">
        <v>45223</v>
      </c>
      <c r="M115" t="str">
        <v>AM</v>
      </c>
      <c r="N115" t="str">
        <v>October</v>
      </c>
      <c r="O115" t="str">
        <v>TUE</v>
      </c>
      <c r="P115">
        <v>102.89900799999999</v>
      </c>
      <c r="Q115" t="str">
        <v>DOUBLE</v>
      </c>
    </row>
    <row r="116" spans="10:17" x14ac:dyDescent="0.35">
      <c r="J116">
        <f>IFERROR(IF(J115+1&gt;MAX(HAxisTIPS),"X",J115+1),"X")</f>
        <v>123</v>
      </c>
      <c r="K116">
        <f>IF(J116="X","X",IF(J116=ROUND(TIPS!$B$18,0),MAX(FreqTIPS)+1,0))</f>
        <v>0</v>
      </c>
      <c r="L116">
        <v>45223</v>
      </c>
      <c r="M116" t="str">
        <v>PM</v>
      </c>
      <c r="N116" t="str">
        <v>October</v>
      </c>
      <c r="O116" t="str">
        <v>TUE</v>
      </c>
      <c r="P116">
        <v>90.058800000000005</v>
      </c>
      <c r="Q116" t="str">
        <v>DOUBLE</v>
      </c>
    </row>
    <row r="117" spans="10:17" x14ac:dyDescent="0.35">
      <c r="J117">
        <f>IFERROR(IF(J116+1&gt;MAX(HAxisTIPS),"X",J116+1),"X")</f>
        <v>124</v>
      </c>
      <c r="K117">
        <f>IF(J117="X","X",IF(J117=ROUND(TIPS!$B$18,0),MAX(FreqTIPS)+1,0))</f>
        <v>0</v>
      </c>
      <c r="L117">
        <v>45224</v>
      </c>
      <c r="M117" t="str">
        <v>AM</v>
      </c>
      <c r="N117" t="str">
        <v>October</v>
      </c>
      <c r="O117" t="str">
        <v>WED</v>
      </c>
      <c r="P117">
        <v>60.758799999999994</v>
      </c>
      <c r="Q117" t="str">
        <v>SINGLE</v>
      </c>
    </row>
    <row r="118" spans="10:17" x14ac:dyDescent="0.35">
      <c r="J118">
        <f>IFERROR(IF(J117+1&gt;MAX(HAxisTIPS),"X",J117+1),"X")</f>
        <v>125</v>
      </c>
      <c r="K118">
        <f>IF(J118="X","X",IF(J118=ROUND(TIPS!$B$18,0),MAX(FreqTIPS)+1,0))</f>
        <v>0</v>
      </c>
      <c r="L118">
        <v>45226</v>
      </c>
      <c r="M118" t="str">
        <v>PM</v>
      </c>
      <c r="N118" t="str">
        <v>October</v>
      </c>
      <c r="O118" t="str">
        <v>FRI</v>
      </c>
      <c r="P118">
        <v>198.68506400000001</v>
      </c>
      <c r="Q118" t="str">
        <v>SINGLE</v>
      </c>
    </row>
    <row r="119" spans="10:17" x14ac:dyDescent="0.35">
      <c r="J119">
        <f>IFERROR(IF(J118+1&gt;MAX(HAxisTIPS),"X",J118+1),"X")</f>
        <v>126</v>
      </c>
      <c r="K119">
        <f>IF(J119="X","X",IF(J119=ROUND(TIPS!$B$18,0),MAX(FreqTIPS)+1,0))</f>
        <v>0</v>
      </c>
      <c r="L119">
        <v>45227</v>
      </c>
      <c r="M119" t="str">
        <v>PM</v>
      </c>
      <c r="N119" t="str">
        <v>October</v>
      </c>
      <c r="O119" t="str">
        <v>SAT</v>
      </c>
      <c r="P119">
        <v>220.97762</v>
      </c>
      <c r="Q119" t="str">
        <v>SINGLE</v>
      </c>
    </row>
    <row r="120" spans="10:17" x14ac:dyDescent="0.35">
      <c r="J120">
        <f>IFERROR(IF(J119+1&gt;MAX(HAxisTIPS),"X",J119+1),"X")</f>
        <v>127</v>
      </c>
      <c r="K120">
        <f>IF(J120="X","X",IF(J120=ROUND(TIPS!$B$18,0),MAX(FreqTIPS)+1,0))</f>
        <v>0</v>
      </c>
      <c r="L120">
        <v>45229</v>
      </c>
      <c r="M120" t="str">
        <v>PM</v>
      </c>
      <c r="N120" t="str">
        <v>October</v>
      </c>
      <c r="O120" t="str">
        <v>MON</v>
      </c>
      <c r="P120">
        <v>99.087248000000002</v>
      </c>
      <c r="Q120" t="str">
        <v>SINGLE</v>
      </c>
    </row>
    <row r="121" spans="10:17" x14ac:dyDescent="0.35">
      <c r="J121">
        <f>IFERROR(IF(J120+1&gt;MAX(HAxisTIPS),"X",J120+1),"X")</f>
        <v>128</v>
      </c>
      <c r="K121">
        <f>IF(J121="X","X",IF(J121=ROUND(TIPS!$B$18,0),MAX(FreqTIPS)+1,0))</f>
        <v>0</v>
      </c>
      <c r="L121">
        <v>45230</v>
      </c>
      <c r="M121" t="str">
        <v>AM</v>
      </c>
      <c r="N121" t="str">
        <v>October</v>
      </c>
      <c r="O121" t="str">
        <v>TUE</v>
      </c>
      <c r="P121">
        <v>71.073899999999995</v>
      </c>
      <c r="Q121" t="str">
        <v>DOUBLE</v>
      </c>
    </row>
    <row r="122" spans="10:17" x14ac:dyDescent="0.35">
      <c r="J122">
        <f>IFERROR(IF(J121+1&gt;MAX(HAxisTIPS),"X",J121+1),"X")</f>
        <v>129</v>
      </c>
      <c r="K122">
        <f>IF(J122="X","X",IF(J122=ROUND(TIPS!$B$18,0),MAX(FreqTIPS)+1,0))</f>
        <v>0</v>
      </c>
      <c r="L122">
        <v>45230</v>
      </c>
      <c r="M122" t="str">
        <v>PM</v>
      </c>
      <c r="N122" t="str">
        <v>October</v>
      </c>
      <c r="O122" t="str">
        <v>TUE</v>
      </c>
      <c r="P122">
        <v>94.832580000000007</v>
      </c>
      <c r="Q122" t="str">
        <v>DOUBLE</v>
      </c>
    </row>
    <row r="123" spans="10:17" x14ac:dyDescent="0.35">
      <c r="J123">
        <f>IFERROR(IF(J122+1&gt;MAX(HAxisTIPS),"X",J122+1),"X")</f>
        <v>130</v>
      </c>
      <c r="K123">
        <f>IF(J123="X","X",IF(J123=ROUND(TIPS!$B$18,0),MAX(FreqTIPS)+1,0))</f>
        <v>0</v>
      </c>
      <c r="L123">
        <v>45233</v>
      </c>
      <c r="M123" t="str">
        <v>PM</v>
      </c>
      <c r="N123" t="str">
        <v>November</v>
      </c>
      <c r="O123" t="str">
        <v>FRI</v>
      </c>
      <c r="P123">
        <v>333.18904399999997</v>
      </c>
      <c r="Q123" t="str">
        <v>SINGLE</v>
      </c>
    </row>
    <row r="124" spans="10:17" x14ac:dyDescent="0.35">
      <c r="J124">
        <f>IFERROR(IF(J123+1&gt;MAX(HAxisTIPS),"X",J123+1),"X")</f>
        <v>131</v>
      </c>
      <c r="K124">
        <f>IF(J124="X","X",IF(J124=ROUND(TIPS!$B$18,0),MAX(FreqTIPS)+1,0))</f>
        <v>0</v>
      </c>
      <c r="L124">
        <v>45234</v>
      </c>
      <c r="M124" t="str">
        <v>PM</v>
      </c>
      <c r="N124" t="str">
        <v>November</v>
      </c>
      <c r="O124" t="str">
        <v>SAT</v>
      </c>
      <c r="P124">
        <v>194.315012</v>
      </c>
      <c r="Q124" t="str">
        <v>SINGLE</v>
      </c>
    </row>
    <row r="125" spans="10:17" x14ac:dyDescent="0.35">
      <c r="J125">
        <f>IFERROR(IF(J124+1&gt;MAX(HAxisTIPS),"X",J124+1),"X")</f>
        <v>132</v>
      </c>
      <c r="K125">
        <f>IF(J125="X","X",IF(J125=ROUND(TIPS!$B$18,0),MAX(FreqTIPS)+1,0))</f>
        <v>0</v>
      </c>
      <c r="L125">
        <v>45236</v>
      </c>
      <c r="M125" t="str">
        <v>PM</v>
      </c>
      <c r="N125" t="str">
        <v>November</v>
      </c>
      <c r="O125" t="str">
        <v>MON</v>
      </c>
      <c r="P125">
        <v>193.85134399999998</v>
      </c>
      <c r="Q125" t="str">
        <v>SINGLE</v>
      </c>
    </row>
    <row r="126" spans="10:17" x14ac:dyDescent="0.35">
      <c r="J126">
        <f>IFERROR(IF(J125+1&gt;MAX(HAxisTIPS),"X",J125+1),"X")</f>
        <v>133</v>
      </c>
      <c r="K126">
        <f>IF(J126="X","X",IF(J126=ROUND(TIPS!$B$18,0),MAX(FreqTIPS)+1,0))</f>
        <v>0</v>
      </c>
      <c r="L126">
        <v>45237</v>
      </c>
      <c r="M126" t="str">
        <v>AM</v>
      </c>
      <c r="N126" t="str">
        <v>November</v>
      </c>
      <c r="O126" t="str">
        <v>TUE</v>
      </c>
      <c r="P126">
        <v>98.136363999999986</v>
      </c>
      <c r="Q126" t="str">
        <v>DOUBLE</v>
      </c>
    </row>
    <row r="127" spans="10:17" x14ac:dyDescent="0.35">
      <c r="J127">
        <f>IFERROR(IF(J126+1&gt;MAX(HAxisTIPS),"X",J126+1),"X")</f>
        <v>134</v>
      </c>
      <c r="K127">
        <f>IF(J127="X","X",IF(J127=ROUND(TIPS!$B$18,0),MAX(FreqTIPS)+1,0))</f>
        <v>0</v>
      </c>
      <c r="L127">
        <v>45237</v>
      </c>
      <c r="M127" t="str">
        <v>PM</v>
      </c>
      <c r="N127" t="str">
        <v>November</v>
      </c>
      <c r="O127" t="str">
        <v>TUE</v>
      </c>
      <c r="P127">
        <v>176.85569600000002</v>
      </c>
      <c r="Q127" t="str">
        <v>DOUBLE</v>
      </c>
    </row>
    <row r="128" spans="10:17" x14ac:dyDescent="0.35">
      <c r="J128">
        <f>IFERROR(IF(J127+1&gt;MAX(HAxisTIPS),"X",J127+1),"X")</f>
        <v>135</v>
      </c>
      <c r="K128">
        <f>IF(J128="X","X",IF(J128=ROUND(TIPS!$B$18,0),MAX(FreqTIPS)+1,0))</f>
        <v>0</v>
      </c>
      <c r="L128">
        <v>45240</v>
      </c>
      <c r="M128" t="str">
        <v>PM</v>
      </c>
      <c r="N128" t="str">
        <v>November</v>
      </c>
      <c r="O128" t="str">
        <v>FRI</v>
      </c>
      <c r="P128">
        <v>236.089088</v>
      </c>
      <c r="Q128" t="str">
        <v>SINGLE</v>
      </c>
    </row>
    <row r="129" spans="10:17" x14ac:dyDescent="0.35">
      <c r="J129">
        <f>IFERROR(IF(J128+1&gt;MAX(HAxisTIPS),"X",J128+1),"X")</f>
        <v>136</v>
      </c>
      <c r="K129">
        <f>IF(J129="X","X",IF(J129=ROUND(TIPS!$B$18,0),MAX(FreqTIPS)+1,0))</f>
        <v>0</v>
      </c>
      <c r="L129">
        <v>45241</v>
      </c>
      <c r="M129" t="str">
        <v>PM</v>
      </c>
      <c r="N129" t="str">
        <v>November</v>
      </c>
      <c r="O129" t="str">
        <v>SAT</v>
      </c>
      <c r="P129">
        <v>205.845732</v>
      </c>
      <c r="Q129" t="str">
        <v>SINGLE</v>
      </c>
    </row>
    <row r="130" spans="10:17" x14ac:dyDescent="0.35">
      <c r="J130">
        <f>IFERROR(IF(J129+1&gt;MAX(HAxisTIPS),"X",J129+1),"X")</f>
        <v>137</v>
      </c>
      <c r="K130">
        <f>IF(J130="X","X",IF(J130=ROUND(TIPS!$B$18,0),MAX(FreqTIPS)+1,0))</f>
        <v>0</v>
      </c>
      <c r="L130">
        <v>45242</v>
      </c>
      <c r="M130" t="str">
        <v>PM</v>
      </c>
      <c r="N130" t="str">
        <v>November</v>
      </c>
      <c r="O130" t="str">
        <v>SUN</v>
      </c>
      <c r="P130">
        <v>210.13176400000003</v>
      </c>
      <c r="Q130" t="str">
        <v>SINGLE</v>
      </c>
    </row>
    <row r="131" spans="10:17" x14ac:dyDescent="0.35">
      <c r="J131">
        <f>IFERROR(IF(J130+1&gt;MAX(HAxisTIPS),"X",J130+1),"X")</f>
        <v>138</v>
      </c>
      <c r="K131">
        <f>IF(J131="X","X",IF(J131=ROUND(TIPS!$B$18,0),MAX(FreqTIPS)+1,0))</f>
        <v>0</v>
      </c>
      <c r="L131">
        <v>45243</v>
      </c>
      <c r="M131" t="str">
        <v>AM</v>
      </c>
      <c r="N131" t="str">
        <v>November</v>
      </c>
      <c r="O131" t="str">
        <v>MON</v>
      </c>
      <c r="P131">
        <v>97.287064000000001</v>
      </c>
      <c r="Q131" t="str">
        <v>SINGLE</v>
      </c>
    </row>
    <row r="132" spans="10:17" x14ac:dyDescent="0.35">
      <c r="J132">
        <f>IFERROR(IF(J131+1&gt;MAX(HAxisTIPS),"X",J131+1),"X")</f>
        <v>139</v>
      </c>
      <c r="K132">
        <f>IF(J132="X","X",IF(J132=ROUND(TIPS!$B$18,0),MAX(FreqTIPS)+1,0))</f>
        <v>0</v>
      </c>
      <c r="L132">
        <v>45244</v>
      </c>
      <c r="M132" t="str">
        <v>AM</v>
      </c>
      <c r="N132" t="str">
        <v>November</v>
      </c>
      <c r="O132" t="str">
        <v>TUE</v>
      </c>
      <c r="P132">
        <v>148.91745600000002</v>
      </c>
      <c r="Q132" t="str">
        <v>SINGLE</v>
      </c>
    </row>
    <row r="133" spans="10:17" x14ac:dyDescent="0.35">
      <c r="J133">
        <f>IFERROR(IF(J132+1&gt;MAX(HAxisTIPS),"X",J132+1),"X")</f>
        <v>140</v>
      </c>
      <c r="K133">
        <f>IF(J133="X","X",IF(J133=ROUND(TIPS!$B$18,0),MAX(FreqTIPS)+1,0))</f>
        <v>0</v>
      </c>
      <c r="L133">
        <v>45245</v>
      </c>
      <c r="M133" t="str">
        <v>AM</v>
      </c>
      <c r="N133" t="str">
        <v>November</v>
      </c>
      <c r="O133" t="str">
        <v>WED</v>
      </c>
      <c r="P133">
        <v>106.313872</v>
      </c>
      <c r="Q133" t="str">
        <v>SINGLE</v>
      </c>
    </row>
    <row r="134" spans="10:17" x14ac:dyDescent="0.35">
      <c r="J134">
        <f>IFERROR(IF(J133+1&gt;MAX(HAxisTIPS),"X",J133+1),"X")</f>
        <v>141</v>
      </c>
      <c r="K134">
        <f>IF(J134="X","X",IF(J134=ROUND(TIPS!$B$18,0),MAX(FreqTIPS)+1,0))</f>
        <v>0</v>
      </c>
      <c r="L134">
        <v>45247</v>
      </c>
      <c r="M134" t="str">
        <v>PM</v>
      </c>
      <c r="N134" t="str">
        <v>November</v>
      </c>
      <c r="O134" t="str">
        <v>FRI</v>
      </c>
      <c r="P134">
        <v>162.82282000000001</v>
      </c>
      <c r="Q134" t="str">
        <v>SINGLE</v>
      </c>
    </row>
    <row r="135" spans="10:17" x14ac:dyDescent="0.35">
      <c r="J135">
        <f>IFERROR(IF(J134+1&gt;MAX(HAxisTIPS),"X",J134+1),"X")</f>
        <v>142</v>
      </c>
      <c r="K135">
        <f>IF(J135="X","X",IF(J135=ROUND(TIPS!$B$18,0),MAX(FreqTIPS)+1,0))</f>
        <v>0</v>
      </c>
      <c r="L135">
        <v>45248</v>
      </c>
      <c r="M135" t="str">
        <v>PM</v>
      </c>
      <c r="N135" t="str">
        <v>November</v>
      </c>
      <c r="O135" t="str">
        <v>SAT</v>
      </c>
      <c r="P135">
        <v>210.67860399999998</v>
      </c>
      <c r="Q135" t="str">
        <v>SINGLE</v>
      </c>
    </row>
    <row r="136" spans="10:17" x14ac:dyDescent="0.35">
      <c r="J136">
        <f>IFERROR(IF(J135+1&gt;MAX(HAxisTIPS),"X",J135+1),"X")</f>
        <v>143</v>
      </c>
      <c r="K136">
        <f>IF(J136="X","X",IF(J136=ROUND(TIPS!$B$18,0),MAX(FreqTIPS)+1,0))</f>
        <v>0</v>
      </c>
      <c r="L136">
        <v>45250</v>
      </c>
      <c r="M136" t="str">
        <v>PM</v>
      </c>
      <c r="N136" t="str">
        <v>November</v>
      </c>
      <c r="O136" t="str">
        <v>MON</v>
      </c>
      <c r="P136">
        <v>246.31573199999997</v>
      </c>
      <c r="Q136" t="str">
        <v>SINGLE</v>
      </c>
    </row>
    <row r="137" spans="10:17" x14ac:dyDescent="0.35">
      <c r="J137">
        <f>IFERROR(IF(J136+1&gt;MAX(HAxisTIPS),"X",J136+1),"X")</f>
        <v>144</v>
      </c>
      <c r="K137">
        <f>IF(J137="X","X",IF(J137=ROUND(TIPS!$B$18,0),MAX(FreqTIPS)+1,0))</f>
        <v>0</v>
      </c>
      <c r="L137">
        <v>45251</v>
      </c>
      <c r="M137" t="str">
        <v>AM</v>
      </c>
      <c r="N137" t="str">
        <v>November</v>
      </c>
      <c r="O137" t="str">
        <v>TUE</v>
      </c>
      <c r="P137">
        <v>69.237492000000003</v>
      </c>
      <c r="Q137" t="str">
        <v>DOUBLE</v>
      </c>
    </row>
    <row r="138" spans="10:17" x14ac:dyDescent="0.35">
      <c r="J138">
        <f>IFERROR(IF(J137+1&gt;MAX(HAxisTIPS),"X",J137+1),"X")</f>
        <v>145</v>
      </c>
      <c r="K138">
        <f>IF(J138="X","X",IF(J138=ROUND(TIPS!$B$18,0),MAX(FreqTIPS)+1,0))</f>
        <v>0</v>
      </c>
      <c r="L138">
        <v>45251</v>
      </c>
      <c r="M138" t="str">
        <v>PM</v>
      </c>
      <c r="N138" t="str">
        <v>November</v>
      </c>
      <c r="O138" t="str">
        <v>TUE</v>
      </c>
      <c r="P138">
        <v>241.88926000000001</v>
      </c>
      <c r="Q138" t="str">
        <v>DOUBLE</v>
      </c>
    </row>
    <row r="139" spans="10:17" x14ac:dyDescent="0.35">
      <c r="J139">
        <f>IFERROR(IF(J138+1&gt;MAX(HAxisTIPS),"X",J138+1),"X")</f>
        <v>146</v>
      </c>
      <c r="K139">
        <f>IF(J139="X","X",IF(J139=ROUND(TIPS!$B$18,0),MAX(FreqTIPS)+1,0))</f>
        <v>0</v>
      </c>
      <c r="L139">
        <v>45252</v>
      </c>
      <c r="M139" t="str">
        <v>AM</v>
      </c>
      <c r="N139" t="str">
        <v>November</v>
      </c>
      <c r="O139" t="str">
        <v>WED</v>
      </c>
      <c r="P139">
        <v>48.530916000000005</v>
      </c>
      <c r="Q139" t="str">
        <v>SINGLE</v>
      </c>
    </row>
    <row r="140" spans="10:17" x14ac:dyDescent="0.35">
      <c r="J140">
        <f>IFERROR(IF(J139+1&gt;MAX(HAxisTIPS),"X",J139+1),"X")</f>
        <v>147</v>
      </c>
      <c r="K140">
        <f>IF(J140="X","X",IF(J140=ROUND(TIPS!$B$18,0),MAX(FreqTIPS)+1,0))</f>
        <v>0</v>
      </c>
      <c r="L140">
        <v>45254</v>
      </c>
      <c r="M140" t="str">
        <v>PM</v>
      </c>
      <c r="N140" t="str">
        <v>November</v>
      </c>
      <c r="O140" t="str">
        <v>FRI</v>
      </c>
      <c r="P140">
        <v>124.98876000000001</v>
      </c>
      <c r="Q140" t="str">
        <v>SINGLE</v>
      </c>
    </row>
    <row r="141" spans="10:17" x14ac:dyDescent="0.35">
      <c r="J141">
        <f>IFERROR(IF(J140+1&gt;MAX(HAxisTIPS),"X",J140+1),"X")</f>
        <v>148</v>
      </c>
      <c r="K141">
        <f>IF(J141="X","X",IF(J141=ROUND(TIPS!$B$18,0),MAX(FreqTIPS)+1,0))</f>
        <v>0</v>
      </c>
      <c r="L141">
        <v>45257</v>
      </c>
      <c r="M141" t="str">
        <v>PM</v>
      </c>
      <c r="N141" t="str">
        <v>November</v>
      </c>
      <c r="O141" t="str">
        <v>MON</v>
      </c>
      <c r="P141">
        <v>92.886856000000009</v>
      </c>
      <c r="Q141" t="str">
        <v>SINGLE</v>
      </c>
    </row>
    <row r="142" spans="10:17" x14ac:dyDescent="0.35">
      <c r="J142">
        <f>IFERROR(IF(J141+1&gt;MAX(HAxisTIPS),"X",J141+1),"X")</f>
        <v>149</v>
      </c>
      <c r="K142">
        <f>IF(J142="X","X",IF(J142=ROUND(TIPS!$B$18,0),MAX(FreqTIPS)+1,0))</f>
        <v>0</v>
      </c>
      <c r="L142">
        <v>45258</v>
      </c>
      <c r="M142" t="str">
        <v>AM</v>
      </c>
      <c r="N142" t="str">
        <v>November</v>
      </c>
      <c r="O142" t="str">
        <v>TUE</v>
      </c>
      <c r="P142">
        <v>86.225679999999997</v>
      </c>
      <c r="Q142" t="str">
        <v>SINGLE</v>
      </c>
    </row>
    <row r="143" spans="10:17" x14ac:dyDescent="0.35">
      <c r="J143">
        <f>IFERROR(IF(J142+1&gt;MAX(HAxisTIPS),"X",J142+1),"X")</f>
        <v>150</v>
      </c>
      <c r="K143">
        <f>IF(J143="X","X",IF(J143=ROUND(TIPS!$B$18,0),MAX(FreqTIPS)+1,0))</f>
        <v>0</v>
      </c>
      <c r="L143">
        <v>45260</v>
      </c>
      <c r="M143" t="str">
        <v>PM</v>
      </c>
      <c r="N143" t="str">
        <v>November</v>
      </c>
      <c r="O143" t="str">
        <v>THU</v>
      </c>
      <c r="P143">
        <v>83.191628000000009</v>
      </c>
      <c r="Q143" t="str">
        <v>SINGLE</v>
      </c>
    </row>
    <row r="144" spans="10:17" x14ac:dyDescent="0.35">
      <c r="J144">
        <f>IFERROR(IF(J143+1&gt;MAX(HAxisTIPS),"X",J143+1),"X")</f>
        <v>151</v>
      </c>
      <c r="K144">
        <f>IF(J144="X","X",IF(J144=ROUND(TIPS!$B$18,0),MAX(FreqTIPS)+1,0))</f>
        <v>0</v>
      </c>
      <c r="L144">
        <v>45261</v>
      </c>
      <c r="M144" t="str">
        <v>PM</v>
      </c>
      <c r="N144" t="str">
        <v>December</v>
      </c>
      <c r="O144" t="str">
        <v>FRI</v>
      </c>
      <c r="P144">
        <v>178.117964</v>
      </c>
      <c r="Q144" t="str">
        <v>SINGLE</v>
      </c>
    </row>
    <row r="145" spans="10:17" x14ac:dyDescent="0.35">
      <c r="J145">
        <f>IFERROR(IF(J144+1&gt;MAX(HAxisTIPS),"X",J144+1),"X")</f>
        <v>152</v>
      </c>
      <c r="K145">
        <f>IF(J145="X","X",IF(J145=ROUND(TIPS!$B$18,0),MAX(FreqTIPS)+1,0))</f>
        <v>0</v>
      </c>
      <c r="L145">
        <v>45263</v>
      </c>
      <c r="M145" t="str">
        <v>PM</v>
      </c>
      <c r="N145" t="str">
        <v>December</v>
      </c>
      <c r="O145" t="str">
        <v>SUN</v>
      </c>
      <c r="P145">
        <v>201.53945999999999</v>
      </c>
      <c r="Q145" t="str">
        <v>SINGLE</v>
      </c>
    </row>
    <row r="146" spans="10:17" x14ac:dyDescent="0.35">
      <c r="J146">
        <f>IFERROR(IF(J145+1&gt;MAX(HAxisTIPS),"X",J145+1),"X")</f>
        <v>153</v>
      </c>
      <c r="K146">
        <f>IF(J146="X","X",IF(J146=ROUND(TIPS!$B$18,0),MAX(FreqTIPS)+1,0))</f>
        <v>0</v>
      </c>
      <c r="L146">
        <v>45264</v>
      </c>
      <c r="M146" t="str">
        <v>PM</v>
      </c>
      <c r="N146" t="str">
        <v>December</v>
      </c>
      <c r="O146" t="str">
        <v>MON</v>
      </c>
      <c r="P146">
        <v>85.968488000000008</v>
      </c>
      <c r="Q146" t="str">
        <v>SINGLE</v>
      </c>
    </row>
    <row r="147" spans="10:17" x14ac:dyDescent="0.35">
      <c r="J147">
        <f>IFERROR(IF(J146+1&gt;MAX(HAxisTIPS),"X",J146+1),"X")</f>
        <v>154</v>
      </c>
      <c r="K147">
        <f>IF(J147="X","X",IF(J147=ROUND(TIPS!$B$18,0),MAX(FreqTIPS)+1,0))</f>
        <v>0</v>
      </c>
      <c r="L147">
        <v>45266</v>
      </c>
      <c r="M147" t="str">
        <v>AM</v>
      </c>
      <c r="N147" t="str">
        <v>December</v>
      </c>
      <c r="O147" t="str">
        <v>WED</v>
      </c>
      <c r="P147">
        <v>107.33346</v>
      </c>
      <c r="Q147" t="str">
        <v>SINGLE</v>
      </c>
    </row>
    <row r="148" spans="10:17" x14ac:dyDescent="0.35">
      <c r="J148">
        <f>IFERROR(IF(J147+1&gt;MAX(HAxisTIPS),"X",J147+1),"X")</f>
        <v>155</v>
      </c>
      <c r="K148">
        <f>IF(J148="X","X",IF(J148=ROUND(TIPS!$B$18,0),MAX(FreqTIPS)+1,0))</f>
        <v>0</v>
      </c>
      <c r="L148">
        <v>45268</v>
      </c>
      <c r="M148" t="str">
        <v>PM</v>
      </c>
      <c r="N148" t="str">
        <v>December</v>
      </c>
      <c r="O148" t="str">
        <v>FRI</v>
      </c>
      <c r="P148">
        <v>260.403952</v>
      </c>
      <c r="Q148" t="str">
        <v>SINGLE</v>
      </c>
    </row>
    <row r="149" spans="10:17" x14ac:dyDescent="0.35">
      <c r="J149">
        <f>IFERROR(IF(J148+1&gt;MAX(HAxisTIPS),"X",J148+1),"X")</f>
        <v>156</v>
      </c>
      <c r="K149">
        <f>IF(J149="X","X",IF(J149=ROUND(TIPS!$B$18,0),MAX(FreqTIPS)+1,0))</f>
        <v>0</v>
      </c>
      <c r="L149">
        <v>45269</v>
      </c>
      <c r="M149" t="str">
        <v>AM</v>
      </c>
      <c r="N149" t="str">
        <v>December</v>
      </c>
      <c r="O149" t="str">
        <v>SAT</v>
      </c>
      <c r="P149">
        <v>58.094623999999996</v>
      </c>
      <c r="Q149" t="str">
        <v>DOUBLE</v>
      </c>
    </row>
    <row r="150" spans="10:17" x14ac:dyDescent="0.35">
      <c r="J150">
        <f>IFERROR(IF(J149+1&gt;MAX(HAxisTIPS),"X",J149+1),"X")</f>
        <v>157</v>
      </c>
      <c r="K150">
        <f>IF(J150="X","X",IF(J150=ROUND(TIPS!$B$18,0),MAX(FreqTIPS)+1,0))</f>
        <v>0</v>
      </c>
      <c r="L150">
        <v>45269</v>
      </c>
      <c r="M150" t="str">
        <v>PM</v>
      </c>
      <c r="N150" t="str">
        <v>December</v>
      </c>
      <c r="O150" t="str">
        <v>SAT</v>
      </c>
      <c r="P150">
        <v>172.93660399999999</v>
      </c>
      <c r="Q150" t="str">
        <v>DOUBLE</v>
      </c>
    </row>
    <row r="151" spans="10:17" x14ac:dyDescent="0.35">
      <c r="J151">
        <f>IFERROR(IF(J150+1&gt;MAX(HAxisTIPS),"X",J150+1),"X")</f>
        <v>158</v>
      </c>
      <c r="K151">
        <f>IF(J151="X","X",IF(J151=ROUND(TIPS!$B$18,0),MAX(FreqTIPS)+1,0))</f>
        <v>0</v>
      </c>
      <c r="L151">
        <v>45271</v>
      </c>
      <c r="M151" t="str">
        <v>PM</v>
      </c>
      <c r="N151" t="str">
        <v>December</v>
      </c>
      <c r="O151" t="str">
        <v>MON</v>
      </c>
      <c r="P151">
        <v>180.80057600000001</v>
      </c>
      <c r="Q151" t="str">
        <v>SINGLE</v>
      </c>
    </row>
    <row r="152" spans="10:17" x14ac:dyDescent="0.35">
      <c r="J152">
        <f>IFERROR(IF(J151+1&gt;MAX(HAxisTIPS),"X",J151+1),"X")</f>
        <v>159</v>
      </c>
      <c r="K152">
        <f>IF(J152="X","X",IF(J152=ROUND(TIPS!$B$18,0),MAX(FreqTIPS)+1,0))</f>
        <v>0</v>
      </c>
      <c r="L152">
        <v>45273</v>
      </c>
      <c r="M152" t="str">
        <v>AM</v>
      </c>
      <c r="N152" t="str">
        <v>December</v>
      </c>
      <c r="O152" t="str">
        <v>WED</v>
      </c>
      <c r="P152">
        <v>127.98885600000001</v>
      </c>
      <c r="Q152" t="str">
        <v>SINGLE</v>
      </c>
    </row>
    <row r="153" spans="10:17" x14ac:dyDescent="0.35">
      <c r="J153">
        <f>IFERROR(IF(J152+1&gt;MAX(HAxisTIPS),"X",J152+1),"X")</f>
        <v>160</v>
      </c>
      <c r="K153">
        <f>IF(J153="X","X",IF(J153=ROUND(TIPS!$B$18,0),MAX(FreqTIPS)+1,0))</f>
        <v>0</v>
      </c>
      <c r="L153">
        <v>45275</v>
      </c>
      <c r="M153" t="str">
        <v>PM</v>
      </c>
      <c r="N153" t="str">
        <v>December</v>
      </c>
      <c r="O153" t="str">
        <v>FRI</v>
      </c>
      <c r="P153">
        <v>121.60652</v>
      </c>
      <c r="Q153" t="str">
        <v>SINGLE</v>
      </c>
    </row>
    <row r="154" spans="10:17" x14ac:dyDescent="0.35">
      <c r="J154">
        <f>IFERROR(IF(J153+1&gt;MAX(HAxisTIPS),"X",J153+1),"X")</f>
        <v>161</v>
      </c>
      <c r="K154">
        <f>IF(J154="X","X",IF(J154=ROUND(TIPS!$B$18,0),MAX(FreqTIPS)+1,0))</f>
        <v>0</v>
      </c>
      <c r="L154">
        <v>45277</v>
      </c>
      <c r="M154" t="str">
        <v>PM</v>
      </c>
      <c r="N154" t="str">
        <v>December</v>
      </c>
      <c r="O154" t="str">
        <v>SUN</v>
      </c>
      <c r="P154">
        <v>217.58837200000002</v>
      </c>
      <c r="Q154" t="str">
        <v>SINGLE</v>
      </c>
    </row>
    <row r="155" spans="10:17" x14ac:dyDescent="0.35">
      <c r="J155">
        <f>IFERROR(IF(J154+1&gt;MAX(HAxisTIPS),"X",J154+1),"X")</f>
        <v>162</v>
      </c>
      <c r="K155">
        <f>IF(J155="X","X",IF(J155=ROUND(TIPS!$B$18,0),MAX(FreqTIPS)+1,0))</f>
        <v>0</v>
      </c>
      <c r="L155">
        <v>45278</v>
      </c>
      <c r="M155" t="str">
        <v>PM</v>
      </c>
      <c r="N155" t="str">
        <v>December</v>
      </c>
      <c r="O155" t="str">
        <v>MON</v>
      </c>
      <c r="P155">
        <v>187.37920400000002</v>
      </c>
      <c r="Q155" t="str">
        <v>SINGLE</v>
      </c>
    </row>
    <row r="156" spans="10:17" x14ac:dyDescent="0.35">
      <c r="J156">
        <f>IFERROR(IF(J155+1&gt;MAX(HAxisTIPS),"X",J155+1),"X")</f>
        <v>163</v>
      </c>
      <c r="K156">
        <f>IF(J156="X","X",IF(J156=ROUND(TIPS!$B$18,0),MAX(FreqTIPS)+1,0))</f>
        <v>0</v>
      </c>
      <c r="L156">
        <v>45281</v>
      </c>
      <c r="M156" t="str">
        <v>PM</v>
      </c>
      <c r="N156" t="str">
        <v>December</v>
      </c>
      <c r="O156" t="str">
        <v>THU</v>
      </c>
      <c r="P156">
        <v>199.11728000000002</v>
      </c>
      <c r="Q156" t="str">
        <v>SINGLE</v>
      </c>
    </row>
    <row r="157" spans="10:17" x14ac:dyDescent="0.35">
      <c r="J157">
        <f>IFERROR(IF(J156+1&gt;MAX(HAxisTIPS),"X",J156+1),"X")</f>
        <v>164</v>
      </c>
      <c r="K157">
        <f>IF(J157="X","X",IF(J157=ROUND(TIPS!$B$18,0),MAX(FreqTIPS)+1,0))</f>
        <v>0</v>
      </c>
      <c r="L157">
        <v>45282</v>
      </c>
      <c r="M157" t="str">
        <v>PM</v>
      </c>
      <c r="N157" t="str">
        <v>December</v>
      </c>
      <c r="O157" t="str">
        <v>FRI</v>
      </c>
      <c r="P157">
        <v>232.50149599999997</v>
      </c>
      <c r="Q157" t="str">
        <v>SINGLE</v>
      </c>
    </row>
    <row r="158" spans="10:17" x14ac:dyDescent="0.35">
      <c r="J158">
        <f>IFERROR(IF(J157+1&gt;MAX(HAxisTIPS),"X",J157+1),"X")</f>
        <v>165</v>
      </c>
      <c r="K158">
        <f>IF(J158="X","X",IF(J158=ROUND(TIPS!$B$18,0),MAX(FreqTIPS)+1,0))</f>
        <v>0</v>
      </c>
      <c r="L158">
        <v>45283</v>
      </c>
      <c r="M158" t="str">
        <v>PM</v>
      </c>
      <c r="N158" t="str">
        <v>December</v>
      </c>
      <c r="O158" t="str">
        <v>SAT</v>
      </c>
      <c r="P158">
        <v>259.20059599999996</v>
      </c>
      <c r="Q158" t="str">
        <v>SINGLE</v>
      </c>
    </row>
    <row r="159" spans="10:17" x14ac:dyDescent="0.35">
      <c r="J159">
        <f>IFERROR(IF(J158+1&gt;MAX(HAxisTIPS),"X",J158+1),"X")</f>
        <v>166</v>
      </c>
      <c r="K159">
        <f>IF(J159="X","X",IF(J159=ROUND(TIPS!$B$18,0),MAX(FreqTIPS)+1,0))</f>
        <v>0</v>
      </c>
      <c r="L159">
        <v>45287</v>
      </c>
      <c r="M159" t="str">
        <v>AM</v>
      </c>
      <c r="N159" t="str">
        <v>December</v>
      </c>
      <c r="O159" t="str">
        <v>WED</v>
      </c>
      <c r="P159">
        <v>208.52860799999999</v>
      </c>
      <c r="Q159" t="str">
        <v>DOUBLE</v>
      </c>
    </row>
    <row r="160" spans="10:17" x14ac:dyDescent="0.35">
      <c r="J160">
        <f>IFERROR(IF(J159+1&gt;MAX(HAxisTIPS),"X",J159+1),"X")</f>
        <v>167</v>
      </c>
      <c r="K160">
        <f>IF(J160="X","X",IF(J160=ROUND(TIPS!$B$18,0),MAX(FreqTIPS)+1,0))</f>
        <v>0</v>
      </c>
      <c r="L160">
        <v>45287</v>
      </c>
      <c r="M160" t="str">
        <v>PM</v>
      </c>
      <c r="N160" t="str">
        <v>December</v>
      </c>
      <c r="O160" t="str">
        <v>WED</v>
      </c>
      <c r="P160">
        <v>286.64925200000005</v>
      </c>
      <c r="Q160" t="str">
        <v>DOUBLE</v>
      </c>
    </row>
    <row r="161" spans="10:17" x14ac:dyDescent="0.35">
      <c r="J161">
        <f>IFERROR(IF(J160+1&gt;MAX(HAxisTIPS),"X",J160+1),"X")</f>
        <v>168</v>
      </c>
      <c r="K161">
        <f>IF(J161="X","X",IF(J161=ROUND(TIPS!$B$18,0),MAX(FreqTIPS)+1,0))</f>
        <v>56</v>
      </c>
      <c r="L161">
        <v>45289</v>
      </c>
      <c r="M161" t="str">
        <v>PM</v>
      </c>
      <c r="N161" t="str">
        <v>December</v>
      </c>
      <c r="O161" t="str">
        <v>FRI</v>
      </c>
      <c r="P161">
        <v>216.11023999999998</v>
      </c>
      <c r="Q161" t="str">
        <v>SINGLE</v>
      </c>
    </row>
    <row r="162" spans="10:17" x14ac:dyDescent="0.35">
      <c r="J162">
        <f>IFERROR(IF(J161+1&gt;MAX(HAxisTIPS),"X",J161+1),"X")</f>
        <v>169</v>
      </c>
      <c r="K162">
        <f>IF(J162="X","X",IF(J162=ROUND(TIPS!$B$18,0),MAX(FreqTIPS)+1,0))</f>
        <v>0</v>
      </c>
      <c r="L162">
        <v>45290</v>
      </c>
      <c r="M162" t="str">
        <v>PM</v>
      </c>
      <c r="N162" t="str">
        <v>December</v>
      </c>
      <c r="O162" t="str">
        <v>SAT</v>
      </c>
      <c r="P162">
        <v>193.792216</v>
      </c>
      <c r="Q162" t="str">
        <v>SINGLE</v>
      </c>
    </row>
    <row r="163" spans="10:17" x14ac:dyDescent="0.35">
      <c r="J163">
        <f>IFERROR(IF(J162+1&gt;MAX(HAxisTIPS),"X",J162+1),"X")</f>
        <v>170</v>
      </c>
      <c r="K163">
        <f>IF(J163="X","X",IF(J163=ROUND(TIPS!$B$18,0),MAX(FreqTIPS)+1,0))</f>
        <v>0</v>
      </c>
      <c r="L163">
        <v>45292</v>
      </c>
      <c r="M163" t="str">
        <v>AM</v>
      </c>
      <c r="N163" t="str">
        <v>January</v>
      </c>
      <c r="O163" t="str">
        <v>MON</v>
      </c>
      <c r="P163">
        <v>59.834435999999997</v>
      </c>
      <c r="Q163" t="str">
        <v>DOUBLE</v>
      </c>
    </row>
    <row r="164" spans="10:17" x14ac:dyDescent="0.35">
      <c r="J164">
        <f>IFERROR(IF(J163+1&gt;MAX(HAxisTIPS),"X",J163+1),"X")</f>
        <v>171</v>
      </c>
      <c r="K164">
        <f>IF(J164="X","X",IF(J164=ROUND(TIPS!$B$18,0),MAX(FreqTIPS)+1,0))</f>
        <v>0</v>
      </c>
      <c r="L164">
        <v>45292</v>
      </c>
      <c r="M164" t="str">
        <v>PM</v>
      </c>
      <c r="N164" t="str">
        <v>January</v>
      </c>
      <c r="O164" t="str">
        <v>MON</v>
      </c>
      <c r="P164">
        <v>167.03622000000001</v>
      </c>
      <c r="Q164" t="str">
        <v>DOUBLE</v>
      </c>
    </row>
    <row r="165" spans="10:17" x14ac:dyDescent="0.35">
      <c r="J165">
        <f>IFERROR(IF(J164+1&gt;MAX(HAxisTIPS),"X",J164+1),"X")</f>
        <v>172</v>
      </c>
      <c r="K165">
        <f>IF(J165="X","X",IF(J165=ROUND(TIPS!$B$18,0),MAX(FreqTIPS)+1,0))</f>
        <v>0</v>
      </c>
      <c r="L165">
        <v>45294</v>
      </c>
      <c r="M165" t="str">
        <v>PM</v>
      </c>
      <c r="N165" t="str">
        <v>January</v>
      </c>
      <c r="O165" t="str">
        <v>WED</v>
      </c>
      <c r="P165">
        <v>258.35831999999999</v>
      </c>
      <c r="Q165" t="str">
        <v>SINGLE</v>
      </c>
    </row>
    <row r="166" spans="10:17" x14ac:dyDescent="0.35">
      <c r="J166">
        <f>IFERROR(IF(J165+1&gt;MAX(HAxisTIPS),"X",J165+1),"X")</f>
        <v>173</v>
      </c>
      <c r="K166">
        <f>IF(J166="X","X",IF(J166=ROUND(TIPS!$B$18,0),MAX(FreqTIPS)+1,0))</f>
        <v>0</v>
      </c>
      <c r="L166">
        <v>45296</v>
      </c>
      <c r="M166" t="str">
        <v>PM</v>
      </c>
      <c r="N166" t="str">
        <v>January</v>
      </c>
      <c r="O166" t="str">
        <v>FRI</v>
      </c>
      <c r="P166">
        <v>213.26584799999998</v>
      </c>
      <c r="Q166" t="str">
        <v>SINGLE</v>
      </c>
    </row>
    <row r="167" spans="10:17" x14ac:dyDescent="0.35">
      <c r="J167">
        <f>IFERROR(IF(J166+1&gt;MAX(HAxisTIPS),"X",J166+1),"X")</f>
        <v>174</v>
      </c>
      <c r="K167">
        <f>IF(J167="X","X",IF(J167=ROUND(TIPS!$B$18,0),MAX(FreqTIPS)+1,0))</f>
        <v>0</v>
      </c>
      <c r="L167">
        <v>45297</v>
      </c>
      <c r="M167" t="str">
        <v>PM</v>
      </c>
      <c r="N167" t="str">
        <v>January</v>
      </c>
      <c r="O167" t="str">
        <v>SAT</v>
      </c>
      <c r="P167">
        <v>197.23952</v>
      </c>
      <c r="Q167" t="str">
        <v>SINGLE</v>
      </c>
    </row>
    <row r="168" spans="10:17" x14ac:dyDescent="0.35">
      <c r="J168">
        <f>IFERROR(IF(J167+1&gt;MAX(HAxisTIPS),"X",J167+1),"X")</f>
        <v>175</v>
      </c>
      <c r="K168">
        <f>IF(J168="X","X",IF(J168=ROUND(TIPS!$B$18,0),MAX(FreqTIPS)+1,0))</f>
        <v>0</v>
      </c>
      <c r="L168">
        <v>45298</v>
      </c>
      <c r="M168" t="str">
        <v>PM</v>
      </c>
      <c r="N168" t="str">
        <v>January</v>
      </c>
      <c r="O168" t="str">
        <v>SUN</v>
      </c>
      <c r="P168">
        <v>233.85552799999999</v>
      </c>
      <c r="Q168" t="str">
        <v>SINGLE</v>
      </c>
    </row>
    <row r="169" spans="10:17" x14ac:dyDescent="0.35">
      <c r="J169">
        <f>IFERROR(IF(J168+1&gt;MAX(HAxisTIPS),"X",J168+1),"X")</f>
        <v>176</v>
      </c>
      <c r="K169">
        <f>IF(J169="X","X",IF(J169=ROUND(TIPS!$B$18,0),MAX(FreqTIPS)+1,0))</f>
        <v>0</v>
      </c>
      <c r="L169">
        <v>45299</v>
      </c>
      <c r="M169" t="str">
        <v>PM</v>
      </c>
      <c r="N169" t="str">
        <v>January</v>
      </c>
      <c r="O169" t="str">
        <v>MON</v>
      </c>
      <c r="P169">
        <v>92.215599999999995</v>
      </c>
      <c r="Q169" t="str">
        <v>SINGLE</v>
      </c>
    </row>
    <row r="170" spans="10:17" x14ac:dyDescent="0.35">
      <c r="J170">
        <f>IFERROR(IF(J169+1&gt;MAX(HAxisTIPS),"X",J169+1),"X")</f>
        <v>177</v>
      </c>
      <c r="K170">
        <f>IF(J170="X","X",IF(J170=ROUND(TIPS!$B$18,0),MAX(FreqTIPS)+1,0))</f>
        <v>0</v>
      </c>
      <c r="L170">
        <v>45301</v>
      </c>
      <c r="M170" t="str">
        <v>PM</v>
      </c>
      <c r="N170" t="str">
        <v>January</v>
      </c>
      <c r="O170" t="str">
        <v>WED</v>
      </c>
      <c r="P170">
        <v>171.09210000000002</v>
      </c>
      <c r="Q170" t="str">
        <v>SINGLE</v>
      </c>
    </row>
    <row r="171" spans="10:17" x14ac:dyDescent="0.35">
      <c r="J171">
        <f>IFERROR(IF(J170+1&gt;MAX(HAxisTIPS),"X",J170+1),"X")</f>
        <v>178</v>
      </c>
      <c r="K171">
        <f>IF(J171="X","X",IF(J171=ROUND(TIPS!$B$18,0),MAX(FreqTIPS)+1,0))</f>
        <v>0</v>
      </c>
      <c r="L171">
        <v>45303</v>
      </c>
      <c r="M171" t="str">
        <v>PM</v>
      </c>
      <c r="N171" t="str">
        <v>January</v>
      </c>
      <c r="O171" t="str">
        <v>FRI</v>
      </c>
      <c r="P171">
        <v>215.94746000000001</v>
      </c>
      <c r="Q171" t="str">
        <v>SINGLE</v>
      </c>
    </row>
    <row r="172" spans="10:17" x14ac:dyDescent="0.35">
      <c r="J172">
        <f>IFERROR(IF(J171+1&gt;MAX(HAxisTIPS),"X",J171+1),"X")</f>
        <v>179</v>
      </c>
      <c r="K172">
        <f>IF(J172="X","X",IF(J172=ROUND(TIPS!$B$18,0),MAX(FreqTIPS)+1,0))</f>
        <v>0</v>
      </c>
      <c r="L172">
        <v>45304</v>
      </c>
      <c r="M172" t="str">
        <v>PM</v>
      </c>
      <c r="N172" t="str">
        <v>January</v>
      </c>
      <c r="O172" t="str">
        <v>SAT</v>
      </c>
      <c r="P172">
        <v>228.13538799999998</v>
      </c>
      <c r="Q172" t="str">
        <v>SINGLE</v>
      </c>
    </row>
    <row r="173" spans="10:17" x14ac:dyDescent="0.35">
      <c r="J173">
        <f>IFERROR(IF(J172+1&gt;MAX(HAxisTIPS),"X",J172+1),"X")</f>
        <v>180</v>
      </c>
      <c r="K173">
        <f>IF(J173="X","X",IF(J173=ROUND(TIPS!$B$18,0),MAX(FreqTIPS)+1,0))</f>
        <v>0</v>
      </c>
      <c r="L173">
        <v>45308</v>
      </c>
      <c r="M173" t="str">
        <v>PM</v>
      </c>
      <c r="N173" t="str">
        <v>January</v>
      </c>
      <c r="O173" t="str">
        <v>WED</v>
      </c>
      <c r="P173">
        <v>78.785280000000014</v>
      </c>
      <c r="Q173" t="str">
        <v>SINGLE</v>
      </c>
    </row>
    <row r="174" spans="10:17" x14ac:dyDescent="0.35">
      <c r="J174">
        <f>IFERROR(IF(J173+1&gt;MAX(HAxisTIPS),"X",J173+1),"X")</f>
        <v>181</v>
      </c>
      <c r="K174">
        <f>IF(J174="X","X",IF(J174=ROUND(TIPS!$B$18,0),MAX(FreqTIPS)+1,0))</f>
        <v>0</v>
      </c>
      <c r="L174">
        <v>45309</v>
      </c>
      <c r="M174" t="str">
        <v>AM</v>
      </c>
      <c r="N174" t="str">
        <v>January</v>
      </c>
      <c r="O174" t="str">
        <v>THU</v>
      </c>
      <c r="P174">
        <v>148.03595600000003</v>
      </c>
      <c r="Q174" t="str">
        <v>SINGLE</v>
      </c>
    </row>
    <row r="175" spans="10:17" x14ac:dyDescent="0.35">
      <c r="J175">
        <f>IFERROR(IF(J174+1&gt;MAX(HAxisTIPS),"X",J174+1),"X")</f>
        <v>182</v>
      </c>
      <c r="K175">
        <f>IF(J175="X","X",IF(J175=ROUND(TIPS!$B$18,0),MAX(FreqTIPS)+1,0))</f>
        <v>0</v>
      </c>
      <c r="L175">
        <v>45310</v>
      </c>
      <c r="M175" t="str">
        <v>PM</v>
      </c>
      <c r="N175" t="str">
        <v>January</v>
      </c>
      <c r="O175" t="str">
        <v>FRI</v>
      </c>
      <c r="P175">
        <v>235.33174</v>
      </c>
      <c r="Q175" t="str">
        <v>SINGLE</v>
      </c>
    </row>
    <row r="176" spans="10:17" x14ac:dyDescent="0.35">
      <c r="J176">
        <f>IFERROR(IF(J175+1&gt;MAX(HAxisTIPS),"X",J175+1),"X")</f>
        <v>183</v>
      </c>
      <c r="K176">
        <f>IF(J176="X","X",IF(J176=ROUND(TIPS!$B$18,0),MAX(FreqTIPS)+1,0))</f>
        <v>0</v>
      </c>
      <c r="L176">
        <v>45311</v>
      </c>
      <c r="M176" t="str">
        <v>PM</v>
      </c>
      <c r="N176" t="str">
        <v>January</v>
      </c>
      <c r="O176" t="str">
        <v>SAT</v>
      </c>
      <c r="P176">
        <v>259.32637599999998</v>
      </c>
      <c r="Q176" t="str">
        <v>SINGLE</v>
      </c>
    </row>
    <row r="177" spans="10:17" x14ac:dyDescent="0.35">
      <c r="J177">
        <f>IFERROR(IF(J176+1&gt;MAX(HAxisTIPS),"X",J176+1),"X")</f>
        <v>184</v>
      </c>
      <c r="K177">
        <f>IF(J177="X","X",IF(J177=ROUND(TIPS!$B$18,0),MAX(FreqTIPS)+1,0))</f>
        <v>0</v>
      </c>
      <c r="L177">
        <v>45313</v>
      </c>
      <c r="M177" t="str">
        <v>AM</v>
      </c>
      <c r="N177" t="str">
        <v>January</v>
      </c>
      <c r="O177" t="str">
        <v>MON</v>
      </c>
      <c r="P177">
        <v>44.028148000000002</v>
      </c>
      <c r="Q177" t="str">
        <v>SINGLE</v>
      </c>
    </row>
    <row r="178" spans="10:17" x14ac:dyDescent="0.35">
      <c r="J178">
        <f>IFERROR(IF(J177+1&gt;MAX(HAxisTIPS),"X",J177+1),"X")</f>
        <v>185</v>
      </c>
      <c r="K178">
        <f>IF(J178="X","X",IF(J178=ROUND(TIPS!$B$18,0),MAX(FreqTIPS)+1,0))</f>
        <v>0</v>
      </c>
      <c r="L178">
        <v>45316</v>
      </c>
      <c r="M178" t="str">
        <v>PM</v>
      </c>
      <c r="N178" t="str">
        <v>January</v>
      </c>
      <c r="O178" t="str">
        <v>THU</v>
      </c>
      <c r="P178">
        <v>287.61990400000002</v>
      </c>
      <c r="Q178" t="str">
        <v>SINGLE</v>
      </c>
    </row>
    <row r="179" spans="10:17" x14ac:dyDescent="0.35">
      <c r="J179">
        <f>IFERROR(IF(J178+1&gt;MAX(HAxisTIPS),"X",J178+1),"X")</f>
        <v>186</v>
      </c>
      <c r="K179">
        <f>IF(J179="X","X",IF(J179=ROUND(TIPS!$B$18,0),MAX(FreqTIPS)+1,0))</f>
        <v>0</v>
      </c>
      <c r="L179">
        <v>45317</v>
      </c>
      <c r="M179" t="str">
        <v>PM</v>
      </c>
      <c r="N179" t="str">
        <v>January</v>
      </c>
      <c r="O179" t="str">
        <v>FRI</v>
      </c>
      <c r="P179">
        <v>194.26603999999998</v>
      </c>
      <c r="Q179" t="str">
        <v>SINGLE</v>
      </c>
    </row>
    <row r="180" spans="10:17" x14ac:dyDescent="0.35">
      <c r="J180">
        <f>IFERROR(IF(J179+1&gt;MAX(HAxisTIPS),"X",J179+1),"X")</f>
        <v>187</v>
      </c>
      <c r="K180">
        <f>IF(J180="X","X",IF(J180=ROUND(TIPS!$B$18,0),MAX(FreqTIPS)+1,0))</f>
        <v>0</v>
      </c>
      <c r="L180">
        <v>45318</v>
      </c>
      <c r="M180" t="str">
        <v>AM</v>
      </c>
      <c r="N180" t="str">
        <v>January</v>
      </c>
      <c r="O180" t="str">
        <v>SAT</v>
      </c>
      <c r="P180">
        <v>198.829072</v>
      </c>
      <c r="Q180" t="str">
        <v>DOUBLE</v>
      </c>
    </row>
    <row r="181" spans="10:17" x14ac:dyDescent="0.35">
      <c r="J181">
        <f>IFERROR(IF(J180+1&gt;MAX(HAxisTIPS),"X",J180+1),"X")</f>
        <v>188</v>
      </c>
      <c r="K181">
        <f>IF(J181="X","X",IF(J181=ROUND(TIPS!$B$18,0),MAX(FreqTIPS)+1,0))</f>
        <v>0</v>
      </c>
      <c r="L181">
        <v>45318</v>
      </c>
      <c r="M181" t="str">
        <v>PM</v>
      </c>
      <c r="N181" t="str">
        <v>January</v>
      </c>
      <c r="O181" t="str">
        <v>SAT</v>
      </c>
      <c r="P181">
        <v>198.46371199999999</v>
      </c>
      <c r="Q181" t="str">
        <v>DOUBLE</v>
      </c>
    </row>
    <row r="182" spans="10:17" x14ac:dyDescent="0.35">
      <c r="J182">
        <f>IFERROR(IF(J181+1&gt;MAX(HAxisTIPS),"X",J181+1),"X")</f>
        <v>189</v>
      </c>
      <c r="K182">
        <f>IF(J182="X","X",IF(J182=ROUND(TIPS!$B$18,0),MAX(FreqTIPS)+1,0))</f>
        <v>0</v>
      </c>
      <c r="L182">
        <v>45319</v>
      </c>
      <c r="M182" t="str">
        <v>PM</v>
      </c>
      <c r="N182" t="str">
        <v>January</v>
      </c>
      <c r="O182" t="str">
        <v>SUN</v>
      </c>
      <c r="P182">
        <v>144.33091999999999</v>
      </c>
      <c r="Q182" t="str">
        <v>SINGLE</v>
      </c>
    </row>
    <row r="183" spans="10:17" x14ac:dyDescent="0.35">
      <c r="J183">
        <f>IFERROR(IF(J182+1&gt;MAX(HAxisTIPS),"X",J182+1),"X")</f>
        <v>190</v>
      </c>
      <c r="K183">
        <f>IF(J183="X","X",IF(J183=ROUND(TIPS!$B$18,0),MAX(FreqTIPS)+1,0))</f>
        <v>0</v>
      </c>
      <c r="L183">
        <v>45322</v>
      </c>
      <c r="M183" t="str">
        <v>PM</v>
      </c>
      <c r="N183" t="str">
        <v>January</v>
      </c>
      <c r="O183" t="str">
        <v>WED</v>
      </c>
      <c r="P183">
        <v>183.97036800000001</v>
      </c>
      <c r="Q183" t="str">
        <v>SINGLE</v>
      </c>
    </row>
    <row r="184" spans="10:17" x14ac:dyDescent="0.35">
      <c r="J184">
        <f>IFERROR(IF(J183+1&gt;MAX(HAxisTIPS),"X",J183+1),"X")</f>
        <v>191</v>
      </c>
      <c r="K184">
        <f>IF(J184="X","X",IF(J184=ROUND(TIPS!$B$18,0),MAX(FreqTIPS)+1,0))</f>
        <v>0</v>
      </c>
      <c r="L184">
        <v>45323</v>
      </c>
      <c r="M184" t="str">
        <v>PM</v>
      </c>
      <c r="N184" t="str">
        <v>February</v>
      </c>
      <c r="O184" t="str">
        <v>THU</v>
      </c>
      <c r="P184">
        <v>241.10095200000001</v>
      </c>
      <c r="Q184" t="str">
        <v>SINGLE</v>
      </c>
    </row>
    <row r="185" spans="10:17" x14ac:dyDescent="0.35">
      <c r="J185">
        <f>IFERROR(IF(J184+1&gt;MAX(HAxisTIPS),"X",J184+1),"X")</f>
        <v>192</v>
      </c>
      <c r="K185">
        <f>IF(J185="X","X",IF(J185=ROUND(TIPS!$B$18,0),MAX(FreqTIPS)+1,0))</f>
        <v>0</v>
      </c>
      <c r="L185">
        <v>45324</v>
      </c>
      <c r="M185" t="str">
        <v>PM</v>
      </c>
      <c r="N185" t="str">
        <v>February</v>
      </c>
      <c r="O185" t="str">
        <v>FRI</v>
      </c>
      <c r="P185">
        <v>276.31105599999995</v>
      </c>
      <c r="Q185" t="str">
        <v>SINGLE</v>
      </c>
    </row>
    <row r="186" spans="10:17" x14ac:dyDescent="0.35">
      <c r="J186">
        <f>IFERROR(IF(J185+1&gt;MAX(HAxisTIPS),"X",J185+1),"X")</f>
        <v>193</v>
      </c>
      <c r="K186">
        <f>IF(J186="X","X",IF(J186=ROUND(TIPS!$B$18,0),MAX(FreqTIPS)+1,0))</f>
        <v>0</v>
      </c>
      <c r="L186">
        <v>45325</v>
      </c>
      <c r="M186" t="str">
        <v>AM</v>
      </c>
      <c r="N186" t="str">
        <v>February</v>
      </c>
      <c r="O186" t="str">
        <v>SAT</v>
      </c>
      <c r="P186">
        <v>43.126488000000002</v>
      </c>
      <c r="Q186" t="str">
        <v>SINGLE</v>
      </c>
    </row>
    <row r="187" spans="10:17" x14ac:dyDescent="0.35">
      <c r="J187">
        <f>IFERROR(IF(J186+1&gt;MAX(HAxisTIPS),"X",J186+1),"X")</f>
        <v>194</v>
      </c>
      <c r="K187">
        <f>IF(J187="X","X",IF(J187=ROUND(TIPS!$B$18,0),MAX(FreqTIPS)+1,0))</f>
        <v>0</v>
      </c>
      <c r="L187">
        <v>45327</v>
      </c>
      <c r="M187" t="str">
        <v>AM</v>
      </c>
      <c r="N187" t="str">
        <v>February</v>
      </c>
      <c r="O187" t="str">
        <v>MON</v>
      </c>
      <c r="P187">
        <v>57.636924</v>
      </c>
      <c r="Q187" t="str">
        <v>DOUBLE</v>
      </c>
    </row>
    <row r="188" spans="10:17" x14ac:dyDescent="0.35">
      <c r="J188">
        <f>IFERROR(IF(J187+1&gt;MAX(HAxisTIPS),"X",J187+1),"X")</f>
        <v>195</v>
      </c>
      <c r="K188">
        <f>IF(J188="X","X",IF(J188=ROUND(TIPS!$B$18,0),MAX(FreqTIPS)+1,0))</f>
        <v>0</v>
      </c>
      <c r="L188">
        <v>45327</v>
      </c>
      <c r="M188" t="str">
        <v>PM</v>
      </c>
      <c r="N188" t="str">
        <v>February</v>
      </c>
      <c r="O188" t="str">
        <v>MON</v>
      </c>
      <c r="P188">
        <v>184.10223999999999</v>
      </c>
      <c r="Q188" t="str">
        <v>DOUBLE</v>
      </c>
    </row>
    <row r="189" spans="10:17" x14ac:dyDescent="0.35">
      <c r="J189">
        <f>IFERROR(IF(J188+1&gt;MAX(HAxisTIPS),"X",J188+1),"X")</f>
        <v>196</v>
      </c>
      <c r="K189">
        <f>IF(J189="X","X",IF(J189=ROUND(TIPS!$B$18,0),MAX(FreqTIPS)+1,0))</f>
        <v>0</v>
      </c>
      <c r="L189">
        <v>45329</v>
      </c>
      <c r="M189" t="str">
        <v>AM</v>
      </c>
      <c r="N189" t="str">
        <v>February</v>
      </c>
      <c r="O189" t="str">
        <v>WED</v>
      </c>
      <c r="P189">
        <v>220.50298800000002</v>
      </c>
      <c r="Q189" t="str">
        <v>DOUBLE</v>
      </c>
    </row>
    <row r="190" spans="10:17" x14ac:dyDescent="0.35">
      <c r="J190">
        <f>IFERROR(IF(J189+1&gt;MAX(HAxisTIPS),"X",J189+1),"X")</f>
        <v>197</v>
      </c>
      <c r="K190">
        <f>IF(J190="X","X",IF(J190=ROUND(TIPS!$B$18,0),MAX(FreqTIPS)+1,0))</f>
        <v>0</v>
      </c>
      <c r="L190">
        <v>45329</v>
      </c>
      <c r="M190" t="str">
        <v>PM</v>
      </c>
      <c r="N190" t="str">
        <v>February</v>
      </c>
      <c r="O190" t="str">
        <v>WED</v>
      </c>
      <c r="P190">
        <v>248.87699599999996</v>
      </c>
      <c r="Q190" t="str">
        <v>DOUBLE</v>
      </c>
    </row>
    <row r="191" spans="10:17" x14ac:dyDescent="0.35">
      <c r="J191">
        <f>IFERROR(IF(J190+1&gt;MAX(HAxisTIPS),"X",J190+1),"X")</f>
        <v>198</v>
      </c>
      <c r="K191">
        <f>IF(J191="X","X",IF(J191=ROUND(TIPS!$B$18,0),MAX(FreqTIPS)+1,0))</f>
        <v>0</v>
      </c>
      <c r="L191">
        <v>45330</v>
      </c>
      <c r="M191" t="str">
        <v>PM</v>
      </c>
      <c r="N191" t="str">
        <v>February</v>
      </c>
      <c r="O191" t="str">
        <v>THU</v>
      </c>
      <c r="P191">
        <v>206.80472799999998</v>
      </c>
      <c r="Q191" t="str">
        <v>SINGLE</v>
      </c>
    </row>
    <row r="192" spans="10:17" x14ac:dyDescent="0.35">
      <c r="J192">
        <f>IFERROR(IF(J191+1&gt;MAX(HAxisTIPS),"X",J191+1),"X")</f>
        <v>199</v>
      </c>
      <c r="K192">
        <f>IF(J192="X","X",IF(J192=ROUND(TIPS!$B$18,0),MAX(FreqTIPS)+1,0))</f>
        <v>0</v>
      </c>
      <c r="L192">
        <v>45332</v>
      </c>
      <c r="M192" t="str">
        <v>AM</v>
      </c>
      <c r="N192" t="str">
        <v>February</v>
      </c>
      <c r="O192" t="str">
        <v>SAT</v>
      </c>
      <c r="P192">
        <v>175.62089600000002</v>
      </c>
      <c r="Q192" t="str">
        <v>SINGLE</v>
      </c>
    </row>
    <row r="193" spans="10:17" x14ac:dyDescent="0.35">
      <c r="J193">
        <f>IFERROR(IF(J192+1&gt;MAX(HAxisTIPS),"X",J192+1),"X")</f>
        <v>200</v>
      </c>
      <c r="K193">
        <f>IF(J193="X","X",IF(J193=ROUND(TIPS!$B$18,0),MAX(FreqTIPS)+1,0))</f>
        <v>0</v>
      </c>
      <c r="L193">
        <v>45333</v>
      </c>
      <c r="M193" t="str">
        <v>AM</v>
      </c>
      <c r="N193" t="str">
        <v>February</v>
      </c>
      <c r="O193" t="str">
        <v>SUN</v>
      </c>
      <c r="P193">
        <v>87.969680000000011</v>
      </c>
      <c r="Q193" t="str">
        <v>SINGLE</v>
      </c>
    </row>
    <row r="194" spans="10:17" x14ac:dyDescent="0.35">
      <c r="J194">
        <f>IFERROR(IF(J193+1&gt;MAX(HAxisTIPS),"X",J193+1),"X")</f>
        <v>201</v>
      </c>
      <c r="K194">
        <f>IF(J194="X","X",IF(J194=ROUND(TIPS!$B$18,0),MAX(FreqTIPS)+1,0))</f>
        <v>0</v>
      </c>
      <c r="L194">
        <v>45334</v>
      </c>
      <c r="M194" t="str">
        <v>AM</v>
      </c>
      <c r="N194" t="str">
        <v>February</v>
      </c>
      <c r="O194" t="str">
        <v>MON</v>
      </c>
      <c r="P194">
        <v>12.697699999999999</v>
      </c>
      <c r="Q194" t="str">
        <v>DOUBLE</v>
      </c>
    </row>
    <row r="195" spans="10:17" x14ac:dyDescent="0.35">
      <c r="J195">
        <f>IFERROR(IF(J194+1&gt;MAX(HAxisTIPS),"X",J194+1),"X")</f>
        <v>202</v>
      </c>
      <c r="K195">
        <f>IF(J195="X","X",IF(J195=ROUND(TIPS!$B$18,0),MAX(FreqTIPS)+1,0))</f>
        <v>0</v>
      </c>
      <c r="L195">
        <v>45334</v>
      </c>
      <c r="M195" t="str">
        <v>PM</v>
      </c>
      <c r="N195" t="str">
        <v>February</v>
      </c>
      <c r="O195" t="str">
        <v>MON</v>
      </c>
      <c r="P195">
        <v>141.91920399999998</v>
      </c>
      <c r="Q195" t="str">
        <v>DOUBLE</v>
      </c>
    </row>
    <row r="196" spans="10:17" x14ac:dyDescent="0.35">
      <c r="J196">
        <f>IFERROR(IF(J195+1&gt;MAX(HAxisTIPS),"X",J195+1),"X")</f>
        <v>203</v>
      </c>
      <c r="K196">
        <f>IF(J196="X","X",IF(J196=ROUND(TIPS!$B$18,0),MAX(FreqTIPS)+1,0))</f>
        <v>0</v>
      </c>
      <c r="L196">
        <v>45336</v>
      </c>
      <c r="M196" t="str">
        <v>PM</v>
      </c>
      <c r="N196" t="str">
        <v>February</v>
      </c>
      <c r="O196" t="str">
        <v>WED</v>
      </c>
      <c r="P196">
        <v>373.043768</v>
      </c>
      <c r="Q196" t="str">
        <v>SINGLE</v>
      </c>
    </row>
    <row r="197" spans="10:17" x14ac:dyDescent="0.35">
      <c r="J197">
        <f>IFERROR(IF(J196+1&gt;MAX(HAxisTIPS),"X",J196+1),"X")</f>
        <v>204</v>
      </c>
      <c r="K197">
        <f>IF(J197="X","X",IF(J197=ROUND(TIPS!$B$18,0),MAX(FreqTIPS)+1,0))</f>
        <v>0</v>
      </c>
      <c r="L197">
        <v>45337</v>
      </c>
      <c r="M197" t="str">
        <v>PM</v>
      </c>
      <c r="N197" t="str">
        <v>February</v>
      </c>
      <c r="O197" t="str">
        <v>THU</v>
      </c>
      <c r="P197">
        <v>211.08129200000002</v>
      </c>
      <c r="Q197" t="str">
        <v>SINGLE</v>
      </c>
    </row>
    <row r="198" spans="10:17" x14ac:dyDescent="0.35">
      <c r="J198">
        <f>IFERROR(IF(J197+1&gt;MAX(HAxisTIPS),"X",J197+1),"X")</f>
        <v>205</v>
      </c>
      <c r="K198">
        <f>IF(J198="X","X",IF(J198=ROUND(TIPS!$B$18,0),MAX(FreqTIPS)+1,0))</f>
        <v>0</v>
      </c>
      <c r="L198">
        <v>45339</v>
      </c>
      <c r="M198" t="str">
        <v>AM</v>
      </c>
      <c r="N198" t="str">
        <v>February</v>
      </c>
      <c r="O198" t="str">
        <v>SAT</v>
      </c>
      <c r="P198">
        <v>163.45064799999997</v>
      </c>
      <c r="Q198" t="str">
        <v>DOUBLE</v>
      </c>
    </row>
    <row r="199" spans="10:17" x14ac:dyDescent="0.35">
      <c r="J199">
        <f>IFERROR(IF(J198+1&gt;MAX(HAxisTIPS),"X",J198+1),"X")</f>
        <v>206</v>
      </c>
      <c r="K199">
        <f>IF(J199="X","X",IF(J199=ROUND(TIPS!$B$18,0),MAX(FreqTIPS)+1,0))</f>
        <v>0</v>
      </c>
      <c r="L199">
        <v>45339</v>
      </c>
      <c r="M199" t="str">
        <v>PM</v>
      </c>
      <c r="N199" t="str">
        <v>February</v>
      </c>
      <c r="O199" t="str">
        <v>SAT</v>
      </c>
      <c r="P199">
        <v>238.391864</v>
      </c>
      <c r="Q199" t="str">
        <v>DOUBLE</v>
      </c>
    </row>
    <row r="200" spans="10:17" x14ac:dyDescent="0.35">
      <c r="J200">
        <f>IFERROR(IF(J199+1&gt;MAX(HAxisTIPS),"X",J199+1),"X")</f>
        <v>207</v>
      </c>
      <c r="K200">
        <f>IF(J200="X","X",IF(J200=ROUND(TIPS!$B$18,0),MAX(FreqTIPS)+1,0))</f>
        <v>0</v>
      </c>
      <c r="L200">
        <v>45340</v>
      </c>
      <c r="M200" t="str">
        <v>AM</v>
      </c>
      <c r="N200" t="str">
        <v>February</v>
      </c>
      <c r="O200" t="str">
        <v>SUN</v>
      </c>
      <c r="P200">
        <v>134.12731199999999</v>
      </c>
      <c r="Q200" t="str">
        <v>DOUBLE</v>
      </c>
    </row>
    <row r="201" spans="10:17" x14ac:dyDescent="0.35">
      <c r="J201">
        <f>IFERROR(IF(J200+1&gt;MAX(HAxisTIPS),"X",J200+1),"X")</f>
        <v>208</v>
      </c>
      <c r="K201">
        <f>IF(J201="X","X",IF(J201=ROUND(TIPS!$B$18,0),MAX(FreqTIPS)+1,0))</f>
        <v>0</v>
      </c>
      <c r="L201">
        <v>45340</v>
      </c>
      <c r="M201" t="str">
        <v>PM</v>
      </c>
      <c r="N201" t="str">
        <v>February</v>
      </c>
      <c r="O201" t="str">
        <v>SUN</v>
      </c>
      <c r="P201">
        <v>235.05908399999998</v>
      </c>
      <c r="Q201" t="str">
        <v>DOUBLE</v>
      </c>
    </row>
    <row r="202" spans="10:17" x14ac:dyDescent="0.35">
      <c r="J202">
        <f>IFERROR(IF(J201+1&gt;MAX(HAxisTIPS),"X",J201+1),"X")</f>
        <v>209</v>
      </c>
      <c r="K202">
        <f>IF(J202="X","X",IF(J202=ROUND(TIPS!$B$18,0),MAX(FreqTIPS)+1,0))</f>
        <v>0</v>
      </c>
      <c r="L202">
        <v>45341</v>
      </c>
      <c r="M202" t="str">
        <v>PM</v>
      </c>
      <c r="N202" t="str">
        <v>February</v>
      </c>
      <c r="O202" t="str">
        <v>MON</v>
      </c>
      <c r="P202">
        <v>178.746624</v>
      </c>
      <c r="Q202" t="str">
        <v>DOUBLE</v>
      </c>
    </row>
    <row r="203" spans="10:17" x14ac:dyDescent="0.35">
      <c r="J203">
        <f>IFERROR(IF(J202+1&gt;MAX(HAxisTIPS),"X",J202+1),"X")</f>
        <v>210</v>
      </c>
      <c r="K203">
        <f>IF(J203="X","X",IF(J203=ROUND(TIPS!$B$18,0),MAX(FreqTIPS)+1,0))</f>
        <v>0</v>
      </c>
      <c r="L203">
        <v>45346</v>
      </c>
      <c r="M203" t="str">
        <v>PM</v>
      </c>
      <c r="N203" t="str">
        <v>February</v>
      </c>
      <c r="O203" t="str">
        <v>SAT</v>
      </c>
      <c r="P203">
        <v>289.77713199999999</v>
      </c>
      <c r="Q203" t="str">
        <v>SINGLE</v>
      </c>
    </row>
    <row r="204" spans="10:17" x14ac:dyDescent="0.35">
      <c r="J204">
        <f>IFERROR(IF(J203+1&gt;MAX(HAxisTIPS),"X",J203+1),"X")</f>
        <v>211</v>
      </c>
      <c r="K204">
        <f>IF(J204="X","X",IF(J204=ROUND(TIPS!$B$18,0),MAX(FreqTIPS)+1,0))</f>
        <v>0</v>
      </c>
      <c r="L204">
        <v>45347</v>
      </c>
      <c r="M204" t="str">
        <v>PM</v>
      </c>
      <c r="N204" t="str">
        <v>February</v>
      </c>
      <c r="O204" t="str">
        <v>SUN</v>
      </c>
      <c r="P204">
        <v>169.05556000000001</v>
      </c>
      <c r="Q204" t="str">
        <v>SINGLE</v>
      </c>
    </row>
    <row r="205" spans="10:17" x14ac:dyDescent="0.35">
      <c r="J205">
        <f>IFERROR(IF(J204+1&gt;MAX(HAxisTIPS),"X",J204+1),"X")</f>
        <v>212</v>
      </c>
      <c r="K205">
        <f>IF(J205="X","X",IF(J205=ROUND(TIPS!$B$18,0),MAX(FreqTIPS)+1,0))</f>
        <v>0</v>
      </c>
      <c r="L205">
        <v>45348</v>
      </c>
      <c r="M205" t="str">
        <v>AM</v>
      </c>
      <c r="N205" t="str">
        <v>February</v>
      </c>
      <c r="O205" t="str">
        <v>MON</v>
      </c>
      <c r="P205">
        <v>68.663443999999998</v>
      </c>
      <c r="Q205" t="str">
        <v>DOUBLE</v>
      </c>
    </row>
    <row r="206" spans="10:17" x14ac:dyDescent="0.35">
      <c r="J206">
        <f>IFERROR(IF(J205+1&gt;MAX(HAxisTIPS),"X",J205+1),"X")</f>
        <v>213</v>
      </c>
      <c r="K206">
        <f>IF(J206="X","X",IF(J206=ROUND(TIPS!$B$18,0),MAX(FreqTIPS)+1,0))</f>
        <v>0</v>
      </c>
      <c r="L206">
        <v>45348</v>
      </c>
      <c r="M206" t="str">
        <v>PM</v>
      </c>
      <c r="N206" t="str">
        <v>February</v>
      </c>
      <c r="O206" t="str">
        <v>MON</v>
      </c>
      <c r="P206">
        <v>181.67976800000002</v>
      </c>
      <c r="Q206" t="str">
        <v>DOUBLE</v>
      </c>
    </row>
    <row r="207" spans="10:17" x14ac:dyDescent="0.35">
      <c r="J207">
        <f>IFERROR(IF(J206+1&gt;MAX(HAxisTIPS),"X",J206+1),"X")</f>
        <v>214</v>
      </c>
      <c r="K207">
        <f>IF(J207="X","X",IF(J207=ROUND(TIPS!$B$18,0),MAX(FreqTIPS)+1,0))</f>
        <v>0</v>
      </c>
      <c r="L207">
        <v>45352</v>
      </c>
      <c r="M207" t="str">
        <v>AM</v>
      </c>
      <c r="N207" t="str">
        <v>March</v>
      </c>
      <c r="O207" t="str">
        <v>FRI</v>
      </c>
      <c r="P207">
        <v>121.807196</v>
      </c>
      <c r="Q207" t="str">
        <v>SINGLE</v>
      </c>
    </row>
    <row r="208" spans="10:17" x14ac:dyDescent="0.35">
      <c r="J208">
        <f>IFERROR(IF(J207+1&gt;MAX(HAxisTIPS),"X",J207+1),"X")</f>
        <v>215</v>
      </c>
      <c r="K208">
        <f>IF(J208="X","X",IF(J208=ROUND(TIPS!$B$18,0),MAX(FreqTIPS)+1,0))</f>
        <v>0</v>
      </c>
      <c r="L208">
        <v>45353</v>
      </c>
      <c r="M208" t="str">
        <v>PM</v>
      </c>
      <c r="N208" t="str">
        <v>March</v>
      </c>
      <c r="O208" t="str">
        <v>SAT</v>
      </c>
      <c r="P208">
        <v>162.63203999999999</v>
      </c>
      <c r="Q208" t="str">
        <v>SINGLE</v>
      </c>
    </row>
    <row r="209" spans="10:17" x14ac:dyDescent="0.35">
      <c r="J209">
        <f>IFERROR(IF(J208+1&gt;MAX(HAxisTIPS),"X",J208+1),"X")</f>
        <v>216</v>
      </c>
      <c r="K209">
        <f>IF(J209="X","X",IF(J209=ROUND(TIPS!$B$18,0),MAX(FreqTIPS)+1,0))</f>
        <v>0</v>
      </c>
      <c r="L209">
        <v>45354</v>
      </c>
      <c r="M209" t="str">
        <v>PM</v>
      </c>
      <c r="N209" t="str">
        <v>March</v>
      </c>
      <c r="O209" t="str">
        <v>SUN</v>
      </c>
      <c r="P209">
        <v>283.06921599999998</v>
      </c>
      <c r="Q209" t="str">
        <v>DOUBLE</v>
      </c>
    </row>
    <row r="210" spans="10:17" x14ac:dyDescent="0.35">
      <c r="J210">
        <f>IFERROR(IF(J209+1&gt;MAX(HAxisTIPS),"X",J209+1),"X")</f>
        <v>217</v>
      </c>
      <c r="K210">
        <f>IF(J210="X","X",IF(J210=ROUND(TIPS!$B$18,0),MAX(FreqTIPS)+1,0))</f>
        <v>0</v>
      </c>
      <c r="L210">
        <v>45355</v>
      </c>
      <c r="M210" t="str">
        <v>AM</v>
      </c>
      <c r="N210" t="str">
        <v>March</v>
      </c>
      <c r="O210" t="str">
        <v>MON</v>
      </c>
      <c r="P210">
        <v>89.287804000000008</v>
      </c>
      <c r="Q210" t="str">
        <v>DOUBLE</v>
      </c>
    </row>
    <row r="211" spans="10:17" x14ac:dyDescent="0.35">
      <c r="J211">
        <f>IFERROR(IF(J210+1&gt;MAX(HAxisTIPS),"X",J210+1),"X")</f>
        <v>218</v>
      </c>
      <c r="K211">
        <f>IF(J211="X","X",IF(J211=ROUND(TIPS!$B$18,0),MAX(FreqTIPS)+1,0))</f>
        <v>0</v>
      </c>
      <c r="L211">
        <v>45355</v>
      </c>
      <c r="M211" t="str">
        <v>PM</v>
      </c>
      <c r="N211" t="str">
        <v>March</v>
      </c>
      <c r="O211" t="str">
        <v>MON</v>
      </c>
      <c r="P211">
        <v>311.89962400000002</v>
      </c>
      <c r="Q211" t="str">
        <v>DOUBLE</v>
      </c>
    </row>
    <row r="212" spans="10:17" x14ac:dyDescent="0.35">
      <c r="J212">
        <f>IFERROR(IF(J211+1&gt;MAX(HAxisTIPS),"X",J211+1),"X")</f>
        <v>219</v>
      </c>
      <c r="K212">
        <f>IF(J212="X","X",IF(J212=ROUND(TIPS!$B$18,0),MAX(FreqTIPS)+1,0))</f>
        <v>0</v>
      </c>
      <c r="L212">
        <v>45357</v>
      </c>
      <c r="M212" t="str">
        <v>PM</v>
      </c>
      <c r="N212" t="str">
        <v>March</v>
      </c>
      <c r="O212" t="str">
        <v>WED</v>
      </c>
      <c r="P212">
        <v>248.45899199999999</v>
      </c>
      <c r="Q212" t="str">
        <v>SINGLE</v>
      </c>
    </row>
    <row r="213" spans="10:17" x14ac:dyDescent="0.35">
      <c r="J213">
        <f>IFERROR(IF(J212+1&gt;MAX(HAxisTIPS),"X",J212+1),"X")</f>
        <v>220</v>
      </c>
      <c r="K213">
        <f>IF(J213="X","X",IF(J213=ROUND(TIPS!$B$18,0),MAX(FreqTIPS)+1,0))</f>
        <v>0</v>
      </c>
      <c r="L213">
        <v>45359</v>
      </c>
      <c r="M213" t="str">
        <v>PM</v>
      </c>
      <c r="N213" t="str">
        <v>March</v>
      </c>
      <c r="O213" t="str">
        <v>FRI</v>
      </c>
      <c r="P213">
        <v>225.74660400000002</v>
      </c>
      <c r="Q213" t="str">
        <v>SINGLE</v>
      </c>
    </row>
    <row r="214" spans="10:17" x14ac:dyDescent="0.35">
      <c r="J214">
        <f>IFERROR(IF(J213+1&gt;MAX(HAxisTIPS),"X",J213+1),"X")</f>
        <v>221</v>
      </c>
      <c r="K214">
        <f>IF(J214="X","X",IF(J214=ROUND(TIPS!$B$18,0),MAX(FreqTIPS)+1,0))</f>
        <v>0</v>
      </c>
      <c r="L214">
        <v>45360</v>
      </c>
      <c r="M214" t="str">
        <v>AM</v>
      </c>
      <c r="N214" t="str">
        <v>March</v>
      </c>
      <c r="O214" t="str">
        <v>SAT</v>
      </c>
      <c r="P214">
        <v>76.934904000000003</v>
      </c>
      <c r="Q214" t="str">
        <v>DOUBLE</v>
      </c>
    </row>
    <row r="215" spans="10:17" x14ac:dyDescent="0.35">
      <c r="J215">
        <f>IFERROR(IF(J214+1&gt;MAX(HAxisTIPS),"X",J214+1),"X")</f>
        <v>222</v>
      </c>
      <c r="K215">
        <f>IF(J215="X","X",IF(J215=ROUND(TIPS!$B$18,0),MAX(FreqTIPS)+1,0))</f>
        <v>0</v>
      </c>
      <c r="L215">
        <v>45360</v>
      </c>
      <c r="M215" t="str">
        <v>PM</v>
      </c>
      <c r="N215" t="str">
        <v>March</v>
      </c>
      <c r="O215" t="str">
        <v>SAT</v>
      </c>
      <c r="P215">
        <v>344.84610399999997</v>
      </c>
      <c r="Q215" t="str">
        <v>DOUBLE</v>
      </c>
    </row>
    <row r="216" spans="10:17" x14ac:dyDescent="0.35">
      <c r="J216">
        <f>IFERROR(IF(J215+1&gt;MAX(HAxisTIPS),"X",J215+1),"X")</f>
        <v>223</v>
      </c>
      <c r="K216">
        <f>IF(J216="X","X",IF(J216=ROUND(TIPS!$B$18,0),MAX(FreqTIPS)+1,0))</f>
        <v>0</v>
      </c>
      <c r="L216">
        <v>45361</v>
      </c>
      <c r="M216" t="str">
        <v>AM</v>
      </c>
      <c r="N216" t="str">
        <v>March</v>
      </c>
      <c r="O216" t="str">
        <v>SUN</v>
      </c>
      <c r="P216">
        <v>78.937404000000001</v>
      </c>
      <c r="Q216" t="str">
        <v>DOUBLE</v>
      </c>
    </row>
    <row r="217" spans="10:17" x14ac:dyDescent="0.35">
      <c r="J217">
        <f>IFERROR(IF(J216+1&gt;MAX(HAxisTIPS),"X",J216+1),"X")</f>
        <v>224</v>
      </c>
      <c r="K217">
        <f>IF(J217="X","X",IF(J217=ROUND(TIPS!$B$18,0),MAX(FreqTIPS)+1,0))</f>
        <v>0</v>
      </c>
      <c r="L217">
        <v>45361</v>
      </c>
      <c r="M217" t="str">
        <v>PM</v>
      </c>
      <c r="N217" t="str">
        <v>March</v>
      </c>
      <c r="O217" t="str">
        <v>SUN</v>
      </c>
      <c r="P217">
        <v>172.90884799999998</v>
      </c>
      <c r="Q217" t="str">
        <v>DOUBLE</v>
      </c>
    </row>
    <row r="218" spans="10:17" x14ac:dyDescent="0.35">
      <c r="J218">
        <f>IFERROR(IF(J217+1&gt;MAX(HAxisTIPS),"X",J217+1),"X")</f>
        <v>225</v>
      </c>
      <c r="K218">
        <f>IF(J218="X","X",IF(J218=ROUND(TIPS!$B$18,0),MAX(FreqTIPS)+1,0))</f>
        <v>0</v>
      </c>
      <c r="L218">
        <v>45362</v>
      </c>
      <c r="M218" t="str">
        <v>PM</v>
      </c>
      <c r="N218" t="str">
        <v>March</v>
      </c>
      <c r="O218" t="str">
        <v>MON</v>
      </c>
      <c r="P218">
        <v>347.55293999999998</v>
      </c>
      <c r="Q218" t="str">
        <v>SINGLE</v>
      </c>
    </row>
    <row r="219" spans="10:17" x14ac:dyDescent="0.35">
      <c r="J219">
        <f>IFERROR(IF(J218+1&gt;MAX(HAxisTIPS),"X",J218+1),"X")</f>
        <v>226</v>
      </c>
      <c r="K219">
        <f>IF(J219="X","X",IF(J219=ROUND(TIPS!$B$18,0),MAX(FreqTIPS)+1,0))</f>
        <v>0</v>
      </c>
      <c r="L219">
        <v>45364</v>
      </c>
      <c r="M219" t="str">
        <v>PM</v>
      </c>
      <c r="N219" t="str">
        <v>March</v>
      </c>
      <c r="O219" t="str">
        <v>WED</v>
      </c>
      <c r="P219">
        <v>326.54312000000004</v>
      </c>
      <c r="Q219" t="str">
        <v>SINGLE</v>
      </c>
    </row>
    <row r="220" spans="10:17" x14ac:dyDescent="0.35">
      <c r="J220">
        <f>IFERROR(IF(J219+1&gt;MAX(HAxisTIPS),"X",J219+1),"X")</f>
        <v>227</v>
      </c>
      <c r="K220">
        <f>IF(J220="X","X",IF(J220=ROUND(TIPS!$B$18,0),MAX(FreqTIPS)+1,0))</f>
        <v>0</v>
      </c>
      <c r="L220">
        <v>45366</v>
      </c>
      <c r="M220" t="str">
        <v>PM</v>
      </c>
      <c r="N220" t="str">
        <v>March</v>
      </c>
      <c r="O220" t="str">
        <v>FRI</v>
      </c>
      <c r="P220">
        <v>298.03705200000002</v>
      </c>
      <c r="Q220" t="str">
        <v>SINGLE</v>
      </c>
    </row>
    <row r="221" spans="10:17" x14ac:dyDescent="0.35">
      <c r="J221">
        <f>IFERROR(IF(J220+1&gt;MAX(HAxisTIPS),"X",J220+1),"X")</f>
        <v>228</v>
      </c>
      <c r="K221">
        <f>IF(J221="X","X",IF(J221=ROUND(TIPS!$B$18,0),MAX(FreqTIPS)+1,0))</f>
        <v>0</v>
      </c>
      <c r="L221">
        <v>45367</v>
      </c>
      <c r="M221" t="str">
        <v>AM</v>
      </c>
      <c r="N221" t="str">
        <v>March</v>
      </c>
      <c r="O221" t="str">
        <v>SAT</v>
      </c>
      <c r="P221">
        <v>95.098060000000004</v>
      </c>
      <c r="Q221" t="str">
        <v>DOUBLE</v>
      </c>
    </row>
    <row r="222" spans="10:17" x14ac:dyDescent="0.35">
      <c r="J222">
        <f>IFERROR(IF(J221+1&gt;MAX(HAxisTIPS),"X",J221+1),"X")</f>
        <v>229</v>
      </c>
      <c r="K222">
        <f>IF(J222="X","X",IF(J222=ROUND(TIPS!$B$18,0),MAX(FreqTIPS)+1,0))</f>
        <v>0</v>
      </c>
      <c r="L222">
        <v>45367</v>
      </c>
      <c r="M222" t="str">
        <v>PM</v>
      </c>
      <c r="N222" t="str">
        <v>March</v>
      </c>
      <c r="O222" t="str">
        <v>SAT</v>
      </c>
      <c r="P222">
        <v>219.94739200000001</v>
      </c>
      <c r="Q222" t="str">
        <v>DOUBLE</v>
      </c>
    </row>
    <row r="223" spans="10:17" x14ac:dyDescent="0.35">
      <c r="J223">
        <f>IFERROR(IF(J222+1&gt;MAX(HAxisTIPS),"X",J222+1),"X")</f>
        <v>230</v>
      </c>
      <c r="K223">
        <f>IF(J223="X","X",IF(J223=ROUND(TIPS!$B$18,0),MAX(FreqTIPS)+1,0))</f>
        <v>0</v>
      </c>
      <c r="L223">
        <v>45368</v>
      </c>
      <c r="M223" t="str">
        <v>AM</v>
      </c>
      <c r="N223" t="str">
        <v>March</v>
      </c>
      <c r="O223" t="str">
        <v>SUN</v>
      </c>
      <c r="P223">
        <v>66.363367999999994</v>
      </c>
      <c r="Q223" t="str">
        <v>SINGLE</v>
      </c>
    </row>
    <row r="224" spans="10:17" x14ac:dyDescent="0.35">
      <c r="J224">
        <f>IFERROR(IF(J223+1&gt;MAX(HAxisTIPS),"X",J223+1),"X")</f>
        <v>231</v>
      </c>
      <c r="K224">
        <f>IF(J224="X","X",IF(J224=ROUND(TIPS!$B$18,0),MAX(FreqTIPS)+1,0))</f>
        <v>0</v>
      </c>
      <c r="L224">
        <v>45369</v>
      </c>
      <c r="M224" t="str">
        <v>AM</v>
      </c>
      <c r="N224" t="str">
        <v>March</v>
      </c>
      <c r="O224" t="str">
        <v>MON</v>
      </c>
      <c r="P224">
        <v>90.931659999999994</v>
      </c>
      <c r="Q224" t="str">
        <v>DOUBLE</v>
      </c>
    </row>
    <row r="225" spans="10:17" x14ac:dyDescent="0.35">
      <c r="J225">
        <f>IFERROR(IF(J224+1&gt;MAX(HAxisTIPS),"X",J224+1),"X")</f>
        <v>232</v>
      </c>
      <c r="K225">
        <f>IF(J225="X","X",IF(J225=ROUND(TIPS!$B$18,0),MAX(FreqTIPS)+1,0))</f>
        <v>0</v>
      </c>
      <c r="L225">
        <v>45369</v>
      </c>
      <c r="M225" t="str">
        <v>PM</v>
      </c>
      <c r="N225" t="str">
        <v>March</v>
      </c>
      <c r="O225" t="str">
        <v>MON</v>
      </c>
      <c r="P225">
        <v>173.95813999999999</v>
      </c>
      <c r="Q225" t="str">
        <v>DOUBLE</v>
      </c>
    </row>
    <row r="226" spans="10:17" x14ac:dyDescent="0.35">
      <c r="J226">
        <f>IFERROR(IF(J225+1&gt;MAX(HAxisTIPS),"X",J225+1),"X")</f>
        <v>233</v>
      </c>
      <c r="K226">
        <f>IF(J226="X","X",IF(J226=ROUND(TIPS!$B$18,0),MAX(FreqTIPS)+1,0))</f>
        <v>0</v>
      </c>
      <c r="L226">
        <v>45371</v>
      </c>
      <c r="M226" t="str">
        <v>PM</v>
      </c>
      <c r="N226" t="str">
        <v>March</v>
      </c>
      <c r="O226" t="str">
        <v>WED</v>
      </c>
      <c r="P226">
        <v>53.015720000000002</v>
      </c>
      <c r="Q226" t="str">
        <v>SINGLE</v>
      </c>
    </row>
    <row r="227" spans="10:17" x14ac:dyDescent="0.35">
      <c r="J227">
        <f>IFERROR(IF(J226+1&gt;MAX(HAxisTIPS),"X",J226+1),"X")</f>
        <v>234</v>
      </c>
      <c r="K227">
        <f>IF(J227="X","X",IF(J227=ROUND(TIPS!$B$18,0),MAX(FreqTIPS)+1,0))</f>
        <v>0</v>
      </c>
      <c r="L227">
        <v>45374</v>
      </c>
      <c r="M227" t="str">
        <v>PM</v>
      </c>
      <c r="N227" t="str">
        <v>March</v>
      </c>
      <c r="O227" t="str">
        <v>SAT</v>
      </c>
      <c r="P227">
        <v>230.48858799999996</v>
      </c>
      <c r="Q227" t="str">
        <v>SINGLE</v>
      </c>
    </row>
    <row r="228" spans="10:17" x14ac:dyDescent="0.35">
      <c r="J228">
        <f>IFERROR(IF(J227+1&gt;MAX(HAxisTIPS),"X",J227+1),"X")</f>
        <v>235</v>
      </c>
      <c r="K228">
        <f>IF(J228="X","X",IF(J228=ROUND(TIPS!$B$18,0),MAX(FreqTIPS)+1,0))</f>
        <v>0</v>
      </c>
      <c r="L228">
        <v>45376</v>
      </c>
      <c r="M228" t="str">
        <v>AM</v>
      </c>
      <c r="N228" t="str">
        <v>March</v>
      </c>
      <c r="O228" t="str">
        <v>MON</v>
      </c>
      <c r="P228">
        <v>55.795068000000001</v>
      </c>
      <c r="Q228" t="str">
        <v>DOUBLE</v>
      </c>
    </row>
    <row r="229" spans="10:17" x14ac:dyDescent="0.35">
      <c r="J229">
        <f>IFERROR(IF(J228+1&gt;MAX(HAxisTIPS),"X",J228+1),"X")</f>
        <v>236</v>
      </c>
      <c r="K229">
        <f>IF(J229="X","X",IF(J229=ROUND(TIPS!$B$18,0),MAX(FreqTIPS)+1,0))</f>
        <v>0</v>
      </c>
      <c r="L229">
        <v>45376</v>
      </c>
      <c r="M229" t="str">
        <v>PM</v>
      </c>
      <c r="N229" t="str">
        <v>March</v>
      </c>
      <c r="O229" t="str">
        <v>MON</v>
      </c>
      <c r="P229">
        <v>212.710452</v>
      </c>
      <c r="Q229" t="str">
        <v>DOUBLE</v>
      </c>
    </row>
    <row r="230" spans="10:17" x14ac:dyDescent="0.35">
      <c r="J230">
        <f>IFERROR(IF(J229+1&gt;MAX(HAxisTIPS),"X",J229+1),"X")</f>
        <v>237</v>
      </c>
      <c r="K230">
        <f>IF(J230="X","X",IF(J230=ROUND(TIPS!$B$18,0),MAX(FreqTIPS)+1,0))</f>
        <v>0</v>
      </c>
      <c r="L230">
        <v>45380</v>
      </c>
      <c r="M230" t="str">
        <v>PM</v>
      </c>
      <c r="N230" t="str">
        <v>March</v>
      </c>
      <c r="O230" t="str">
        <v>FRI</v>
      </c>
      <c r="P230">
        <v>345.4649</v>
      </c>
      <c r="Q230" t="str">
        <v>SINGLE</v>
      </c>
    </row>
    <row r="231" spans="10:17" x14ac:dyDescent="0.35">
      <c r="J231">
        <f>IFERROR(IF(J230+1&gt;MAX(HAxisTIPS),"X",J230+1),"X")</f>
        <v>238</v>
      </c>
      <c r="K231">
        <f>IF(J231="X","X",IF(J231=ROUND(TIPS!$B$18,0),MAX(FreqTIPS)+1,0))</f>
        <v>0</v>
      </c>
      <c r="L231">
        <v>45381</v>
      </c>
      <c r="M231" t="str">
        <v>PM</v>
      </c>
      <c r="N231" t="str">
        <v>March</v>
      </c>
      <c r="O231" t="str">
        <v>SAT</v>
      </c>
      <c r="P231">
        <v>155.63970399999999</v>
      </c>
      <c r="Q231" t="str">
        <v>SINGLE</v>
      </c>
    </row>
    <row r="232" spans="10:17" x14ac:dyDescent="0.35">
      <c r="J232">
        <f>IFERROR(IF(J231+1&gt;MAX(HAxisTIPS),"X",J231+1),"X")</f>
        <v>239</v>
      </c>
      <c r="K232">
        <f>IF(J232="X","X",IF(J232=ROUND(TIPS!$B$18,0),MAX(FreqTIPS)+1,0))</f>
        <v>0</v>
      </c>
      <c r="L232">
        <v>45382</v>
      </c>
      <c r="M232" t="str">
        <v>AM</v>
      </c>
      <c r="N232" t="str">
        <v>March</v>
      </c>
      <c r="O232" t="str">
        <v>SUN</v>
      </c>
      <c r="P232">
        <v>103.476812</v>
      </c>
      <c r="Q232" t="str">
        <v>DOUBLE</v>
      </c>
    </row>
    <row r="233" spans="10:17" x14ac:dyDescent="0.35">
      <c r="J233">
        <f>IFERROR(IF(J232+1&gt;MAX(HAxisTIPS),"X",J232+1),"X")</f>
        <v>240</v>
      </c>
      <c r="K233">
        <f>IF(J233="X","X",IF(J233=ROUND(TIPS!$B$18,0),MAX(FreqTIPS)+1,0))</f>
        <v>0</v>
      </c>
      <c r="L233">
        <v>45382</v>
      </c>
      <c r="M233" t="str">
        <v>PM</v>
      </c>
      <c r="N233" t="str">
        <v>March</v>
      </c>
      <c r="O233" t="str">
        <v>SUN</v>
      </c>
      <c r="P233">
        <v>166.80110400000001</v>
      </c>
      <c r="Q233" t="str">
        <v>DOUBLE</v>
      </c>
    </row>
    <row r="234" spans="10:17" x14ac:dyDescent="0.35">
      <c r="J234">
        <f>IFERROR(IF(J233+1&gt;MAX(HAxisTIPS),"X",J233+1),"X")</f>
        <v>241</v>
      </c>
      <c r="K234">
        <f>IF(J234="X","X",IF(J234=ROUND(TIPS!$B$18,0),MAX(FreqTIPS)+1,0))</f>
        <v>0</v>
      </c>
      <c r="L234">
        <v>45383</v>
      </c>
      <c r="M234" t="str">
        <v>AM</v>
      </c>
      <c r="N234" t="str">
        <v>April</v>
      </c>
      <c r="O234" t="str">
        <v>MON</v>
      </c>
      <c r="P234">
        <v>147.19654799999998</v>
      </c>
      <c r="Q234" t="str">
        <v>DOUBLE</v>
      </c>
    </row>
    <row r="235" spans="10:17" x14ac:dyDescent="0.35">
      <c r="J235">
        <f>IFERROR(IF(J234+1&gt;MAX(HAxisTIPS),"X",J234+1),"X")</f>
        <v>242</v>
      </c>
      <c r="K235">
        <f>IF(J235="X","X",IF(J235=ROUND(TIPS!$B$18,0),MAX(FreqTIPS)+1,0))</f>
        <v>0</v>
      </c>
      <c r="L235">
        <v>45383</v>
      </c>
      <c r="M235" t="str">
        <v>PM</v>
      </c>
      <c r="N235" t="str">
        <v>April</v>
      </c>
      <c r="O235" t="str">
        <v>MON</v>
      </c>
      <c r="P235">
        <v>167.286216</v>
      </c>
      <c r="Q235" t="str">
        <v>DOUBLE</v>
      </c>
    </row>
    <row r="236" spans="10:17" x14ac:dyDescent="0.35">
      <c r="J236">
        <f>IFERROR(IF(J235+1&gt;MAX(HAxisTIPS),"X",J235+1),"X")</f>
        <v>243</v>
      </c>
      <c r="K236">
        <f>IF(J236="X","X",IF(J236=ROUND(TIPS!$B$18,0),MAX(FreqTIPS)+1,0))</f>
        <v>0</v>
      </c>
      <c r="L236">
        <v>45384</v>
      </c>
      <c r="M236" t="str">
        <v>PM</v>
      </c>
      <c r="N236" t="str">
        <v>April</v>
      </c>
      <c r="O236" t="str">
        <v>TUE</v>
      </c>
      <c r="P236">
        <v>212.50799999999998</v>
      </c>
      <c r="Q236" t="str">
        <v>SINGLE</v>
      </c>
    </row>
    <row r="237" spans="10:17" x14ac:dyDescent="0.35">
      <c r="J237">
        <f>IFERROR(IF(J236+1&gt;MAX(HAxisTIPS),"X",J236+1),"X")</f>
        <v>244</v>
      </c>
      <c r="K237">
        <f>IF(J237="X","X",IF(J237=ROUND(TIPS!$B$18,0),MAX(FreqTIPS)+1,0))</f>
        <v>0</v>
      </c>
      <c r="L237">
        <v>45385</v>
      </c>
      <c r="M237" t="str">
        <v>AM</v>
      </c>
      <c r="N237" t="str">
        <v>April</v>
      </c>
      <c r="O237" t="str">
        <v>WED</v>
      </c>
      <c r="P237">
        <v>90.533100000000005</v>
      </c>
      <c r="Q237" t="str">
        <v>DOUBLE</v>
      </c>
    </row>
    <row r="238" spans="10:17" x14ac:dyDescent="0.35">
      <c r="J238">
        <f>IFERROR(IF(J237+1&gt;MAX(HAxisTIPS),"X",J237+1),"X")</f>
        <v>245</v>
      </c>
      <c r="K238">
        <f>IF(J238="X","X",IF(J238=ROUND(TIPS!$B$18,0),MAX(FreqTIPS)+1,0))</f>
        <v>0</v>
      </c>
      <c r="L238">
        <v>45385</v>
      </c>
      <c r="M238" t="str">
        <v>PM</v>
      </c>
      <c r="N238" t="str">
        <v>April</v>
      </c>
      <c r="O238" t="str">
        <v>WED</v>
      </c>
      <c r="P238">
        <v>63.631980000000006</v>
      </c>
      <c r="Q238" t="str">
        <v>DOUBLE</v>
      </c>
    </row>
    <row r="239" spans="10:17" x14ac:dyDescent="0.35">
      <c r="J239">
        <f>IFERROR(IF(J238+1&gt;MAX(HAxisTIPS),"X",J238+1),"X")</f>
        <v>246</v>
      </c>
      <c r="K239">
        <f>IF(J239="X","X",IF(J239=ROUND(TIPS!$B$18,0),MAX(FreqTIPS)+1,0))</f>
        <v>0</v>
      </c>
      <c r="L239">
        <v>45387</v>
      </c>
      <c r="M239" t="str">
        <v>PM</v>
      </c>
      <c r="N239" t="str">
        <v>April</v>
      </c>
      <c r="O239" t="str">
        <v>FRI</v>
      </c>
      <c r="P239">
        <v>198.61344399999999</v>
      </c>
      <c r="Q239" t="str">
        <v>SINGLE</v>
      </c>
    </row>
    <row r="240" spans="10:17" x14ac:dyDescent="0.35">
      <c r="J240">
        <f>IFERROR(IF(J239+1&gt;MAX(HAxisTIPS),"X",J239+1),"X")</f>
        <v>247</v>
      </c>
      <c r="K240">
        <f>IF(J240="X","X",IF(J240=ROUND(TIPS!$B$18,0),MAX(FreqTIPS)+1,0))</f>
        <v>0</v>
      </c>
      <c r="L240">
        <v>45389</v>
      </c>
      <c r="M240" t="str">
        <v>PM</v>
      </c>
      <c r="N240" t="str">
        <v>April</v>
      </c>
      <c r="O240" t="str">
        <v>SUN</v>
      </c>
      <c r="P240">
        <v>147.77316000000002</v>
      </c>
      <c r="Q240" t="str">
        <v>SINGLE</v>
      </c>
    </row>
    <row r="241" spans="10:17" x14ac:dyDescent="0.35">
      <c r="J241">
        <f>IFERROR(IF(J240+1&gt;MAX(HAxisTIPS),"X",J240+1),"X")</f>
        <v>248</v>
      </c>
      <c r="K241">
        <f>IF(J241="X","X",IF(J241=ROUND(TIPS!$B$18,0),MAX(FreqTIPS)+1,0))</f>
        <v>0</v>
      </c>
      <c r="L241">
        <v>45390</v>
      </c>
      <c r="M241" t="str">
        <v>AM</v>
      </c>
      <c r="N241" t="str">
        <v>April</v>
      </c>
      <c r="O241" t="str">
        <v>MON</v>
      </c>
      <c r="P241">
        <v>17.499027999999999</v>
      </c>
      <c r="Q241" t="str">
        <v>DOUBLE</v>
      </c>
    </row>
    <row r="242" spans="10:17" x14ac:dyDescent="0.35">
      <c r="J242">
        <f>IFERROR(IF(J241+1&gt;MAX(HAxisTIPS),"X",J241+1),"X")</f>
        <v>249</v>
      </c>
      <c r="K242">
        <f>IF(J242="X","X",IF(J242=ROUND(TIPS!$B$18,0),MAX(FreqTIPS)+1,0))</f>
        <v>0</v>
      </c>
      <c r="L242">
        <v>45390</v>
      </c>
      <c r="M242" t="str">
        <v>PM</v>
      </c>
      <c r="N242" t="str">
        <v>April</v>
      </c>
      <c r="O242" t="str">
        <v>MON</v>
      </c>
      <c r="P242">
        <v>106.895884</v>
      </c>
      <c r="Q242" t="str">
        <v>DOUBLE</v>
      </c>
    </row>
    <row r="243" spans="10:17" x14ac:dyDescent="0.35">
      <c r="J243">
        <f>IFERROR(IF(J242+1&gt;MAX(HAxisTIPS),"X",J242+1),"X")</f>
        <v>250</v>
      </c>
      <c r="K243">
        <f>IF(J243="X","X",IF(J243=ROUND(TIPS!$B$18,0),MAX(FreqTIPS)+1,0))</f>
        <v>0</v>
      </c>
      <c r="L243">
        <v>45392</v>
      </c>
      <c r="M243" t="str">
        <v>AM</v>
      </c>
      <c r="N243" t="str">
        <v>April</v>
      </c>
      <c r="O243" t="str">
        <v>WED</v>
      </c>
      <c r="P243">
        <v>56.53566</v>
      </c>
      <c r="Q243" t="str">
        <v>DOUBLE</v>
      </c>
    </row>
    <row r="244" spans="10:17" x14ac:dyDescent="0.35">
      <c r="J244">
        <f>IFERROR(IF(J243+1&gt;MAX(HAxisTIPS),"X",J243+1),"X")</f>
        <v>251</v>
      </c>
      <c r="K244">
        <f>IF(J244="X","X",IF(J244=ROUND(TIPS!$B$18,0),MAX(FreqTIPS)+1,0))</f>
        <v>0</v>
      </c>
      <c r="L244">
        <v>45392</v>
      </c>
      <c r="M244" t="str">
        <v>PM</v>
      </c>
      <c r="N244" t="str">
        <v>April</v>
      </c>
      <c r="O244" t="str">
        <v>WED</v>
      </c>
      <c r="P244">
        <v>189.01321999999999</v>
      </c>
      <c r="Q244" t="str">
        <v>DOUBLE</v>
      </c>
    </row>
    <row r="245" spans="10:17" x14ac:dyDescent="0.35">
      <c r="J245">
        <f>IFERROR(IF(J244+1&gt;MAX(HAxisTIPS),"X",J244+1),"X")</f>
        <v>252</v>
      </c>
      <c r="K245">
        <f>IF(J245="X","X",IF(J245=ROUND(TIPS!$B$18,0),MAX(FreqTIPS)+1,0))</f>
        <v>0</v>
      </c>
      <c r="L245">
        <v>45394</v>
      </c>
      <c r="M245" t="str">
        <v>AM</v>
      </c>
      <c r="N245" t="str">
        <v>April</v>
      </c>
      <c r="O245" t="str">
        <v>FRI</v>
      </c>
      <c r="P245">
        <v>72.763332000000005</v>
      </c>
      <c r="Q245" t="str">
        <v>DOUBLE</v>
      </c>
    </row>
    <row r="246" spans="10:17" x14ac:dyDescent="0.35">
      <c r="J246">
        <f>IFERROR(IF(J245+1&gt;MAX(HAxisTIPS),"X",J245+1),"X")</f>
        <v>253</v>
      </c>
      <c r="K246">
        <f>IF(J246="X","X",IF(J246=ROUND(TIPS!$B$18,0),MAX(FreqTIPS)+1,0))</f>
        <v>0</v>
      </c>
      <c r="L246">
        <v>45394</v>
      </c>
      <c r="M246" t="str">
        <v>PM</v>
      </c>
      <c r="N246" t="str">
        <v>April</v>
      </c>
      <c r="O246" t="str">
        <v>FRI</v>
      </c>
      <c r="P246">
        <v>251.99614399999996</v>
      </c>
      <c r="Q246" t="str">
        <v>DOUBLE</v>
      </c>
    </row>
    <row r="247" spans="10:17" x14ac:dyDescent="0.35">
      <c r="J247">
        <f>IFERROR(IF(J246+1&gt;MAX(HAxisTIPS),"X",J246+1),"X")</f>
        <v>254</v>
      </c>
      <c r="K247">
        <f>IF(J247="X","X",IF(J247=ROUND(TIPS!$B$18,0),MAX(FreqTIPS)+1,0))</f>
        <v>0</v>
      </c>
      <c r="L247">
        <v>45396</v>
      </c>
      <c r="M247" t="str">
        <v>PM</v>
      </c>
      <c r="N247" t="str">
        <v>April</v>
      </c>
      <c r="O247" t="str">
        <v>SUN</v>
      </c>
      <c r="P247">
        <v>341.546808</v>
      </c>
      <c r="Q247" t="str">
        <v>SINGLE</v>
      </c>
    </row>
    <row r="248" spans="10:17" x14ac:dyDescent="0.35">
      <c r="J248">
        <f>IFERROR(IF(J247+1&gt;MAX(HAxisTIPS),"X",J247+1),"X")</f>
        <v>255</v>
      </c>
      <c r="K248">
        <f>IF(J248="X","X",IF(J248=ROUND(TIPS!$B$18,0),MAX(FreqTIPS)+1,0))</f>
        <v>0</v>
      </c>
      <c r="L248">
        <v>45398</v>
      </c>
      <c r="M248" t="str">
        <v>AM</v>
      </c>
      <c r="N248" t="str">
        <v>April</v>
      </c>
      <c r="O248" t="str">
        <v>TUE</v>
      </c>
      <c r="P248">
        <v>131.962042</v>
      </c>
      <c r="Q248" t="str">
        <v>DOUBLE</v>
      </c>
    </row>
    <row r="249" spans="10:17" x14ac:dyDescent="0.35">
      <c r="J249">
        <f>IFERROR(IF(J248+1&gt;MAX(HAxisTIPS),"X",J248+1),"X")</f>
        <v>256</v>
      </c>
      <c r="K249">
        <f>IF(J249="X","X",IF(J249=ROUND(TIPS!$B$18,0),MAX(FreqTIPS)+1,0))</f>
        <v>0</v>
      </c>
      <c r="L249">
        <v>45398</v>
      </c>
      <c r="M249" t="str">
        <v>PM</v>
      </c>
      <c r="N249" t="str">
        <v>April</v>
      </c>
      <c r="O249" t="str">
        <v>TUE</v>
      </c>
      <c r="P249">
        <v>131.962042</v>
      </c>
      <c r="Q249" t="str">
        <v>DOUBLE</v>
      </c>
    </row>
    <row r="250" spans="10:17" x14ac:dyDescent="0.35">
      <c r="J250">
        <f>IFERROR(IF(J249+1&gt;MAX(HAxisTIPS),"X",J249+1),"X")</f>
        <v>257</v>
      </c>
      <c r="K250">
        <f>IF(J250="X","X",IF(J250=ROUND(TIPS!$B$18,0),MAX(FreqTIPS)+1,0))</f>
        <v>0</v>
      </c>
      <c r="L250">
        <v>45399</v>
      </c>
      <c r="M250" t="str">
        <v>AM</v>
      </c>
      <c r="N250" t="str">
        <v>April</v>
      </c>
      <c r="O250" t="str">
        <v>WED</v>
      </c>
      <c r="P250">
        <v>69.276480000000006</v>
      </c>
      <c r="Q250" t="str">
        <v>DOUBLE</v>
      </c>
    </row>
    <row r="251" spans="10:17" x14ac:dyDescent="0.35">
      <c r="J251">
        <f>IFERROR(IF(J250+1&gt;MAX(HAxisTIPS),"X",J250+1),"X")</f>
        <v>258</v>
      </c>
      <c r="K251">
        <f>IF(J251="X","X",IF(J251=ROUND(TIPS!$B$18,0),MAX(FreqTIPS)+1,0))</f>
        <v>0</v>
      </c>
      <c r="L251">
        <v>45399</v>
      </c>
      <c r="M251" t="str">
        <v>PM</v>
      </c>
      <c r="N251" t="str">
        <v>April</v>
      </c>
      <c r="O251" t="str">
        <v>WED</v>
      </c>
      <c r="P251">
        <v>145.55123599999999</v>
      </c>
      <c r="Q251" t="str">
        <v>DOUBLE</v>
      </c>
    </row>
    <row r="252" spans="10:17" x14ac:dyDescent="0.35">
      <c r="J252">
        <f>IFERROR(IF(J251+1&gt;MAX(HAxisTIPS),"X",J251+1),"X")</f>
        <v>259</v>
      </c>
      <c r="K252">
        <f>IF(J252="X","X",IF(J252=ROUND(TIPS!$B$18,0),MAX(FreqTIPS)+1,0))</f>
        <v>0</v>
      </c>
      <c r="L252">
        <v>45400</v>
      </c>
      <c r="M252" t="str">
        <v>AM</v>
      </c>
      <c r="N252" t="str">
        <v>April</v>
      </c>
      <c r="O252" t="str">
        <v>THU</v>
      </c>
      <c r="P252">
        <v>100.37970200000001</v>
      </c>
      <c r="Q252" t="str">
        <v>DOUBLE</v>
      </c>
    </row>
    <row r="253" spans="10:17" x14ac:dyDescent="0.35">
      <c r="J253">
        <f>IFERROR(IF(J252+1&gt;MAX(HAxisTIPS),"X",J252+1),"X")</f>
        <v>260</v>
      </c>
      <c r="K253">
        <f>IF(J253="X","X",IF(J253=ROUND(TIPS!$B$18,0),MAX(FreqTIPS)+1,0))</f>
        <v>0</v>
      </c>
      <c r="L253">
        <v>45400</v>
      </c>
      <c r="M253" t="str">
        <v>PM</v>
      </c>
      <c r="N253" t="str">
        <v>April</v>
      </c>
      <c r="O253" t="str">
        <v>THU</v>
      </c>
      <c r="P253">
        <v>100.37970200000001</v>
      </c>
      <c r="Q253" t="str">
        <v>DOUBLE</v>
      </c>
    </row>
    <row r="254" spans="10:17" x14ac:dyDescent="0.35">
      <c r="J254">
        <f>IFERROR(IF(J253+1&gt;MAX(HAxisTIPS),"X",J253+1),"X")</f>
        <v>261</v>
      </c>
      <c r="K254">
        <f>IF(J254="X","X",IF(J254=ROUND(TIPS!$B$18,0),MAX(FreqTIPS)+1,0))</f>
        <v>0</v>
      </c>
      <c r="L254">
        <v>45401</v>
      </c>
      <c r="M254" t="str">
        <v>PM</v>
      </c>
      <c r="N254" t="str">
        <v>April</v>
      </c>
      <c r="O254" t="str">
        <v>FRI</v>
      </c>
      <c r="P254">
        <v>216.12048000000001</v>
      </c>
      <c r="Q254" t="str">
        <v>SINGLE</v>
      </c>
    </row>
    <row r="255" spans="10:17" x14ac:dyDescent="0.35">
      <c r="J255">
        <f>IFERROR(IF(J254+1&gt;MAX(HAxisTIPS),"X",J254+1),"X")</f>
        <v>262</v>
      </c>
      <c r="K255">
        <f>IF(J255="X","X",IF(J255=ROUND(TIPS!$B$18,0),MAX(FreqTIPS)+1,0))</f>
        <v>0</v>
      </c>
      <c r="L255">
        <v>45402</v>
      </c>
      <c r="M255" t="str">
        <v>AM</v>
      </c>
      <c r="N255" t="str">
        <v>April</v>
      </c>
      <c r="O255" t="str">
        <v>SAT</v>
      </c>
      <c r="P255">
        <v>203.769158</v>
      </c>
      <c r="Q255" t="str">
        <v>DOUBLE</v>
      </c>
    </row>
    <row r="256" spans="10:17" x14ac:dyDescent="0.35">
      <c r="J256">
        <f>IFERROR(IF(J255+1&gt;MAX(HAxisTIPS),"X",J255+1),"X")</f>
        <v>263</v>
      </c>
      <c r="K256">
        <f>IF(J256="X","X",IF(J256=ROUND(TIPS!$B$18,0),MAX(FreqTIPS)+1,0))</f>
        <v>0</v>
      </c>
      <c r="L256">
        <v>45402</v>
      </c>
      <c r="M256" t="str">
        <v>PM</v>
      </c>
      <c r="N256" t="str">
        <v>April</v>
      </c>
      <c r="O256" t="str">
        <v>SAT</v>
      </c>
      <c r="P256">
        <v>205.899158</v>
      </c>
      <c r="Q256" t="str">
        <v>DOUBLE</v>
      </c>
    </row>
    <row r="257" spans="10:17" x14ac:dyDescent="0.35">
      <c r="J257">
        <f>IFERROR(IF(J256+1&gt;MAX(HAxisTIPS),"X",J256+1),"X")</f>
        <v>264</v>
      </c>
      <c r="K257">
        <f>IF(J257="X","X",IF(J257=ROUND(TIPS!$B$18,0),MAX(FreqTIPS)+1,0))</f>
        <v>0</v>
      </c>
      <c r="L257">
        <v>45404</v>
      </c>
      <c r="M257" t="str">
        <v>AM</v>
      </c>
      <c r="N257" t="str">
        <v>April</v>
      </c>
      <c r="O257" t="str">
        <v>MON</v>
      </c>
      <c r="P257">
        <v>37.632892000000005</v>
      </c>
      <c r="Q257" t="str">
        <v>SINGLE</v>
      </c>
    </row>
    <row r="258" spans="10:17" x14ac:dyDescent="0.35">
      <c r="J258">
        <f>IFERROR(IF(J257+1&gt;MAX(HAxisTIPS),"X",J257+1),"X")</f>
        <v>265</v>
      </c>
      <c r="K258">
        <f>IF(J258="X","X",IF(J258=ROUND(TIPS!$B$18,0),MAX(FreqTIPS)+1,0))</f>
        <v>0</v>
      </c>
      <c r="L258">
        <v>45408</v>
      </c>
      <c r="M258" t="str">
        <v>PM</v>
      </c>
      <c r="N258" t="str">
        <v>April</v>
      </c>
      <c r="O258" t="str">
        <v>FRI</v>
      </c>
      <c r="P258">
        <v>284.76803999999998</v>
      </c>
      <c r="Q258" t="str">
        <v>SINGLE</v>
      </c>
    </row>
    <row r="259" spans="10:17" x14ac:dyDescent="0.35">
      <c r="J259">
        <f>IFERROR(IF(J258+1&gt;MAX(HAxisTIPS),"X",J258+1),"X")</f>
        <v>266</v>
      </c>
      <c r="K259">
        <f>IF(J259="X","X",IF(J259=ROUND(TIPS!$B$18,0),MAX(FreqTIPS)+1,0))</f>
        <v>0</v>
      </c>
      <c r="L259">
        <v>45409</v>
      </c>
      <c r="M259" t="str">
        <v>AM</v>
      </c>
      <c r="N259" t="str">
        <v>April</v>
      </c>
      <c r="O259" t="str">
        <v>SAT</v>
      </c>
      <c r="P259">
        <v>234.53430800000001</v>
      </c>
      <c r="Q259" t="str">
        <v>DOUBLE</v>
      </c>
    </row>
    <row r="260" spans="10:17" x14ac:dyDescent="0.35">
      <c r="J260">
        <f>IFERROR(IF(J259+1&gt;MAX(HAxisTIPS),"X",J259+1),"X")</f>
        <v>267</v>
      </c>
      <c r="K260">
        <f>IF(J260="X","X",IF(J260=ROUND(TIPS!$B$18,0),MAX(FreqTIPS)+1,0))</f>
        <v>0</v>
      </c>
      <c r="L260">
        <v>45409</v>
      </c>
      <c r="M260" t="str">
        <v>PM</v>
      </c>
      <c r="N260" t="str">
        <v>April</v>
      </c>
      <c r="O260" t="str">
        <v>SAT</v>
      </c>
      <c r="P260">
        <v>234.53430800000001</v>
      </c>
      <c r="Q260" t="str">
        <v>DOUBLE</v>
      </c>
    </row>
    <row r="261" spans="10:17" x14ac:dyDescent="0.35">
      <c r="J261">
        <f>IFERROR(IF(J260+1&gt;MAX(HAxisTIPS),"X",J260+1),"X")</f>
        <v>268</v>
      </c>
      <c r="K261">
        <f>IF(J261="X","X",IF(J261=ROUND(TIPS!$B$18,0),MAX(FreqTIPS)+1,0))</f>
        <v>0</v>
      </c>
      <c r="L261">
        <v>45410</v>
      </c>
      <c r="M261" t="str">
        <v>PM</v>
      </c>
      <c r="N261" t="str">
        <v>April</v>
      </c>
      <c r="O261" t="str">
        <v>SUN</v>
      </c>
      <c r="P261">
        <v>309.659424</v>
      </c>
      <c r="Q261" t="str">
        <v>SINGLE</v>
      </c>
    </row>
    <row r="262" spans="10:17" x14ac:dyDescent="0.35">
      <c r="J262">
        <f>IFERROR(IF(J261+1&gt;MAX(HAxisTIPS),"X",J261+1),"X")</f>
        <v>269</v>
      </c>
      <c r="K262">
        <f>IF(J262="X","X",IF(J262=ROUND(TIPS!$B$18,0),MAX(FreqTIPS)+1,0))</f>
        <v>0</v>
      </c>
      <c r="L262">
        <v>45411</v>
      </c>
      <c r="M262" t="str">
        <v>AM</v>
      </c>
      <c r="N262" t="str">
        <v>April</v>
      </c>
      <c r="O262" t="str">
        <v>MON</v>
      </c>
      <c r="P262">
        <v>104.67538</v>
      </c>
      <c r="Q262" t="str">
        <v>DOUBLE</v>
      </c>
    </row>
    <row r="263" spans="10:17" x14ac:dyDescent="0.35">
      <c r="J263">
        <f>IFERROR(IF(J262+1&gt;MAX(HAxisTIPS),"X",J262+1),"X")</f>
        <v>270</v>
      </c>
      <c r="K263">
        <f>IF(J263="X","X",IF(J263=ROUND(TIPS!$B$18,0),MAX(FreqTIPS)+1,0))</f>
        <v>0</v>
      </c>
      <c r="L263">
        <v>45411</v>
      </c>
      <c r="M263" t="str">
        <v>PM</v>
      </c>
      <c r="N263" t="str">
        <v>April</v>
      </c>
      <c r="O263" t="str">
        <v>MON</v>
      </c>
      <c r="P263">
        <v>117.92331999999999</v>
      </c>
      <c r="Q263" t="str">
        <v>DOUBLE</v>
      </c>
    </row>
    <row r="264" spans="10:17" x14ac:dyDescent="0.35">
      <c r="J264">
        <f>IFERROR(IF(J263+1&gt;MAX(HAxisTIPS),"X",J263+1),"X")</f>
        <v>271</v>
      </c>
      <c r="K264">
        <f>IF(J264="X","X",IF(J264=ROUND(TIPS!$B$18,0),MAX(FreqTIPS)+1,0))</f>
        <v>0</v>
      </c>
      <c r="L264">
        <v>45413</v>
      </c>
      <c r="M264" t="str">
        <v>AM</v>
      </c>
      <c r="N264" t="str">
        <v>May</v>
      </c>
      <c r="O264" t="str">
        <v>WED</v>
      </c>
      <c r="P264">
        <v>121.366584</v>
      </c>
      <c r="Q264" t="str">
        <v>DOUBLE</v>
      </c>
    </row>
    <row r="265" spans="10:17" x14ac:dyDescent="0.35">
      <c r="J265">
        <f>IFERROR(IF(J264+1&gt;MAX(HAxisTIPS),"X",J264+1),"X")</f>
        <v>272</v>
      </c>
      <c r="K265">
        <f>IF(J265="X","X",IF(J265=ROUND(TIPS!$B$18,0),MAX(FreqTIPS)+1,0))</f>
        <v>0</v>
      </c>
      <c r="L265">
        <v>45413</v>
      </c>
      <c r="M265" t="str">
        <v>PM</v>
      </c>
      <c r="N265" t="str">
        <v>May</v>
      </c>
      <c r="O265" t="str">
        <v>WED</v>
      </c>
      <c r="P265">
        <v>155.88106400000001</v>
      </c>
      <c r="Q265" t="str">
        <v>DOUBLE</v>
      </c>
    </row>
    <row r="266" spans="10:17" x14ac:dyDescent="0.35">
      <c r="J266">
        <f>IFERROR(IF(J265+1&gt;MAX(HAxisTIPS),"X",J265+1),"X")</f>
        <v>273</v>
      </c>
      <c r="K266">
        <f>IF(J266="X","X",IF(J266=ROUND(TIPS!$B$18,0),MAX(FreqTIPS)+1,0))</f>
        <v>0</v>
      </c>
      <c r="L266">
        <v>45415</v>
      </c>
      <c r="M266" t="str">
        <v>PM</v>
      </c>
      <c r="N266" t="str">
        <v>May</v>
      </c>
      <c r="O266" t="str">
        <v>FRI</v>
      </c>
      <c r="P266">
        <v>262.33873999999997</v>
      </c>
      <c r="Q266" t="str">
        <v>SINGLE</v>
      </c>
    </row>
    <row r="267" spans="10:17" x14ac:dyDescent="0.35">
      <c r="J267">
        <f>IFERROR(IF(J266+1&gt;MAX(HAxisTIPS),"X",J266+1),"X")</f>
        <v>274</v>
      </c>
      <c r="K267">
        <f>IF(J267="X","X",IF(J267=ROUND(TIPS!$B$18,0),MAX(FreqTIPS)+1,0))</f>
        <v>0</v>
      </c>
      <c r="L267">
        <v>45416</v>
      </c>
      <c r="M267" t="str">
        <v>AM</v>
      </c>
      <c r="N267" t="str">
        <v>May</v>
      </c>
      <c r="O267" t="str">
        <v>SAT</v>
      </c>
      <c r="P267">
        <v>194.77481399999999</v>
      </c>
      <c r="Q267" t="str">
        <v>DOUBLE</v>
      </c>
    </row>
    <row r="268" spans="10:17" x14ac:dyDescent="0.35">
      <c r="J268">
        <f>IFERROR(IF(J267+1&gt;MAX(HAxisTIPS),"X",J267+1),"X")</f>
        <v>275</v>
      </c>
      <c r="K268">
        <f>IF(J268="X","X",IF(J268=ROUND(TIPS!$B$18,0),MAX(FreqTIPS)+1,0))</f>
        <v>0</v>
      </c>
      <c r="L268">
        <v>45416</v>
      </c>
      <c r="M268" t="str">
        <v>PM</v>
      </c>
      <c r="N268" t="str">
        <v>May</v>
      </c>
      <c r="O268" t="str">
        <v>SAT</v>
      </c>
      <c r="P268">
        <v>194.77481399999999</v>
      </c>
      <c r="Q268" t="str">
        <v>DOUBLE</v>
      </c>
    </row>
    <row r="269" spans="10:17" x14ac:dyDescent="0.35">
      <c r="J269">
        <f>IFERROR(IF(J268+1&gt;MAX(HAxisTIPS),"X",J268+1),"X")</f>
        <v>276</v>
      </c>
      <c r="K269">
        <f>IF(J269="X","X",IF(J269=ROUND(TIPS!$B$18,0),MAX(FreqTIPS)+1,0))</f>
        <v>0</v>
      </c>
      <c r="L269">
        <v>45417</v>
      </c>
      <c r="M269" t="str">
        <v>PM</v>
      </c>
      <c r="N269" t="str">
        <v>May</v>
      </c>
      <c r="O269" t="str">
        <v>SUN</v>
      </c>
      <c r="P269">
        <v>330.93636000000004</v>
      </c>
      <c r="Q269" t="str">
        <v>SINGLE</v>
      </c>
    </row>
    <row r="270" spans="10:17" x14ac:dyDescent="0.35">
      <c r="J270">
        <f>IFERROR(IF(J269+1&gt;MAX(HAxisTIPS),"X",J269+1),"X")</f>
        <v>277</v>
      </c>
      <c r="K270">
        <f>IF(J270="X","X",IF(J270=ROUND(TIPS!$B$18,0),MAX(FreqTIPS)+1,0))</f>
        <v>0</v>
      </c>
      <c r="L270">
        <v>45418</v>
      </c>
      <c r="M270" t="str">
        <v>PM</v>
      </c>
      <c r="N270" t="str">
        <v>May</v>
      </c>
      <c r="O270" t="str">
        <v>MON</v>
      </c>
      <c r="P270">
        <v>219.89998</v>
      </c>
      <c r="Q270" t="str">
        <v>SINGLE</v>
      </c>
    </row>
    <row r="271" spans="10:17" x14ac:dyDescent="0.35">
      <c r="J271">
        <f>IFERROR(IF(J270+1&gt;MAX(HAxisTIPS),"X",J270+1),"X")</f>
        <v>278</v>
      </c>
      <c r="K271">
        <f>IF(J271="X","X",IF(J271=ROUND(TIPS!$B$18,0),MAX(FreqTIPS)+1,0))</f>
        <v>0</v>
      </c>
      <c r="L271">
        <v>45422</v>
      </c>
      <c r="M271" t="str">
        <v>PM</v>
      </c>
      <c r="N271" t="str">
        <v>May</v>
      </c>
      <c r="O271" t="str">
        <v>FRI</v>
      </c>
      <c r="P271">
        <v>220.57392000000004</v>
      </c>
      <c r="Q271" t="str">
        <v>SINGLE</v>
      </c>
    </row>
    <row r="272" spans="10:17" x14ac:dyDescent="0.35">
      <c r="J272">
        <f>IFERROR(IF(J271+1&gt;MAX(HAxisTIPS),"X",J271+1),"X")</f>
        <v>279</v>
      </c>
      <c r="K272">
        <f>IF(J272="X","X",IF(J272=ROUND(TIPS!$B$18,0),MAX(FreqTIPS)+1,0))</f>
        <v>0</v>
      </c>
      <c r="L272">
        <v>45423</v>
      </c>
      <c r="M272" t="str">
        <v>AM</v>
      </c>
      <c r="N272" t="str">
        <v>May</v>
      </c>
      <c r="O272" t="str">
        <v>SAT</v>
      </c>
      <c r="P272">
        <v>180.02605600000001</v>
      </c>
      <c r="Q272" t="str">
        <v>DOUBLE</v>
      </c>
    </row>
    <row r="273" spans="10:17" x14ac:dyDescent="0.35">
      <c r="J273">
        <f>IFERROR(IF(J272+1&gt;MAX(HAxisTIPS),"X",J272+1),"X")</f>
        <v>280</v>
      </c>
      <c r="K273">
        <f>IF(J273="X","X",IF(J273=ROUND(TIPS!$B$18,0),MAX(FreqTIPS)+1,0))</f>
        <v>0</v>
      </c>
      <c r="L273">
        <v>45423</v>
      </c>
      <c r="M273" t="str">
        <v>PM</v>
      </c>
      <c r="N273" t="str">
        <v>May</v>
      </c>
      <c r="O273" t="str">
        <v>SAT</v>
      </c>
      <c r="P273">
        <v>180.02605600000001</v>
      </c>
      <c r="Q273" t="str">
        <v>DOUBLE</v>
      </c>
    </row>
    <row r="274" spans="10:17" x14ac:dyDescent="0.35">
      <c r="J274">
        <f>IFERROR(IF(J273+1&gt;MAX(HAxisTIPS),"X",J273+1),"X")</f>
        <v>281</v>
      </c>
      <c r="K274">
        <f>IF(J274="X","X",IF(J274=ROUND(TIPS!$B$18,0),MAX(FreqTIPS)+1,0))</f>
        <v>0</v>
      </c>
      <c r="L274">
        <v>45425</v>
      </c>
      <c r="M274" t="str">
        <v>AM</v>
      </c>
      <c r="N274" t="str">
        <v>May</v>
      </c>
      <c r="O274" t="str">
        <v>MON</v>
      </c>
      <c r="P274">
        <v>74.6875</v>
      </c>
      <c r="Q274" t="str">
        <v>SINGLE</v>
      </c>
    </row>
    <row r="275" spans="10:17" x14ac:dyDescent="0.35">
      <c r="J275">
        <f>IFERROR(IF(J274+1&gt;MAX(HAxisTIPS),"X",J274+1),"X")</f>
        <v>282</v>
      </c>
      <c r="K275">
        <f>IF(J275="X","X",IF(J275=ROUND(TIPS!$B$18,0),MAX(FreqTIPS)+1,0))</f>
        <v>0</v>
      </c>
      <c r="L275">
        <v>45427</v>
      </c>
      <c r="M275" t="str">
        <v>PM</v>
      </c>
      <c r="N275" t="str">
        <v>May</v>
      </c>
      <c r="O275" t="str">
        <v>WED</v>
      </c>
      <c r="P275">
        <v>151.49395200000001</v>
      </c>
      <c r="Q275" t="str">
        <v>SINGLE</v>
      </c>
    </row>
    <row r="276" spans="10:17" x14ac:dyDescent="0.35">
      <c r="J276">
        <f>IFERROR(IF(J275+1&gt;MAX(HAxisTIPS),"X",J275+1),"X")</f>
        <v>283</v>
      </c>
      <c r="K276">
        <f>IF(J276="X","X",IF(J276=ROUND(TIPS!$B$18,0),MAX(FreqTIPS)+1,0))</f>
        <v>0</v>
      </c>
      <c r="L276">
        <v>45430</v>
      </c>
      <c r="M276" t="str">
        <v>AM</v>
      </c>
      <c r="N276" t="str">
        <v>May</v>
      </c>
      <c r="O276" t="str">
        <v>SAT</v>
      </c>
      <c r="P276">
        <v>165.25896399999999</v>
      </c>
      <c r="Q276" t="str">
        <v>DOUBLE</v>
      </c>
    </row>
    <row r="277" spans="10:17" x14ac:dyDescent="0.35">
      <c r="J277">
        <f>IFERROR(IF(J276+1&gt;MAX(HAxisTIPS),"X",J276+1),"X")</f>
        <v>284</v>
      </c>
      <c r="K277">
        <f>IF(J277="X","X",IF(J277=ROUND(TIPS!$B$18,0),MAX(FreqTIPS)+1,0))</f>
        <v>0</v>
      </c>
      <c r="L277">
        <v>45430</v>
      </c>
      <c r="M277" t="str">
        <v>PM</v>
      </c>
      <c r="N277" t="str">
        <v>May</v>
      </c>
      <c r="O277" t="str">
        <v>SAT</v>
      </c>
      <c r="P277">
        <v>280.04757199999995</v>
      </c>
      <c r="Q277" t="str">
        <v>DOUBLE</v>
      </c>
    </row>
    <row r="278" spans="10:17" x14ac:dyDescent="0.35">
      <c r="J278">
        <f>IFERROR(IF(J277+1&gt;MAX(HAxisTIPS),"X",J277+1),"X")</f>
        <v>285</v>
      </c>
      <c r="K278">
        <f>IF(J278="X","X",IF(J278=ROUND(TIPS!$B$18,0),MAX(FreqTIPS)+1,0))</f>
        <v>0</v>
      </c>
      <c r="L278">
        <v>45431</v>
      </c>
      <c r="M278" t="str">
        <v>AM</v>
      </c>
      <c r="N278" t="str">
        <v>May</v>
      </c>
      <c r="O278" t="str">
        <v>SUN</v>
      </c>
      <c r="P278">
        <v>103.512664</v>
      </c>
      <c r="Q278" t="str">
        <v>DOUBLE</v>
      </c>
    </row>
    <row r="279" spans="10:17" x14ac:dyDescent="0.35">
      <c r="J279">
        <f>IFERROR(IF(J278+1&gt;MAX(HAxisTIPS),"X",J278+1),"X")</f>
        <v>286</v>
      </c>
      <c r="K279">
        <f>IF(J279="X","X",IF(J279=ROUND(TIPS!$B$18,0),MAX(FreqTIPS)+1,0))</f>
        <v>0</v>
      </c>
      <c r="L279">
        <v>45431</v>
      </c>
      <c r="M279" t="str">
        <v>PM</v>
      </c>
      <c r="N279" t="str">
        <v>May</v>
      </c>
      <c r="O279" t="str">
        <v>SUN</v>
      </c>
      <c r="P279">
        <v>213.52000400000003</v>
      </c>
      <c r="Q279" t="str">
        <v>DOUBLE</v>
      </c>
    </row>
    <row r="280" spans="10:17" x14ac:dyDescent="0.35">
      <c r="J280">
        <f>IFERROR(IF(J279+1&gt;MAX(HAxisTIPS),"X",J279+1),"X")</f>
        <v>287</v>
      </c>
      <c r="K280">
        <f>IF(J280="X","X",IF(J280=ROUND(TIPS!$B$18,0),MAX(FreqTIPS)+1,0))</f>
        <v>0</v>
      </c>
      <c r="L280">
        <v>45432</v>
      </c>
      <c r="M280" t="str">
        <v>PM</v>
      </c>
      <c r="N280" t="str">
        <v>May</v>
      </c>
      <c r="O280" t="str">
        <v>MON</v>
      </c>
      <c r="P280">
        <v>132.661508</v>
      </c>
      <c r="Q280" t="str">
        <v>SINGLE</v>
      </c>
    </row>
    <row r="281" spans="10:17" x14ac:dyDescent="0.35">
      <c r="J281">
        <f>IFERROR(IF(J280+1&gt;MAX(HAxisTIPS),"X",J280+1),"X")</f>
        <v>288</v>
      </c>
      <c r="K281">
        <f>IF(J281="X","X",IF(J281=ROUND(TIPS!$B$18,0),MAX(FreqTIPS)+1,0))</f>
        <v>0</v>
      </c>
      <c r="L281">
        <v>45434</v>
      </c>
      <c r="M281" t="str">
        <v>PM</v>
      </c>
      <c r="N281" t="str">
        <v>May</v>
      </c>
      <c r="O281" t="str">
        <v>WED</v>
      </c>
      <c r="P281">
        <v>236.30309999999997</v>
      </c>
      <c r="Q281" t="str">
        <v>SINGLE</v>
      </c>
    </row>
    <row r="282" spans="10:17" x14ac:dyDescent="0.35">
      <c r="J282">
        <f>IFERROR(IF(J281+1&gt;MAX(HAxisTIPS),"X",J281+1),"X")</f>
        <v>289</v>
      </c>
      <c r="K282">
        <f>IF(J282="X","X",IF(J282=ROUND(TIPS!$B$18,0),MAX(FreqTIPS)+1,0))</f>
        <v>0</v>
      </c>
      <c r="L282">
        <v>45435</v>
      </c>
      <c r="M282" t="str">
        <v>PM</v>
      </c>
      <c r="N282" t="str">
        <v>May</v>
      </c>
      <c r="O282" t="str">
        <v>THU</v>
      </c>
      <c r="P282">
        <v>210.908976</v>
      </c>
      <c r="Q282" t="str">
        <v>SINGLE</v>
      </c>
    </row>
    <row r="283" spans="10:17" x14ac:dyDescent="0.35">
      <c r="J283">
        <f>IFERROR(IF(J282+1&gt;MAX(HAxisTIPS),"X",J282+1),"X")</f>
        <v>290</v>
      </c>
      <c r="K283">
        <f>IF(J283="X","X",IF(J283=ROUND(TIPS!$B$18,0),MAX(FreqTIPS)+1,0))</f>
        <v>0</v>
      </c>
      <c r="L283">
        <v>45436</v>
      </c>
      <c r="M283" t="str">
        <v>AM</v>
      </c>
      <c r="N283" t="str">
        <v>May</v>
      </c>
      <c r="O283" t="str">
        <v>FRI</v>
      </c>
      <c r="P283">
        <v>92.010459999999995</v>
      </c>
      <c r="Q283" t="str">
        <v>DOUBLE</v>
      </c>
    </row>
    <row r="284" spans="10:17" x14ac:dyDescent="0.35">
      <c r="J284">
        <f>IFERROR(IF(J283+1&gt;MAX(HAxisTIPS),"X",J283+1),"X")</f>
        <v>291</v>
      </c>
      <c r="K284">
        <f>IF(J284="X","X",IF(J284=ROUND(TIPS!$B$18,0),MAX(FreqTIPS)+1,0))</f>
        <v>0</v>
      </c>
      <c r="L284">
        <v>45436</v>
      </c>
      <c r="M284" t="str">
        <v>PM</v>
      </c>
      <c r="N284" t="str">
        <v>May</v>
      </c>
      <c r="O284" t="str">
        <v>FRI</v>
      </c>
      <c r="P284">
        <v>223.43648400000001</v>
      </c>
      <c r="Q284" t="str">
        <v>DOUBLE</v>
      </c>
    </row>
    <row r="285" spans="10:17" x14ac:dyDescent="0.35">
      <c r="J285">
        <f>IFERROR(IF(J284+1&gt;MAX(HAxisTIPS),"X",J284+1),"X")</f>
        <v>292</v>
      </c>
      <c r="K285">
        <f>IF(J285="X","X",IF(J285=ROUND(TIPS!$B$18,0),MAX(FreqTIPS)+1,0))</f>
        <v>0</v>
      </c>
      <c r="L285">
        <v>45437</v>
      </c>
      <c r="M285" t="str">
        <v>AM</v>
      </c>
      <c r="N285" t="str">
        <v>May</v>
      </c>
      <c r="O285" t="str">
        <v>SAT</v>
      </c>
      <c r="P285">
        <v>138.638608</v>
      </c>
      <c r="Q285" t="str">
        <v>DOUBLE</v>
      </c>
    </row>
    <row r="286" spans="10:17" x14ac:dyDescent="0.35">
      <c r="J286">
        <f>IFERROR(IF(J285+1&gt;MAX(HAxisTIPS),"X",J285+1),"X")</f>
        <v>293</v>
      </c>
      <c r="K286">
        <f>IF(J286="X","X",IF(J286=ROUND(TIPS!$B$18,0),MAX(FreqTIPS)+1,0))</f>
        <v>0</v>
      </c>
      <c r="L286">
        <v>45437</v>
      </c>
      <c r="M286" t="str">
        <v>PM</v>
      </c>
      <c r="N286" t="str">
        <v>May</v>
      </c>
      <c r="O286" t="str">
        <v>SAT</v>
      </c>
      <c r="P286">
        <v>138.638608</v>
      </c>
      <c r="Q286" t="str">
        <v>DOUBLE</v>
      </c>
    </row>
    <row r="287" spans="10:17" x14ac:dyDescent="0.35">
      <c r="J287">
        <f>IFERROR(IF(J286+1&gt;MAX(HAxisTIPS),"X",J286+1),"X")</f>
        <v>294</v>
      </c>
      <c r="K287">
        <f>IF(J287="X","X",IF(J287=ROUND(TIPS!$B$18,0),MAX(FreqTIPS)+1,0))</f>
        <v>0</v>
      </c>
      <c r="L287">
        <v>45438</v>
      </c>
      <c r="M287" t="str">
        <v>AM</v>
      </c>
      <c r="N287" t="str">
        <v>May</v>
      </c>
      <c r="O287" t="str">
        <v>SUN</v>
      </c>
      <c r="P287">
        <v>110.51574399999998</v>
      </c>
      <c r="Q287" t="str">
        <v>SINGLE</v>
      </c>
    </row>
    <row r="288" spans="10:17" x14ac:dyDescent="0.35">
      <c r="J288">
        <f>IFERROR(IF(J287+1&gt;MAX(HAxisTIPS),"X",J287+1),"X")</f>
        <v>295</v>
      </c>
      <c r="K288">
        <f>IF(J288="X","X",IF(J288=ROUND(TIPS!$B$18,0),MAX(FreqTIPS)+1,0))</f>
        <v>0</v>
      </c>
      <c r="L288">
        <v>45444</v>
      </c>
      <c r="M288" t="str">
        <v>AM</v>
      </c>
      <c r="N288" t="str">
        <v>June</v>
      </c>
      <c r="O288" t="str">
        <v>SAT</v>
      </c>
      <c r="P288">
        <v>158.522908</v>
      </c>
      <c r="Q288" t="str">
        <v>SINGLE</v>
      </c>
    </row>
    <row r="289" spans="10:17" x14ac:dyDescent="0.35">
      <c r="J289">
        <f>IFERROR(IF(J288+1&gt;MAX(HAxisTIPS),"X",J288+1),"X")</f>
        <v>296</v>
      </c>
      <c r="K289">
        <f>IF(J289="X","X",IF(J289=ROUND(TIPS!$B$18,0),MAX(FreqTIPS)+1,0))</f>
        <v>0</v>
      </c>
      <c r="L289">
        <v>45445</v>
      </c>
      <c r="M289" t="str">
        <v>AM</v>
      </c>
      <c r="N289" t="str">
        <v>June</v>
      </c>
      <c r="O289" t="str">
        <v>SUN</v>
      </c>
      <c r="P289">
        <v>132.892088</v>
      </c>
      <c r="Q289" t="str">
        <v>SINGLE</v>
      </c>
    </row>
    <row r="290" spans="10:17" x14ac:dyDescent="0.35">
      <c r="J290">
        <f>IFERROR(IF(J289+1&gt;MAX(HAxisTIPS),"X",J289+1),"X")</f>
        <v>297</v>
      </c>
      <c r="K290">
        <f>IF(J290="X","X",IF(J290=ROUND(TIPS!$B$18,0),MAX(FreqTIPS)+1,0))</f>
        <v>0</v>
      </c>
      <c r="L290">
        <v>45446</v>
      </c>
      <c r="M290" t="str">
        <v>PM</v>
      </c>
      <c r="N290" t="str">
        <v>June</v>
      </c>
      <c r="O290" t="str">
        <v>MON</v>
      </c>
      <c r="P290">
        <v>99.568080000000009</v>
      </c>
      <c r="Q290" t="str">
        <v>SINGLE</v>
      </c>
    </row>
    <row r="291" spans="10:17" x14ac:dyDescent="0.35">
      <c r="J291">
        <f>IFERROR(IF(J290+1&gt;MAX(HAxisTIPS),"X",J290+1),"X")</f>
        <v>298</v>
      </c>
      <c r="K291">
        <f>IF(J291="X","X",IF(J291=ROUND(TIPS!$B$18,0),MAX(FreqTIPS)+1,0))</f>
        <v>0</v>
      </c>
      <c r="L291">
        <v>45448</v>
      </c>
      <c r="M291" t="str">
        <v>PM</v>
      </c>
      <c r="N291" t="str">
        <v>June</v>
      </c>
      <c r="O291" t="str">
        <v>WED</v>
      </c>
      <c r="P291">
        <v>179.55335600000001</v>
      </c>
      <c r="Q291" t="str">
        <v>SINGLE</v>
      </c>
    </row>
    <row r="292" spans="10:17" x14ac:dyDescent="0.35">
      <c r="J292">
        <f>IFERROR(IF(J291+1&gt;MAX(HAxisTIPS),"X",J291+1),"X")</f>
        <v>299</v>
      </c>
      <c r="K292">
        <f>IF(J292="X","X",IF(J292=ROUND(TIPS!$B$18,0),MAX(FreqTIPS)+1,0))</f>
        <v>0</v>
      </c>
      <c r="L292">
        <v>45449</v>
      </c>
      <c r="M292" t="str">
        <v>PM</v>
      </c>
      <c r="N292" t="str">
        <v>June</v>
      </c>
      <c r="O292" t="str">
        <v>THU</v>
      </c>
      <c r="P292">
        <v>211.11614399999999</v>
      </c>
      <c r="Q292" t="str">
        <v>SINGLE</v>
      </c>
    </row>
    <row r="293" spans="10:17" x14ac:dyDescent="0.35">
      <c r="J293">
        <f>IFERROR(IF(J292+1&gt;MAX(HAxisTIPS),"X",J292+1),"X")</f>
        <v>300</v>
      </c>
      <c r="K293">
        <f>IF(J293="X","X",IF(J293=ROUND(TIPS!$B$18,0),MAX(FreqTIPS)+1,0))</f>
        <v>0</v>
      </c>
      <c r="L293">
        <v>45451</v>
      </c>
      <c r="M293" t="str">
        <v>AM</v>
      </c>
      <c r="N293" t="str">
        <v>June</v>
      </c>
      <c r="O293" t="str">
        <v>SAT</v>
      </c>
      <c r="P293">
        <v>222.51209999999998</v>
      </c>
      <c r="Q293" t="str">
        <v>DOUBLE</v>
      </c>
    </row>
    <row r="294" spans="10:17" x14ac:dyDescent="0.35">
      <c r="J294">
        <f>IFERROR(IF(J293+1&gt;MAX(HAxisTIPS),"X",J293+1),"X")</f>
        <v>301</v>
      </c>
      <c r="K294">
        <f>IF(J294="X","X",IF(J294=ROUND(TIPS!$B$18,0),MAX(FreqTIPS)+1,0))</f>
        <v>0</v>
      </c>
      <c r="L294">
        <v>45451</v>
      </c>
      <c r="M294" t="str">
        <v>PM</v>
      </c>
      <c r="N294" t="str">
        <v>June</v>
      </c>
      <c r="O294" t="str">
        <v>SAT</v>
      </c>
      <c r="P294">
        <v>237.050104</v>
      </c>
      <c r="Q294" t="str">
        <v>DOUBLE</v>
      </c>
    </row>
    <row r="295" spans="10:17" x14ac:dyDescent="0.35">
      <c r="J295">
        <f>IFERROR(IF(J294+1&gt;MAX(HAxisTIPS),"X",J294+1),"X")</f>
        <v>302</v>
      </c>
      <c r="K295">
        <f>IF(J295="X","X",IF(J295=ROUND(TIPS!$B$18,0),MAX(FreqTIPS)+1,0))</f>
        <v>0</v>
      </c>
      <c r="L295">
        <v>45452</v>
      </c>
      <c r="M295" t="str">
        <v>AM</v>
      </c>
      <c r="N295" t="str">
        <v>June</v>
      </c>
      <c r="O295" t="str">
        <v>SUN</v>
      </c>
      <c r="P295">
        <v>111.141576</v>
      </c>
      <c r="Q295" t="str">
        <v>DOUBLE</v>
      </c>
    </row>
    <row r="296" spans="10:17" x14ac:dyDescent="0.35">
      <c r="J296">
        <f>IFERROR(IF(J295+1&gt;MAX(HAxisTIPS),"X",J295+1),"X")</f>
        <v>303</v>
      </c>
      <c r="K296">
        <f>IF(J296="X","X",IF(J296=ROUND(TIPS!$B$18,0),MAX(FreqTIPS)+1,0))</f>
        <v>0</v>
      </c>
      <c r="L296">
        <v>45452</v>
      </c>
      <c r="M296" t="str">
        <v>PM</v>
      </c>
      <c r="N296" t="str">
        <v>June</v>
      </c>
      <c r="O296" t="str">
        <v>SUN</v>
      </c>
      <c r="P296">
        <v>111.141576</v>
      </c>
      <c r="Q296" t="str">
        <v>DOUBLE</v>
      </c>
    </row>
    <row r="297" spans="10:17" x14ac:dyDescent="0.35">
      <c r="J297">
        <f>IFERROR(IF(J296+1&gt;MAX(HAxisTIPS),"X",J296+1),"X")</f>
        <v>304</v>
      </c>
      <c r="K297">
        <f>IF(J297="X","X",IF(J297=ROUND(TIPS!$B$18,0),MAX(FreqTIPS)+1,0))</f>
        <v>0</v>
      </c>
    </row>
    <row r="298" spans="10:17" x14ac:dyDescent="0.35">
      <c r="J298">
        <f>IFERROR(IF(J297+1&gt;MAX(HAxisTIPS),"X",J297+1),"X")</f>
        <v>305</v>
      </c>
      <c r="K298">
        <f>IF(J298="X","X",IF(J298=ROUND(TIPS!$B$18,0),MAX(FreqTIPS)+1,0))</f>
        <v>0</v>
      </c>
    </row>
    <row r="299" spans="10:17" x14ac:dyDescent="0.35">
      <c r="J299">
        <f>IFERROR(IF(J298+1&gt;MAX(HAxisTIPS),"X",J298+1),"X")</f>
        <v>306</v>
      </c>
      <c r="K299">
        <f>IF(J299="X","X",IF(J299=ROUND(TIPS!$B$18,0),MAX(FreqTIPS)+1,0))</f>
        <v>0</v>
      </c>
    </row>
    <row r="300" spans="10:17" x14ac:dyDescent="0.35">
      <c r="J300">
        <f>IFERROR(IF(J299+1&gt;MAX(HAxisTIPS),"X",J299+1),"X")</f>
        <v>307</v>
      </c>
      <c r="K300">
        <f>IF(J300="X","X",IF(J300=ROUND(TIPS!$B$18,0),MAX(FreqTIPS)+1,0))</f>
        <v>0</v>
      </c>
    </row>
    <row r="301" spans="10:17" x14ac:dyDescent="0.35">
      <c r="J301">
        <f>IFERROR(IF(J300+1&gt;MAX(HAxisTIPS),"X",J300+1),"X")</f>
        <v>308</v>
      </c>
      <c r="K301">
        <f>IF(J301="X","X",IF(J301=ROUND(TIPS!$B$18,0),MAX(FreqTIPS)+1,0))</f>
        <v>0</v>
      </c>
    </row>
    <row r="302" spans="10:17" x14ac:dyDescent="0.35">
      <c r="J302">
        <f>IFERROR(IF(J301+1&gt;MAX(HAxisTIPS),"X",J301+1),"X")</f>
        <v>309</v>
      </c>
      <c r="K302">
        <f>IF(J302="X","X",IF(J302=ROUND(TIPS!$B$18,0),MAX(FreqTIPS)+1,0))</f>
        <v>0</v>
      </c>
    </row>
    <row r="303" spans="10:17" x14ac:dyDescent="0.35">
      <c r="J303">
        <f>IFERROR(IF(J302+1&gt;MAX(HAxisTIPS),"X",J302+1),"X")</f>
        <v>310</v>
      </c>
      <c r="K303">
        <f>IF(J303="X","X",IF(J303=ROUND(TIPS!$B$18,0),MAX(FreqTIPS)+1,0))</f>
        <v>0</v>
      </c>
    </row>
    <row r="304" spans="10:17" x14ac:dyDescent="0.35">
      <c r="J304">
        <f>IFERROR(IF(J303+1&gt;MAX(HAxisTIPS),"X",J303+1),"X")</f>
        <v>311</v>
      </c>
      <c r="K304">
        <f>IF(J304="X","X",IF(J304=ROUND(TIPS!$B$18,0),MAX(FreqTIPS)+1,0))</f>
        <v>0</v>
      </c>
    </row>
    <row r="305" spans="10:11" x14ac:dyDescent="0.35">
      <c r="J305">
        <f>IFERROR(IF(J304+1&gt;MAX(HAxisTIPS),"X",J304+1),"X")</f>
        <v>312</v>
      </c>
      <c r="K305">
        <f>IF(J305="X","X",IF(J305=ROUND(TIPS!$B$18,0),MAX(FreqTIPS)+1,0))</f>
        <v>0</v>
      </c>
    </row>
    <row r="306" spans="10:11" x14ac:dyDescent="0.35">
      <c r="J306">
        <f>IFERROR(IF(J305+1&gt;MAX(HAxisTIPS),"X",J305+1),"X")</f>
        <v>313</v>
      </c>
      <c r="K306">
        <f>IF(J306="X","X",IF(J306=ROUND(TIPS!$B$18,0),MAX(FreqTIPS)+1,0))</f>
        <v>0</v>
      </c>
    </row>
    <row r="307" spans="10:11" x14ac:dyDescent="0.35">
      <c r="J307">
        <f>IFERROR(IF(J306+1&gt;MAX(HAxisTIPS),"X",J306+1),"X")</f>
        <v>314</v>
      </c>
      <c r="K307">
        <f>IF(J307="X","X",IF(J307=ROUND(TIPS!$B$18,0),MAX(FreqTIPS)+1,0))</f>
        <v>0</v>
      </c>
    </row>
    <row r="308" spans="10:11" x14ac:dyDescent="0.35">
      <c r="J308">
        <f>IFERROR(IF(J307+1&gt;MAX(HAxisTIPS),"X",J307+1),"X")</f>
        <v>315</v>
      </c>
      <c r="K308">
        <f>IF(J308="X","X",IF(J308=ROUND(TIPS!$B$18,0),MAX(FreqTIPS)+1,0))</f>
        <v>0</v>
      </c>
    </row>
    <row r="309" spans="10:11" x14ac:dyDescent="0.35">
      <c r="J309">
        <f>IFERROR(IF(J308+1&gt;MAX(HAxisTIPS),"X",J308+1),"X")</f>
        <v>316</v>
      </c>
      <c r="K309">
        <f>IF(J309="X","X",IF(J309=ROUND(TIPS!$B$18,0),MAX(FreqTIPS)+1,0))</f>
        <v>0</v>
      </c>
    </row>
    <row r="310" spans="10:11" x14ac:dyDescent="0.35">
      <c r="J310">
        <f>IFERROR(IF(J309+1&gt;MAX(HAxisTIPS),"X",J309+1),"X")</f>
        <v>317</v>
      </c>
      <c r="K310">
        <f>IF(J310="X","X",IF(J310=ROUND(TIPS!$B$18,0),MAX(FreqTIPS)+1,0))</f>
        <v>0</v>
      </c>
    </row>
    <row r="311" spans="10:11" x14ac:dyDescent="0.35">
      <c r="J311">
        <f>IFERROR(IF(J310+1&gt;MAX(HAxisTIPS),"X",J310+1),"X")</f>
        <v>318</v>
      </c>
      <c r="K311">
        <f>IF(J311="X","X",IF(J311=ROUND(TIPS!$B$18,0),MAX(FreqTIPS)+1,0))</f>
        <v>0</v>
      </c>
    </row>
    <row r="312" spans="10:11" x14ac:dyDescent="0.35">
      <c r="J312">
        <f>IFERROR(IF(J311+1&gt;MAX(HAxisTIPS),"X",J311+1),"X")</f>
        <v>319</v>
      </c>
      <c r="K312">
        <f>IF(J312="X","X",IF(J312=ROUND(TIPS!$B$18,0),MAX(FreqTIPS)+1,0))</f>
        <v>0</v>
      </c>
    </row>
    <row r="313" spans="10:11" x14ac:dyDescent="0.35">
      <c r="J313">
        <f>IFERROR(IF(J312+1&gt;MAX(HAxisTIPS),"X",J312+1),"X")</f>
        <v>320</v>
      </c>
      <c r="K313">
        <f>IF(J313="X","X",IF(J313=ROUND(TIPS!$B$18,0),MAX(FreqTIPS)+1,0))</f>
        <v>0</v>
      </c>
    </row>
    <row r="314" spans="10:11" x14ac:dyDescent="0.35">
      <c r="J314">
        <f>IFERROR(IF(J313+1&gt;MAX(HAxisTIPS),"X",J313+1),"X")</f>
        <v>321</v>
      </c>
      <c r="K314">
        <f>IF(J314="X","X",IF(J314=ROUND(TIPS!$B$18,0),MAX(FreqTIPS)+1,0))</f>
        <v>0</v>
      </c>
    </row>
    <row r="315" spans="10:11" x14ac:dyDescent="0.35">
      <c r="J315">
        <f>IFERROR(IF(J314+1&gt;MAX(HAxisTIPS),"X",J314+1),"X")</f>
        <v>322</v>
      </c>
      <c r="K315">
        <f>IF(J315="X","X",IF(J315=ROUND(TIPS!$B$18,0),MAX(FreqTIPS)+1,0))</f>
        <v>0</v>
      </c>
    </row>
    <row r="316" spans="10:11" x14ac:dyDescent="0.35">
      <c r="J316">
        <f>IFERROR(IF(J315+1&gt;MAX(HAxisTIPS),"X",J315+1),"X")</f>
        <v>323</v>
      </c>
      <c r="K316">
        <f>IF(J316="X","X",IF(J316=ROUND(TIPS!$B$18,0),MAX(FreqTIPS)+1,0))</f>
        <v>0</v>
      </c>
    </row>
    <row r="317" spans="10:11" x14ac:dyDescent="0.35">
      <c r="J317">
        <f>IFERROR(IF(J316+1&gt;MAX(HAxisTIPS),"X",J316+1),"X")</f>
        <v>324</v>
      </c>
      <c r="K317">
        <f>IF(J317="X","X",IF(J317=ROUND(TIPS!$B$18,0),MAX(FreqTIPS)+1,0))</f>
        <v>0</v>
      </c>
    </row>
    <row r="318" spans="10:11" x14ac:dyDescent="0.35">
      <c r="J318">
        <f>IFERROR(IF(J317+1&gt;MAX(HAxisTIPS),"X",J317+1),"X")</f>
        <v>325</v>
      </c>
      <c r="K318">
        <f>IF(J318="X","X",IF(J318=ROUND(TIPS!$B$18,0),MAX(FreqTIPS)+1,0))</f>
        <v>0</v>
      </c>
    </row>
    <row r="319" spans="10:11" x14ac:dyDescent="0.35">
      <c r="J319">
        <f>IFERROR(IF(J318+1&gt;MAX(HAxisTIPS),"X",J318+1),"X")</f>
        <v>326</v>
      </c>
      <c r="K319">
        <f>IF(J319="X","X",IF(J319=ROUND(TIPS!$B$18,0),MAX(FreqTIPS)+1,0))</f>
        <v>0</v>
      </c>
    </row>
    <row r="320" spans="10:11" x14ac:dyDescent="0.35">
      <c r="J320">
        <f>IFERROR(IF(J319+1&gt;MAX(HAxisTIPS),"X",J319+1),"X")</f>
        <v>327</v>
      </c>
      <c r="K320">
        <f>IF(J320="X","X",IF(J320=ROUND(TIPS!$B$18,0),MAX(FreqTIPS)+1,0))</f>
        <v>0</v>
      </c>
    </row>
    <row r="321" spans="10:11" x14ac:dyDescent="0.35">
      <c r="J321">
        <f>IFERROR(IF(J320+1&gt;MAX(HAxisTIPS),"X",J320+1),"X")</f>
        <v>328</v>
      </c>
      <c r="K321">
        <f>IF(J321="X","X",IF(J321=ROUND(TIPS!$B$18,0),MAX(FreqTIPS)+1,0))</f>
        <v>0</v>
      </c>
    </row>
    <row r="322" spans="10:11" x14ac:dyDescent="0.35">
      <c r="J322">
        <f>IFERROR(IF(J321+1&gt;MAX(HAxisTIPS),"X",J321+1),"X")</f>
        <v>329</v>
      </c>
      <c r="K322">
        <f>IF(J322="X","X",IF(J322=ROUND(TIPS!$B$18,0),MAX(FreqTIPS)+1,0))</f>
        <v>0</v>
      </c>
    </row>
    <row r="323" spans="10:11" x14ac:dyDescent="0.35">
      <c r="J323">
        <f>IFERROR(IF(J322+1&gt;MAX(HAxisTIPS),"X",J322+1),"X")</f>
        <v>330</v>
      </c>
      <c r="K323">
        <f>IF(J323="X","X",IF(J323=ROUND(TIPS!$B$18,0),MAX(FreqTIPS)+1,0))</f>
        <v>0</v>
      </c>
    </row>
    <row r="324" spans="10:11" x14ac:dyDescent="0.35">
      <c r="J324">
        <f>IFERROR(IF(J323+1&gt;MAX(HAxisTIPS),"X",J323+1),"X")</f>
        <v>331</v>
      </c>
      <c r="K324">
        <f>IF(J324="X","X",IF(J324=ROUND(TIPS!$B$18,0),MAX(FreqTIPS)+1,0))</f>
        <v>0</v>
      </c>
    </row>
    <row r="325" spans="10:11" x14ac:dyDescent="0.35">
      <c r="J325">
        <f>IFERROR(IF(J324+1&gt;MAX(HAxisTIPS),"X",J324+1),"X")</f>
        <v>332</v>
      </c>
      <c r="K325">
        <f>IF(J325="X","X",IF(J325=ROUND(TIPS!$B$18,0),MAX(FreqTIPS)+1,0))</f>
        <v>0</v>
      </c>
    </row>
    <row r="326" spans="10:11" x14ac:dyDescent="0.35">
      <c r="J326">
        <f>IFERROR(IF(J325+1&gt;MAX(HAxisTIPS),"X",J325+1),"X")</f>
        <v>333</v>
      </c>
      <c r="K326">
        <f>IF(J326="X","X",IF(J326=ROUND(TIPS!$B$18,0),MAX(FreqTIPS)+1,0))</f>
        <v>0</v>
      </c>
    </row>
    <row r="327" spans="10:11" x14ac:dyDescent="0.35">
      <c r="J327">
        <f>IFERROR(IF(J326+1&gt;MAX(HAxisTIPS),"X",J326+1),"X")</f>
        <v>334</v>
      </c>
      <c r="K327">
        <f>IF(J327="X","X",IF(J327=ROUND(TIPS!$B$18,0),MAX(FreqTIPS)+1,0))</f>
        <v>0</v>
      </c>
    </row>
    <row r="328" spans="10:11" x14ac:dyDescent="0.35">
      <c r="J328">
        <f>IFERROR(IF(J327+1&gt;MAX(HAxisTIPS),"X",J327+1),"X")</f>
        <v>335</v>
      </c>
      <c r="K328">
        <f>IF(J328="X","X",IF(J328=ROUND(TIPS!$B$18,0),MAX(FreqTIPS)+1,0))</f>
        <v>0</v>
      </c>
    </row>
    <row r="329" spans="10:11" x14ac:dyDescent="0.35">
      <c r="J329">
        <f>IFERROR(IF(J328+1&gt;MAX(HAxisTIPS),"X",J328+1),"X")</f>
        <v>336</v>
      </c>
      <c r="K329">
        <f>IF(J329="X","X",IF(J329=ROUND(TIPS!$B$18,0),MAX(FreqTIPS)+1,0))</f>
        <v>0</v>
      </c>
    </row>
    <row r="330" spans="10:11" x14ac:dyDescent="0.35">
      <c r="J330">
        <f>IFERROR(IF(J329+1&gt;MAX(HAxisTIPS),"X",J329+1),"X")</f>
        <v>337</v>
      </c>
      <c r="K330">
        <f>IF(J330="X","X",IF(J330=ROUND(TIPS!$B$18,0),MAX(FreqTIPS)+1,0))</f>
        <v>0</v>
      </c>
    </row>
    <row r="331" spans="10:11" x14ac:dyDescent="0.35">
      <c r="J331">
        <f>IFERROR(IF(J330+1&gt;MAX(HAxisTIPS),"X",J330+1),"X")</f>
        <v>338</v>
      </c>
      <c r="K331">
        <f>IF(J331="X","X",IF(J331=ROUND(TIPS!$B$18,0),MAX(FreqTIPS)+1,0))</f>
        <v>0</v>
      </c>
    </row>
    <row r="332" spans="10:11" x14ac:dyDescent="0.35">
      <c r="J332">
        <f>IFERROR(IF(J331+1&gt;MAX(HAxisTIPS),"X",J331+1),"X")</f>
        <v>339</v>
      </c>
      <c r="K332">
        <f>IF(J332="X","X",IF(J332=ROUND(TIPS!$B$18,0),MAX(FreqTIPS)+1,0))</f>
        <v>0</v>
      </c>
    </row>
    <row r="333" spans="10:11" x14ac:dyDescent="0.35">
      <c r="J333">
        <f>IFERROR(IF(J332+1&gt;MAX(HAxisTIPS),"X",J332+1),"X")</f>
        <v>340</v>
      </c>
      <c r="K333">
        <f>IF(J333="X","X",IF(J333=ROUND(TIPS!$B$18,0),MAX(FreqTIPS)+1,0))</f>
        <v>0</v>
      </c>
    </row>
    <row r="334" spans="10:11" x14ac:dyDescent="0.35">
      <c r="J334">
        <f>IFERROR(IF(J333+1&gt;MAX(HAxisTIPS),"X",J333+1),"X")</f>
        <v>341</v>
      </c>
      <c r="K334">
        <f>IF(J334="X","X",IF(J334=ROUND(TIPS!$B$18,0),MAX(FreqTIPS)+1,0))</f>
        <v>0</v>
      </c>
    </row>
    <row r="335" spans="10:11" x14ac:dyDescent="0.35">
      <c r="J335">
        <f>IFERROR(IF(J334+1&gt;MAX(HAxisTIPS),"X",J334+1),"X")</f>
        <v>342</v>
      </c>
      <c r="K335">
        <f>IF(J335="X","X",IF(J335=ROUND(TIPS!$B$18,0),MAX(FreqTIPS)+1,0))</f>
        <v>0</v>
      </c>
    </row>
    <row r="336" spans="10:11" x14ac:dyDescent="0.35">
      <c r="J336">
        <f>IFERROR(IF(J335+1&gt;MAX(HAxisTIPS),"X",J335+1),"X")</f>
        <v>343</v>
      </c>
      <c r="K336">
        <f>IF(J336="X","X",IF(J336=ROUND(TIPS!$B$18,0),MAX(FreqTIPS)+1,0))</f>
        <v>0</v>
      </c>
    </row>
    <row r="337" spans="10:11" x14ac:dyDescent="0.35">
      <c r="J337">
        <f>IFERROR(IF(J336+1&gt;MAX(HAxisTIPS),"X",J336+1),"X")</f>
        <v>344</v>
      </c>
      <c r="K337">
        <f>IF(J337="X","X",IF(J337=ROUND(TIPS!$B$18,0),MAX(FreqTIPS)+1,0))</f>
        <v>0</v>
      </c>
    </row>
    <row r="338" spans="10:11" x14ac:dyDescent="0.35">
      <c r="J338">
        <f>IFERROR(IF(J337+1&gt;MAX(HAxisTIPS),"X",J337+1),"X")</f>
        <v>345</v>
      </c>
      <c r="K338">
        <f>IF(J338="X","X",IF(J338=ROUND(TIPS!$B$18,0),MAX(FreqTIPS)+1,0))</f>
        <v>0</v>
      </c>
    </row>
    <row r="339" spans="10:11" x14ac:dyDescent="0.35">
      <c r="J339">
        <f>IFERROR(IF(J338+1&gt;MAX(HAxisTIPS),"X",J338+1),"X")</f>
        <v>346</v>
      </c>
      <c r="K339">
        <f>IF(J339="X","X",IF(J339=ROUND(TIPS!$B$18,0),MAX(FreqTIPS)+1,0))</f>
        <v>0</v>
      </c>
    </row>
    <row r="340" spans="10:11" x14ac:dyDescent="0.35">
      <c r="J340">
        <f>IFERROR(IF(J339+1&gt;MAX(HAxisTIPS),"X",J339+1),"X")</f>
        <v>347</v>
      </c>
      <c r="K340">
        <f>IF(J340="X","X",IF(J340=ROUND(TIPS!$B$18,0),MAX(FreqTIPS)+1,0))</f>
        <v>0</v>
      </c>
    </row>
    <row r="341" spans="10:11" x14ac:dyDescent="0.35">
      <c r="J341">
        <f>IFERROR(IF(J340+1&gt;MAX(HAxisTIPS),"X",J340+1),"X")</f>
        <v>348</v>
      </c>
      <c r="K341">
        <f>IF(J341="X","X",IF(J341=ROUND(TIPS!$B$18,0),MAX(FreqTIPS)+1,0))</f>
        <v>0</v>
      </c>
    </row>
    <row r="342" spans="10:11" x14ac:dyDescent="0.35">
      <c r="J342">
        <f>IFERROR(IF(J341+1&gt;MAX(HAxisTIPS),"X",J341+1),"X")</f>
        <v>349</v>
      </c>
      <c r="K342">
        <f>IF(J342="X","X",IF(J342=ROUND(TIPS!$B$18,0),MAX(FreqTIPS)+1,0))</f>
        <v>0</v>
      </c>
    </row>
    <row r="343" spans="10:11" x14ac:dyDescent="0.35">
      <c r="J343">
        <f>IFERROR(IF(J342+1&gt;MAX(HAxisTIPS),"X",J342+1),"X")</f>
        <v>350</v>
      </c>
      <c r="K343">
        <f>IF(J343="X","X",IF(J343=ROUND(TIPS!$B$18,0),MAX(FreqTIPS)+1,0))</f>
        <v>0</v>
      </c>
    </row>
    <row r="344" spans="10:11" x14ac:dyDescent="0.35">
      <c r="J344">
        <f>IFERROR(IF(J343+1&gt;MAX(HAxisTIPS),"X",J343+1),"X")</f>
        <v>351</v>
      </c>
      <c r="K344">
        <f>IF(J344="X","X",IF(J344=ROUND(TIPS!$B$18,0),MAX(FreqTIPS)+1,0))</f>
        <v>0</v>
      </c>
    </row>
    <row r="345" spans="10:11" x14ac:dyDescent="0.35">
      <c r="J345">
        <f>IFERROR(IF(J344+1&gt;MAX(HAxisTIPS),"X",J344+1),"X")</f>
        <v>352</v>
      </c>
      <c r="K345">
        <f>IF(J345="X","X",IF(J345=ROUND(TIPS!$B$18,0),MAX(FreqTIPS)+1,0))</f>
        <v>0</v>
      </c>
    </row>
    <row r="346" spans="10:11" x14ac:dyDescent="0.35">
      <c r="J346">
        <f>IFERROR(IF(J345+1&gt;MAX(HAxisTIPS),"X",J345+1),"X")</f>
        <v>353</v>
      </c>
      <c r="K346">
        <f>IF(J346="X","X",IF(J346=ROUND(TIPS!$B$18,0),MAX(FreqTIPS)+1,0))</f>
        <v>0</v>
      </c>
    </row>
    <row r="347" spans="10:11" x14ac:dyDescent="0.35">
      <c r="J347">
        <f>IFERROR(IF(J346+1&gt;MAX(HAxisTIPS),"X",J346+1),"X")</f>
        <v>354</v>
      </c>
      <c r="K347">
        <f>IF(J347="X","X",IF(J347=ROUND(TIPS!$B$18,0),MAX(FreqTIPS)+1,0))</f>
        <v>0</v>
      </c>
    </row>
    <row r="348" spans="10:11" x14ac:dyDescent="0.35">
      <c r="J348">
        <f>IFERROR(IF(J347+1&gt;MAX(HAxisTIPS),"X",J347+1),"X")</f>
        <v>355</v>
      </c>
      <c r="K348">
        <f>IF(J348="X","X",IF(J348=ROUND(TIPS!$B$18,0),MAX(FreqTIPS)+1,0))</f>
        <v>0</v>
      </c>
    </row>
    <row r="349" spans="10:11" x14ac:dyDescent="0.35">
      <c r="J349">
        <f>IFERROR(IF(J348+1&gt;MAX(HAxisTIPS),"X",J348+1),"X")</f>
        <v>356</v>
      </c>
      <c r="K349">
        <f>IF(J349="X","X",IF(J349=ROUND(TIPS!$B$18,0),MAX(FreqTIPS)+1,0))</f>
        <v>0</v>
      </c>
    </row>
    <row r="350" spans="10:11" x14ac:dyDescent="0.35">
      <c r="J350">
        <f>IFERROR(IF(J349+1&gt;MAX(HAxisTIPS),"X",J349+1),"X")</f>
        <v>357</v>
      </c>
      <c r="K350">
        <f>IF(J350="X","X",IF(J350=ROUND(TIPS!$B$18,0),MAX(FreqTIPS)+1,0))</f>
        <v>0</v>
      </c>
    </row>
    <row r="351" spans="10:11" x14ac:dyDescent="0.35">
      <c r="J351">
        <f>IFERROR(IF(J350+1&gt;MAX(HAxisTIPS),"X",J350+1),"X")</f>
        <v>358</v>
      </c>
      <c r="K351">
        <f>IF(J351="X","X",IF(J351=ROUND(TIPS!$B$18,0),MAX(FreqTIPS)+1,0))</f>
        <v>0</v>
      </c>
    </row>
    <row r="352" spans="10:11" x14ac:dyDescent="0.35">
      <c r="J352">
        <f>IFERROR(IF(J351+1&gt;MAX(HAxisTIPS),"X",J351+1),"X")</f>
        <v>359</v>
      </c>
      <c r="K352">
        <f>IF(J352="X","X",IF(J352=ROUND(TIPS!$B$18,0),MAX(FreqTIPS)+1,0))</f>
        <v>0</v>
      </c>
    </row>
    <row r="353" spans="10:11" x14ac:dyDescent="0.35">
      <c r="J353">
        <f>IFERROR(IF(J352+1&gt;MAX(HAxisTIPS),"X",J352+1),"X")</f>
        <v>360</v>
      </c>
      <c r="K353">
        <f>IF(J353="X","X",IF(J353=ROUND(TIPS!$B$18,0),MAX(FreqTIPS)+1,0))</f>
        <v>0</v>
      </c>
    </row>
    <row r="354" spans="10:11" x14ac:dyDescent="0.35">
      <c r="J354">
        <f>IFERROR(IF(J353+1&gt;MAX(HAxisTIPS),"X",J353+1),"X")</f>
        <v>361</v>
      </c>
      <c r="K354">
        <f>IF(J354="X","X",IF(J354=ROUND(TIPS!$B$18,0),MAX(FreqTIPS)+1,0))</f>
        <v>0</v>
      </c>
    </row>
    <row r="355" spans="10:11" x14ac:dyDescent="0.35">
      <c r="J355">
        <f>IFERROR(IF(J354+1&gt;MAX(HAxisTIPS),"X",J354+1),"X")</f>
        <v>362</v>
      </c>
      <c r="K355">
        <f>IF(J355="X","X",IF(J355=ROUND(TIPS!$B$18,0),MAX(FreqTIPS)+1,0))</f>
        <v>0</v>
      </c>
    </row>
    <row r="356" spans="10:11" x14ac:dyDescent="0.35">
      <c r="J356">
        <f>IFERROR(IF(J355+1&gt;MAX(HAxisTIPS),"X",J355+1),"X")</f>
        <v>363</v>
      </c>
      <c r="K356">
        <f>IF(J356="X","X",IF(J356=ROUND(TIPS!$B$18,0),MAX(FreqTIPS)+1,0))</f>
        <v>0</v>
      </c>
    </row>
    <row r="357" spans="10:11" x14ac:dyDescent="0.35">
      <c r="J357">
        <f>IFERROR(IF(J356+1&gt;MAX(HAxisTIPS),"X",J356+1),"X")</f>
        <v>364</v>
      </c>
      <c r="K357">
        <f>IF(J357="X","X",IF(J357=ROUND(TIPS!$B$18,0),MAX(FreqTIPS)+1,0))</f>
        <v>0</v>
      </c>
    </row>
    <row r="358" spans="10:11" x14ac:dyDescent="0.35">
      <c r="J358">
        <f>IFERROR(IF(J357+1&gt;MAX(HAxisTIPS),"X",J357+1),"X")</f>
        <v>365</v>
      </c>
      <c r="K358">
        <f>IF(J358="X","X",IF(J358=ROUND(TIPS!$B$18,0),MAX(FreqTIPS)+1,0))</f>
        <v>0</v>
      </c>
    </row>
    <row r="359" spans="10:11" x14ac:dyDescent="0.35">
      <c r="J359">
        <f>IFERROR(IF(J358+1&gt;MAX(HAxisTIPS),"X",J358+1),"X")</f>
        <v>366</v>
      </c>
      <c r="K359">
        <f>IF(J359="X","X",IF(J359=ROUND(TIPS!$B$18,0),MAX(FreqTIPS)+1,0))</f>
        <v>0</v>
      </c>
    </row>
    <row r="360" spans="10:11" x14ac:dyDescent="0.35">
      <c r="J360">
        <f>IFERROR(IF(J359+1&gt;MAX(HAxisTIPS),"X",J359+1),"X")</f>
        <v>367</v>
      </c>
      <c r="K360">
        <f>IF(J360="X","X",IF(J360=ROUND(TIPS!$B$18,0),MAX(FreqTIPS)+1,0))</f>
        <v>0</v>
      </c>
    </row>
    <row r="361" spans="10:11" x14ac:dyDescent="0.35">
      <c r="J361">
        <f>IFERROR(IF(J360+1&gt;MAX(HAxisTIPS),"X",J360+1),"X")</f>
        <v>368</v>
      </c>
      <c r="K361">
        <f>IF(J361="X","X",IF(J361=ROUND(TIPS!$B$18,0),MAX(FreqTIPS)+1,0))</f>
        <v>0</v>
      </c>
    </row>
    <row r="362" spans="10:11" x14ac:dyDescent="0.35">
      <c r="J362">
        <f>IFERROR(IF(J361+1&gt;MAX(HAxisTIPS),"X",J361+1),"X")</f>
        <v>369</v>
      </c>
      <c r="K362">
        <f>IF(J362="X","X",IF(J362=ROUND(TIPS!$B$18,0),MAX(FreqTIPS)+1,0))</f>
        <v>0</v>
      </c>
    </row>
    <row r="363" spans="10:11" x14ac:dyDescent="0.35">
      <c r="J363">
        <f>IFERROR(IF(J362+1&gt;MAX(HAxisTIPS),"X",J362+1),"X")</f>
        <v>370</v>
      </c>
      <c r="K363">
        <f>IF(J363="X","X",IF(J363=ROUND(TIPS!$B$18,0),MAX(FreqTIPS)+1,0))</f>
        <v>0</v>
      </c>
    </row>
    <row r="364" spans="10:11" x14ac:dyDescent="0.35">
      <c r="J364">
        <f>IFERROR(IF(J363+1&gt;MAX(HAxisTIPS),"X",J363+1),"X")</f>
        <v>371</v>
      </c>
      <c r="K364">
        <f>IF(J364="X","X",IF(J364=ROUND(TIPS!$B$18,0),MAX(FreqTIPS)+1,0))</f>
        <v>0</v>
      </c>
    </row>
    <row r="365" spans="10:11" x14ac:dyDescent="0.35">
      <c r="J365">
        <f>IFERROR(IF(J364+1&gt;MAX(HAxisTIPS),"X",J364+1),"X")</f>
        <v>372</v>
      </c>
      <c r="K365">
        <f>IF(J365="X","X",IF(J365=ROUND(TIPS!$B$18,0),MAX(FreqTIPS)+1,0))</f>
        <v>0</v>
      </c>
    </row>
    <row r="366" spans="10:11" x14ac:dyDescent="0.35">
      <c r="J366">
        <f>IFERROR(IF(J365+1&gt;MAX(HAxisTIPS),"X",J365+1),"X")</f>
        <v>373</v>
      </c>
      <c r="K366">
        <f>IF(J366="X","X",IF(J366=ROUND(TIPS!$B$18,0),MAX(FreqTIPS)+1,0))</f>
        <v>0</v>
      </c>
    </row>
    <row r="367" spans="10:11" x14ac:dyDescent="0.35">
      <c r="J367" t="str">
        <f>IFERROR(IF(J366+1&gt;MAX(HAxisTIPS),"X",J366+1),"X")</f>
        <v>X</v>
      </c>
      <c r="K367" t="str">
        <f>IF(J367="X","X",IF(J367=ROUND(TIPS!$B$18,0),MAX(FreqTIPS)+1,0))</f>
        <v>X</v>
      </c>
    </row>
    <row r="368" spans="10:11" x14ac:dyDescent="0.35">
      <c r="J368" t="str">
        <f>IFERROR(IF(J367+1&gt;MAX(HAxisTIPS),"X",J367+1),"X")</f>
        <v>X</v>
      </c>
      <c r="K368" t="str">
        <f>IF(J368="X","X",IF(J368=ROUND(TIPS!$B$18,0),MAX(FreqTIPS)+1,0))</f>
        <v>X</v>
      </c>
    </row>
    <row r="369" spans="10:11" x14ac:dyDescent="0.35">
      <c r="J369" t="str">
        <f>IFERROR(IF(J368+1&gt;MAX(HAxisTIPS),"X",J368+1),"X")</f>
        <v>X</v>
      </c>
      <c r="K369" t="str">
        <f>IF(J369="X","X",IF(J369=ROUND(TIPS!$B$18,0),MAX(FreqTIPS)+1,0))</f>
        <v>X</v>
      </c>
    </row>
    <row r="370" spans="10:11" x14ac:dyDescent="0.35">
      <c r="J370" t="str">
        <f>IFERROR(IF(J369+1&gt;MAX(HAxisTIPS),"X",J369+1),"X")</f>
        <v>X</v>
      </c>
      <c r="K370" t="str">
        <f>IF(J370="X","X",IF(J370=ROUND(TIPS!$B$18,0),MAX(FreqTIPS)+1,0))</f>
        <v>X</v>
      </c>
    </row>
    <row r="371" spans="10:11" x14ac:dyDescent="0.35">
      <c r="J371" t="str">
        <f>IFERROR(IF(J370+1&gt;MAX(HAxisTIPS),"X",J370+1),"X")</f>
        <v>X</v>
      </c>
      <c r="K371" t="str">
        <f>IF(J371="X","X",IF(J371=ROUND(TIPS!$B$18,0),MAX(FreqTIPS)+1,0))</f>
        <v>X</v>
      </c>
    </row>
    <row r="372" spans="10:11" x14ac:dyDescent="0.35">
      <c r="J372" t="str">
        <f>IFERROR(IF(J371+1&gt;MAX(HAxisTIPS),"X",J371+1),"X")</f>
        <v>X</v>
      </c>
      <c r="K372" t="str">
        <f>IF(J372="X","X",IF(J372=ROUND(TIPS!$B$18,0),MAX(FreqTIPS)+1,0))</f>
        <v>X</v>
      </c>
    </row>
    <row r="373" spans="10:11" x14ac:dyDescent="0.35">
      <c r="J373" t="str">
        <f>IFERROR(IF(J372+1&gt;MAX(HAxisTIPS),"X",J372+1),"X")</f>
        <v>X</v>
      </c>
      <c r="K373" t="str">
        <f>IF(J373="X","X",IF(J373=ROUND(TIPS!$B$18,0),MAX(FreqTIPS)+1,0))</f>
        <v>X</v>
      </c>
    </row>
    <row r="374" spans="10:11" x14ac:dyDescent="0.35">
      <c r="J374" t="str">
        <f>IFERROR(IF(J373+1&gt;MAX(HAxisTIPS),"X",J373+1),"X")</f>
        <v>X</v>
      </c>
      <c r="K374" t="str">
        <f>IF(J374="X","X",IF(J374=ROUND(TIPS!$B$18,0),MAX(FreqTIPS)+1,0))</f>
        <v>X</v>
      </c>
    </row>
    <row r="375" spans="10:11" x14ac:dyDescent="0.35">
      <c r="J375" t="str">
        <f>IFERROR(IF(J374+1&gt;MAX(HAxisTIPS),"X",J374+1),"X")</f>
        <v>X</v>
      </c>
      <c r="K375" t="str">
        <f>IF(J375="X","X",IF(J375=ROUND(TIPS!$B$18,0),MAX(FreqTIPS)+1,0))</f>
        <v>X</v>
      </c>
    </row>
    <row r="376" spans="10:11" x14ac:dyDescent="0.35">
      <c r="J376" t="str">
        <f>IFERROR(IF(J375+1&gt;MAX(HAxisTIPS),"X",J375+1),"X")</f>
        <v>X</v>
      </c>
      <c r="K376" t="str">
        <f>IF(J376="X","X",IF(J376=ROUND(TIPS!$B$18,0),MAX(FreqTIPS)+1,0))</f>
        <v>X</v>
      </c>
    </row>
    <row r="377" spans="10:11" x14ac:dyDescent="0.35">
      <c r="J377" t="str">
        <f>IFERROR(IF(J376+1&gt;MAX(HAxisTIPS),"X",J376+1),"X")</f>
        <v>X</v>
      </c>
      <c r="K377" t="str">
        <f>IF(J377="X","X",IF(J377=ROUND(TIPS!$B$18,0),MAX(FreqTIPS)+1,0))</f>
        <v>X</v>
      </c>
    </row>
    <row r="378" spans="10:11" x14ac:dyDescent="0.35">
      <c r="J378" t="str">
        <f>IFERROR(IF(J377+1&gt;MAX(HAxisTIPS),"X",J377+1),"X")</f>
        <v>X</v>
      </c>
      <c r="K378" t="str">
        <f>IF(J378="X","X",IF(J378=ROUND(TIPS!$B$18,0),MAX(FreqTIPS)+1,0))</f>
        <v>X</v>
      </c>
    </row>
    <row r="379" spans="10:11" x14ac:dyDescent="0.35">
      <c r="J379" t="str">
        <f>IFERROR(IF(J378+1&gt;MAX(HAxisTIPS),"X",J378+1),"X")</f>
        <v>X</v>
      </c>
      <c r="K379" t="str">
        <f>IF(J379="X","X",IF(J379=ROUND(TIPS!$B$18,0),MAX(FreqTIPS)+1,0))</f>
        <v>X</v>
      </c>
    </row>
    <row r="380" spans="10:11" x14ac:dyDescent="0.35">
      <c r="J380" t="str">
        <f>IFERROR(IF(J379+1&gt;MAX(HAxisTIPS),"X",J379+1),"X")</f>
        <v>X</v>
      </c>
      <c r="K380" t="str">
        <f>IF(J380="X","X",IF(J380=ROUND(TIPS!$B$18,0),MAX(FreqTIPS)+1,0))</f>
        <v>X</v>
      </c>
    </row>
    <row r="381" spans="10:11" x14ac:dyDescent="0.35">
      <c r="J381" t="str">
        <f>IFERROR(IF(J380+1&gt;MAX(HAxisTIPS),"X",J380+1),"X")</f>
        <v>X</v>
      </c>
      <c r="K381" t="str">
        <f>IF(J381="X","X",IF(J381=ROUND(TIPS!$B$18,0),MAX(FreqTIPS)+1,0))</f>
        <v>X</v>
      </c>
    </row>
    <row r="382" spans="10:11" x14ac:dyDescent="0.35">
      <c r="J382" t="str">
        <f>IFERROR(IF(J381+1&gt;MAX(HAxisTIPS),"X",J381+1),"X")</f>
        <v>X</v>
      </c>
      <c r="K382" t="str">
        <f>IF(J382="X","X",IF(J382=ROUND(TIPS!$B$18,0),MAX(FreqTIPS)+1,0))</f>
        <v>X</v>
      </c>
    </row>
    <row r="383" spans="10:11" x14ac:dyDescent="0.35">
      <c r="J383" t="str">
        <f>IFERROR(IF(J382+1&gt;MAX(HAxisTIPS),"X",J382+1),"X")</f>
        <v>X</v>
      </c>
      <c r="K383" t="str">
        <f>IF(J383="X","X",IF(J383=ROUND(TIPS!$B$18,0),MAX(FreqTIPS)+1,0))</f>
        <v>X</v>
      </c>
    </row>
    <row r="384" spans="10:11" x14ac:dyDescent="0.35">
      <c r="J384" t="str">
        <f>IFERROR(IF(J383+1&gt;MAX(HAxisTIPS),"X",J383+1),"X")</f>
        <v>X</v>
      </c>
      <c r="K384" t="str">
        <f>IF(J384="X","X",IF(J384=ROUND(TIPS!$B$18,0),MAX(FreqTIPS)+1,0))</f>
        <v>X</v>
      </c>
    </row>
    <row r="385" spans="10:11" x14ac:dyDescent="0.35">
      <c r="J385" t="str">
        <f>IFERROR(IF(J384+1&gt;MAX(HAxisTIPS),"X",J384+1),"X")</f>
        <v>X</v>
      </c>
      <c r="K385" t="str">
        <f>IF(J385="X","X",IF(J385=ROUND(TIPS!$B$18,0),MAX(FreqTIPS)+1,0))</f>
        <v>X</v>
      </c>
    </row>
    <row r="386" spans="10:11" x14ac:dyDescent="0.35">
      <c r="J386" t="str">
        <f>IFERROR(IF(J385+1&gt;MAX(HAxisTIPS),"X",J385+1),"X")</f>
        <v>X</v>
      </c>
      <c r="K386" t="str">
        <f>IF(J386="X","X",IF(J386=ROUND(TIPS!$B$18,0),MAX(FreqTIPS)+1,0))</f>
        <v>X</v>
      </c>
    </row>
    <row r="387" spans="10:11" x14ac:dyDescent="0.35">
      <c r="J387" t="str">
        <f>IFERROR(IF(J386+1&gt;MAX(HAxisTIPS),"X",J386+1),"X")</f>
        <v>X</v>
      </c>
      <c r="K387" t="str">
        <f>IF(J387="X","X",IF(J387=ROUND(TIPS!$B$18,0),MAX(FreqTIPS)+1,0))</f>
        <v>X</v>
      </c>
    </row>
    <row r="388" spans="10:11" x14ac:dyDescent="0.35">
      <c r="J388" t="str">
        <f>IFERROR(IF(J387+1&gt;MAX(HAxisTIPS),"X",J387+1),"X")</f>
        <v>X</v>
      </c>
      <c r="K388" t="str">
        <f>IF(J388="X","X",IF(J388=ROUND(TIPS!$B$18,0),MAX(FreqTIPS)+1,0))</f>
        <v>X</v>
      </c>
    </row>
    <row r="389" spans="10:11" x14ac:dyDescent="0.35">
      <c r="J389" t="str">
        <f>IFERROR(IF(J388+1&gt;MAX(HAxisTIPS),"X",J388+1),"X")</f>
        <v>X</v>
      </c>
      <c r="K389" t="str">
        <f>IF(J389="X","X",IF(J389=ROUND(TIPS!$B$18,0),MAX(FreqTIPS)+1,0))</f>
        <v>X</v>
      </c>
    </row>
    <row r="390" spans="10:11" x14ac:dyDescent="0.35">
      <c r="J390" t="str">
        <f>IFERROR(IF(J389+1&gt;MAX(HAxisTIPS),"X",J389+1),"X")</f>
        <v>X</v>
      </c>
      <c r="K390" t="str">
        <f>IF(J390="X","X",IF(J390=ROUND(TIPS!$B$18,0),MAX(FreqTIPS)+1,0))</f>
        <v>X</v>
      </c>
    </row>
    <row r="391" spans="10:11" x14ac:dyDescent="0.35">
      <c r="J391" t="str">
        <f>IFERROR(IF(J390+1&gt;MAX(HAxisTIPS),"X",J390+1),"X")</f>
        <v>X</v>
      </c>
      <c r="K391" t="str">
        <f>IF(J391="X","X",IF(J391=ROUND(TIPS!$B$18,0),MAX(FreqTIPS)+1,0))</f>
        <v>X</v>
      </c>
    </row>
    <row r="392" spans="10:11" x14ac:dyDescent="0.35">
      <c r="J392" t="str">
        <f>IFERROR(IF(J391+1&gt;MAX(HAxisTIPS),"X",J391+1),"X")</f>
        <v>X</v>
      </c>
      <c r="K392" t="str">
        <f>IF(J392="X","X",IF(J392=ROUND(TIPS!$B$18,0),MAX(FreqTIPS)+1,0))</f>
        <v>X</v>
      </c>
    </row>
    <row r="393" spans="10:11" x14ac:dyDescent="0.35">
      <c r="J393" t="str">
        <f>IFERROR(IF(J392+1&gt;MAX(HAxisTIPS),"X",J392+1),"X")</f>
        <v>X</v>
      </c>
      <c r="K393" t="str">
        <f>IF(J393="X","X",IF(J393=ROUND(TIPS!$B$18,0),MAX(FreqTIPS)+1,0))</f>
        <v>X</v>
      </c>
    </row>
    <row r="394" spans="10:11" x14ac:dyDescent="0.35">
      <c r="J394" t="str">
        <f>IFERROR(IF(J393+1&gt;MAX(HAxisTIPS),"X",J393+1),"X")</f>
        <v>X</v>
      </c>
      <c r="K394" t="str">
        <f>IF(J394="X","X",IF(J394=ROUND(TIPS!$B$18,0),MAX(FreqTIPS)+1,0))</f>
        <v>X</v>
      </c>
    </row>
    <row r="395" spans="10:11" x14ac:dyDescent="0.35">
      <c r="J395" t="str">
        <f>IFERROR(IF(J394+1&gt;MAX(HAxisTIPS),"X",J394+1),"X")</f>
        <v>X</v>
      </c>
      <c r="K395" t="str">
        <f>IF(J395="X","X",IF(J395=ROUND(TIPS!$B$18,0),MAX(FreqTIPS)+1,0))</f>
        <v>X</v>
      </c>
    </row>
    <row r="396" spans="10:11" x14ac:dyDescent="0.35">
      <c r="J396" t="str">
        <f>IFERROR(IF(J395+1&gt;MAX(HAxisTIPS),"X",J395+1),"X")</f>
        <v>X</v>
      </c>
      <c r="K396" t="str">
        <f>IF(J396="X","X",IF(J396=ROUND(TIPS!$B$18,0),MAX(FreqTIPS)+1,0))</f>
        <v>X</v>
      </c>
    </row>
    <row r="397" spans="10:11" x14ac:dyDescent="0.35">
      <c r="J397" t="str">
        <f>IFERROR(IF(J396+1&gt;MAX(HAxisTIPS),"X",J396+1),"X")</f>
        <v>X</v>
      </c>
      <c r="K397" t="str">
        <f>IF(J397="X","X",IF(J397=ROUND(TIPS!$B$18,0),MAX(FreqTIPS)+1,0))</f>
        <v>X</v>
      </c>
    </row>
    <row r="398" spans="10:11" x14ac:dyDescent="0.35">
      <c r="J398" t="str">
        <f>IFERROR(IF(J397+1&gt;MAX(HAxisTIPS),"X",J397+1),"X")</f>
        <v>X</v>
      </c>
      <c r="K398" t="str">
        <f>IF(J398="X","X",IF(J398=ROUND(TIPS!$B$18,0),MAX(FreqTIPS)+1,0))</f>
        <v>X</v>
      </c>
    </row>
    <row r="399" spans="10:11" x14ac:dyDescent="0.35">
      <c r="J399" t="str">
        <f>IFERROR(IF(J398+1&gt;MAX(HAxisTIPS),"X",J398+1),"X")</f>
        <v>X</v>
      </c>
      <c r="K399" t="str">
        <f>IF(J399="X","X",IF(J399=ROUND(TIPS!$B$18,0),MAX(FreqTIPS)+1,0))</f>
        <v>X</v>
      </c>
    </row>
    <row r="400" spans="10:11" x14ac:dyDescent="0.35">
      <c r="J400" t="str">
        <f>IFERROR(IF(J399+1&gt;MAX(HAxisTIPS),"X",J399+1),"X")</f>
        <v>X</v>
      </c>
      <c r="K400" t="str">
        <f>IF(J400="X","X",IF(J400=ROUND(TIPS!$B$18,0),MAX(FreqTIPS)+1,0))</f>
        <v>X</v>
      </c>
    </row>
    <row r="401" spans="10:11" x14ac:dyDescent="0.35">
      <c r="J401" t="str">
        <f>IFERROR(IF(J400+1&gt;MAX(HAxisTIPS),"X",J400+1),"X")</f>
        <v>X</v>
      </c>
      <c r="K401" t="str">
        <f>IF(J401="X","X",IF(J401=ROUND(TIPS!$B$18,0),MAX(FreqTIPS)+1,0))</f>
        <v>X</v>
      </c>
    </row>
    <row r="402" spans="10:11" x14ac:dyDescent="0.35">
      <c r="J402" t="str">
        <f>IFERROR(IF(J401+1&gt;MAX(HAxisTIPS),"X",J401+1),"X")</f>
        <v>X</v>
      </c>
      <c r="K402" t="str">
        <f>IF(J402="X","X",IF(J402=ROUND(TIPS!$B$18,0),MAX(FreqTIPS)+1,0))</f>
        <v>X</v>
      </c>
    </row>
    <row r="403" spans="10:11" x14ac:dyDescent="0.35">
      <c r="J403" t="str">
        <f>IFERROR(IF(J402+1&gt;MAX(HAxisTIPS),"X",J402+1),"X")</f>
        <v>X</v>
      </c>
      <c r="K403" t="str">
        <f>IF(J403="X","X",IF(J403=ROUND(TIPS!$B$18,0),MAX(FreqTIPS)+1,0))</f>
        <v>X</v>
      </c>
    </row>
    <row r="404" spans="10:11" x14ac:dyDescent="0.35">
      <c r="J404" t="str">
        <f>IFERROR(IF(J403+1&gt;MAX(HAxisTIPS),"X",J403+1),"X")</f>
        <v>X</v>
      </c>
      <c r="K404" t="str">
        <f>IF(J404="X","X",IF(J404=ROUND(TIPS!$B$18,0),MAX(FreqTIPS)+1,0))</f>
        <v>X</v>
      </c>
    </row>
    <row r="405" spans="10:11" x14ac:dyDescent="0.35">
      <c r="J405" t="str">
        <f>IFERROR(IF(J404+1&gt;MAX(HAxisTIPS),"X",J404+1),"X")</f>
        <v>X</v>
      </c>
      <c r="K405" t="str">
        <f>IF(J405="X","X",IF(J405=ROUND(TIPS!$B$18,0),MAX(FreqTIPS)+1,0))</f>
        <v>X</v>
      </c>
    </row>
    <row r="406" spans="10:11" x14ac:dyDescent="0.35">
      <c r="J406" t="str">
        <f>IFERROR(IF(J405+1&gt;MAX(HAxisTIPS),"X",J405+1),"X")</f>
        <v>X</v>
      </c>
      <c r="K406" t="str">
        <f>IF(J406="X","X",IF(J406=ROUND(TIPS!$B$18,0),MAX(FreqTIPS)+1,0))</f>
        <v>X</v>
      </c>
    </row>
    <row r="407" spans="10:11" x14ac:dyDescent="0.35">
      <c r="J407" t="str">
        <f>IFERROR(IF(J406+1&gt;MAX(HAxisTIPS),"X",J406+1),"X")</f>
        <v>X</v>
      </c>
      <c r="K407" t="str">
        <f>IF(J407="X","X",IF(J407=ROUND(TIPS!$B$18,0),MAX(FreqTIPS)+1,0))</f>
        <v>X</v>
      </c>
    </row>
    <row r="408" spans="10:11" x14ac:dyDescent="0.35">
      <c r="J408" t="str">
        <f>IFERROR(IF(J407+1&gt;MAX(HAxisTIPS),"X",J407+1),"X")</f>
        <v>X</v>
      </c>
      <c r="K408" t="str">
        <f>IF(J408="X","X",IF(J408=ROUND(TIPS!$B$18,0),MAX(FreqTIPS)+1,0))</f>
        <v>X</v>
      </c>
    </row>
    <row r="409" spans="10:11" x14ac:dyDescent="0.35">
      <c r="J409" t="str">
        <f>IFERROR(IF(J408+1&gt;MAX(HAxisTIPS),"X",J408+1),"X")</f>
        <v>X</v>
      </c>
      <c r="K409" t="str">
        <f>IF(J409="X","X",IF(J409=ROUND(TIPS!$B$18,0),MAX(FreqTIPS)+1,0))</f>
        <v>X</v>
      </c>
    </row>
    <row r="410" spans="10:11" x14ac:dyDescent="0.35">
      <c r="J410" t="str">
        <f>IFERROR(IF(J409+1&gt;MAX(HAxisTIPS),"X",J409+1),"X")</f>
        <v>X</v>
      </c>
      <c r="K410" t="str">
        <f>IF(J410="X","X",IF(J410=ROUND(TIPS!$B$18,0),MAX(FreqTIPS)+1,0))</f>
        <v>X</v>
      </c>
    </row>
    <row r="411" spans="10:11" x14ac:dyDescent="0.35">
      <c r="J411" t="str">
        <f>IFERROR(IF(J410+1&gt;MAX(HAxisTIPS),"X",J410+1),"X")</f>
        <v>X</v>
      </c>
      <c r="K411" t="str">
        <f>IF(J411="X","X",IF(J411=ROUND(TIPS!$B$18,0),MAX(FreqTIPS)+1,0))</f>
        <v>X</v>
      </c>
    </row>
    <row r="412" spans="10:11" x14ac:dyDescent="0.35">
      <c r="J412" t="str">
        <f>IFERROR(IF(J411+1&gt;MAX(HAxisTIPS),"X",J411+1),"X")</f>
        <v>X</v>
      </c>
      <c r="K412" t="str">
        <f>IF(J412="X","X",IF(J412=ROUND(TIPS!$B$18,0),MAX(FreqTIPS)+1,0))</f>
        <v>X</v>
      </c>
    </row>
    <row r="413" spans="10:11" x14ac:dyDescent="0.35">
      <c r="J413" t="str">
        <f>IFERROR(IF(J412+1&gt;MAX(HAxisTIPS),"X",J412+1),"X")</f>
        <v>X</v>
      </c>
      <c r="K413" t="str">
        <f>IF(J413="X","X",IF(J413=ROUND(TIPS!$B$18,0),MAX(FreqTIPS)+1,0))</f>
        <v>X</v>
      </c>
    </row>
    <row r="414" spans="10:11" x14ac:dyDescent="0.35">
      <c r="J414" t="str">
        <f>IFERROR(IF(J413+1&gt;MAX(HAxisTIPS),"X",J413+1),"X")</f>
        <v>X</v>
      </c>
      <c r="K414" t="str">
        <f>IF(J414="X","X",IF(J414=ROUND(TIPS!$B$18,0),MAX(FreqTIPS)+1,0))</f>
        <v>X</v>
      </c>
    </row>
    <row r="415" spans="10:11" x14ac:dyDescent="0.35">
      <c r="J415" t="str">
        <f>IFERROR(IF(J414+1&gt;MAX(HAxisTIPS),"X",J414+1),"X")</f>
        <v>X</v>
      </c>
      <c r="K415" t="str">
        <f>IF(J415="X","X",IF(J415=ROUND(TIPS!$B$18,0),MAX(FreqTIPS)+1,0))</f>
        <v>X</v>
      </c>
    </row>
    <row r="416" spans="10:11" x14ac:dyDescent="0.35">
      <c r="J416" t="str">
        <f>IFERROR(IF(J415+1&gt;MAX(HAxisTIPS),"X",J415+1),"X")</f>
        <v>X</v>
      </c>
      <c r="K416" t="str">
        <f>IF(J416="X","X",IF(J416=ROUND(TIPS!$B$18,0),MAX(FreqTIPS)+1,0))</f>
        <v>X</v>
      </c>
    </row>
    <row r="417" spans="10:11" x14ac:dyDescent="0.35">
      <c r="J417" t="str">
        <f>IFERROR(IF(J416+1&gt;MAX(HAxisTIPS),"X",J416+1),"X")</f>
        <v>X</v>
      </c>
      <c r="K417" t="str">
        <f>IF(J417="X","X",IF(J417=ROUND(TIPS!$B$18,0),MAX(FreqTIPS)+1,0))</f>
        <v>X</v>
      </c>
    </row>
    <row r="418" spans="10:11" x14ac:dyDescent="0.35">
      <c r="J418" t="str">
        <f>IFERROR(IF(J417+1&gt;MAX(HAxisTIPS),"X",J417+1),"X")</f>
        <v>X</v>
      </c>
      <c r="K418" t="str">
        <f>IF(J418="X","X",IF(J418=ROUND(TIPS!$B$18,0),MAX(FreqTIPS)+1,0))</f>
        <v>X</v>
      </c>
    </row>
    <row r="419" spans="10:11" x14ac:dyDescent="0.35">
      <c r="J419" t="str">
        <f>IFERROR(IF(J418+1&gt;MAX(HAxisTIPS),"X",J418+1),"X")</f>
        <v>X</v>
      </c>
      <c r="K419" t="str">
        <f>IF(J419="X","X",IF(J419=ROUND(TIPS!$B$18,0),MAX(FreqTIPS)+1,0))</f>
        <v>X</v>
      </c>
    </row>
    <row r="420" spans="10:11" x14ac:dyDescent="0.35">
      <c r="J420" t="str">
        <f>IFERROR(IF(J419+1&gt;MAX(HAxisTIPS),"X",J419+1),"X")</f>
        <v>X</v>
      </c>
      <c r="K420" t="str">
        <f>IF(J420="X","X",IF(J420=ROUND(TIPS!$B$18,0),MAX(FreqTIPS)+1,0))</f>
        <v>X</v>
      </c>
    </row>
    <row r="421" spans="10:11" x14ac:dyDescent="0.35">
      <c r="J421" t="str">
        <f>IFERROR(IF(J420+1&gt;MAX(HAxisTIPS),"X",J420+1),"X")</f>
        <v>X</v>
      </c>
      <c r="K421" t="str">
        <f>IF(J421="X","X",IF(J421=ROUND(TIPS!$B$18,0),MAX(FreqTIPS)+1,0))</f>
        <v>X</v>
      </c>
    </row>
    <row r="422" spans="10:11" x14ac:dyDescent="0.35">
      <c r="J422" t="str">
        <f>IFERROR(IF(J421+1&gt;MAX(HAxisTIPS),"X",J421+1),"X")</f>
        <v>X</v>
      </c>
      <c r="K422" t="str">
        <f>IF(J422="X","X",IF(J422=ROUND(TIPS!$B$18,0),MAX(FreqTIPS)+1,0))</f>
        <v>X</v>
      </c>
    </row>
    <row r="423" spans="10:11" x14ac:dyDescent="0.35">
      <c r="J423" t="str">
        <f>IFERROR(IF(J422+1&gt;MAX(HAxisTIPS),"X",J422+1),"X")</f>
        <v>X</v>
      </c>
      <c r="K423" t="str">
        <f>IF(J423="X","X",IF(J423=ROUND(TIPS!$B$18,0),MAX(FreqTIPS)+1,0))</f>
        <v>X</v>
      </c>
    </row>
    <row r="424" spans="10:11" x14ac:dyDescent="0.35">
      <c r="J424" t="str">
        <f>IFERROR(IF(J423+1&gt;MAX(HAxisTIPS),"X",J423+1),"X")</f>
        <v>X</v>
      </c>
      <c r="K424" t="str">
        <f>IF(J424="X","X",IF(J424=ROUND(TIPS!$B$18,0),MAX(FreqTIPS)+1,0))</f>
        <v>X</v>
      </c>
    </row>
    <row r="425" spans="10:11" x14ac:dyDescent="0.35">
      <c r="J425" t="str">
        <f>IFERROR(IF(J424+1&gt;MAX(HAxisTIPS),"X",J424+1),"X")</f>
        <v>X</v>
      </c>
      <c r="K425" t="str">
        <f>IF(J425="X","X",IF(J425=ROUND(TIPS!$B$18,0),MAX(FreqTIPS)+1,0))</f>
        <v>X</v>
      </c>
    </row>
    <row r="426" spans="10:11" x14ac:dyDescent="0.35">
      <c r="J426" t="str">
        <f>IFERROR(IF(J425+1&gt;MAX(HAxisTIPS),"X",J425+1),"X")</f>
        <v>X</v>
      </c>
      <c r="K426" t="str">
        <f>IF(J426="X","X",IF(J426=ROUND(TIPS!$B$18,0),MAX(FreqTIPS)+1,0))</f>
        <v>X</v>
      </c>
    </row>
    <row r="427" spans="10:11" x14ac:dyDescent="0.35">
      <c r="J427" t="str">
        <f>IFERROR(IF(J426+1&gt;MAX(HAxisTIPS),"X",J426+1),"X")</f>
        <v>X</v>
      </c>
      <c r="K427" t="str">
        <f>IF(J427="X","X",IF(J427=ROUND(TIPS!$B$18,0),MAX(FreqTIPS)+1,0))</f>
        <v>X</v>
      </c>
    </row>
    <row r="428" spans="10:11" x14ac:dyDescent="0.35">
      <c r="J428" t="str">
        <f>IFERROR(IF(J427+1&gt;MAX(HAxisTIPS),"X",J427+1),"X")</f>
        <v>X</v>
      </c>
      <c r="K428" t="str">
        <f>IF(J428="X","X",IF(J428=ROUND(TIPS!$B$18,0),MAX(FreqTIPS)+1,0))</f>
        <v>X</v>
      </c>
    </row>
    <row r="429" spans="10:11" x14ac:dyDescent="0.35">
      <c r="J429" t="str">
        <f>IFERROR(IF(J428+1&gt;MAX(HAxisTIPS),"X",J428+1),"X")</f>
        <v>X</v>
      </c>
      <c r="K429" t="str">
        <f>IF(J429="X","X",IF(J429=ROUND(TIPS!$B$18,0),MAX(FreqTIPS)+1,0))</f>
        <v>X</v>
      </c>
    </row>
    <row r="430" spans="10:11" x14ac:dyDescent="0.35">
      <c r="J430" t="str">
        <f>IFERROR(IF(J429+1&gt;MAX(HAxisTIPS),"X",J429+1),"X")</f>
        <v>X</v>
      </c>
      <c r="K430" t="str">
        <f>IF(J430="X","X",IF(J430=ROUND(TIPS!$B$18,0),MAX(FreqTIPS)+1,0))</f>
        <v>X</v>
      </c>
    </row>
    <row r="431" spans="10:11" x14ac:dyDescent="0.35">
      <c r="J431" t="str">
        <f>IFERROR(IF(J430+1&gt;MAX(HAxisTIPS),"X",J430+1),"X")</f>
        <v>X</v>
      </c>
      <c r="K431" t="str">
        <f>IF(J431="X","X",IF(J431=ROUND(TIPS!$B$18,0),MAX(FreqTIPS)+1,0))</f>
        <v>X</v>
      </c>
    </row>
    <row r="432" spans="10:11" x14ac:dyDescent="0.35">
      <c r="J432" t="str">
        <f>IFERROR(IF(J431+1&gt;MAX(HAxisTIPS),"X",J431+1),"X")</f>
        <v>X</v>
      </c>
      <c r="K432" t="str">
        <f>IF(J432="X","X",IF(J432=ROUND(TIPS!$B$18,0),MAX(FreqTIPS)+1,0))</f>
        <v>X</v>
      </c>
    </row>
    <row r="433" spans="10:11" x14ac:dyDescent="0.35">
      <c r="J433" t="str">
        <f>IFERROR(IF(J432+1&gt;MAX(HAxisTIPS),"X",J432+1),"X")</f>
        <v>X</v>
      </c>
      <c r="K433" t="str">
        <f>IF(J433="X","X",IF(J433=ROUND(TIPS!$B$18,0),MAX(FreqTIPS)+1,0))</f>
        <v>X</v>
      </c>
    </row>
    <row r="434" spans="10:11" x14ac:dyDescent="0.35">
      <c r="J434" t="str">
        <f>IFERROR(IF(J433+1&gt;MAX(HAxisTIPS),"X",J433+1),"X")</f>
        <v>X</v>
      </c>
      <c r="K434" t="str">
        <f>IF(J434="X","X",IF(J434=ROUND(TIPS!$B$18,0),MAX(FreqTIPS)+1,0))</f>
        <v>X</v>
      </c>
    </row>
    <row r="435" spans="10:11" x14ac:dyDescent="0.35">
      <c r="J435" t="str">
        <f>IFERROR(IF(J434+1&gt;MAX(HAxisTIPS),"X",J434+1),"X")</f>
        <v>X</v>
      </c>
      <c r="K435" t="str">
        <f>IF(J435="X","X",IF(J435=ROUND(TIPS!$B$18,0),MAX(FreqTIPS)+1,0))</f>
        <v>X</v>
      </c>
    </row>
    <row r="436" spans="10:11" x14ac:dyDescent="0.35">
      <c r="J436" t="str">
        <f>IFERROR(IF(J435+1&gt;MAX(HAxisTIPS),"X",J435+1),"X")</f>
        <v>X</v>
      </c>
      <c r="K436" t="str">
        <f>IF(J436="X","X",IF(J436=ROUND(TIPS!$B$18,0),MAX(FreqTIPS)+1,0))</f>
        <v>X</v>
      </c>
    </row>
    <row r="437" spans="10:11" x14ac:dyDescent="0.35">
      <c r="J437" t="str">
        <f>IFERROR(IF(J436+1&gt;MAX(HAxisTIPS),"X",J436+1),"X")</f>
        <v>X</v>
      </c>
      <c r="K437" t="str">
        <f>IF(J437="X","X",IF(J437=ROUND(TIPS!$B$18,0),MAX(FreqTIPS)+1,0))</f>
        <v>X</v>
      </c>
    </row>
    <row r="438" spans="10:11" x14ac:dyDescent="0.35">
      <c r="J438" t="str">
        <f>IFERROR(IF(J437+1&gt;MAX(HAxisTIPS),"X",J437+1),"X")</f>
        <v>X</v>
      </c>
      <c r="K438" t="str">
        <f>IF(J438="X","X",IF(J438=ROUND(TIPS!$B$18,0),MAX(FreqTIPS)+1,0))</f>
        <v>X</v>
      </c>
    </row>
    <row r="439" spans="10:11" x14ac:dyDescent="0.35">
      <c r="J439" t="str">
        <f>IFERROR(IF(J438+1&gt;MAX(HAxisTIPS),"X",J438+1),"X")</f>
        <v>X</v>
      </c>
      <c r="K439" t="str">
        <f>IF(J439="X","X",IF(J439=ROUND(TIPS!$B$18,0),MAX(FreqTIPS)+1,0))</f>
        <v>X</v>
      </c>
    </row>
    <row r="440" spans="10:11" x14ac:dyDescent="0.35">
      <c r="J440" t="str">
        <f>IFERROR(IF(J439+1&gt;MAX(HAxisTIPS),"X",J439+1),"X")</f>
        <v>X</v>
      </c>
      <c r="K440" t="str">
        <f>IF(J440="X","X",IF(J440=ROUND(TIPS!$B$18,0),MAX(FreqTIPS)+1,0))</f>
        <v>X</v>
      </c>
    </row>
    <row r="441" spans="10:11" x14ac:dyDescent="0.35">
      <c r="J441" t="str">
        <f>IFERROR(IF(J440+1&gt;MAX(HAxisTIPS),"X",J440+1),"X")</f>
        <v>X</v>
      </c>
      <c r="K441" t="str">
        <f>IF(J441="X","X",IF(J441=ROUND(TIPS!$B$18,0),MAX(FreqTIPS)+1,0))</f>
        <v>X</v>
      </c>
    </row>
    <row r="442" spans="10:11" x14ac:dyDescent="0.35">
      <c r="J442" t="str">
        <f>IFERROR(IF(J441+1&gt;MAX(HAxisTIPS),"X",J441+1),"X")</f>
        <v>X</v>
      </c>
      <c r="K442" t="str">
        <f>IF(J442="X","X",IF(J442=ROUND(TIPS!$B$18,0),MAX(FreqTIPS)+1,0))</f>
        <v>X</v>
      </c>
    </row>
    <row r="443" spans="10:11" x14ac:dyDescent="0.35">
      <c r="J443" t="str">
        <f>IFERROR(IF(J442+1&gt;MAX(HAxisTIPS),"X",J442+1),"X")</f>
        <v>X</v>
      </c>
      <c r="K443" t="str">
        <f>IF(J443="X","X",IF(J443=ROUND(TIPS!$B$18,0),MAX(FreqTIPS)+1,0))</f>
        <v>X</v>
      </c>
    </row>
    <row r="444" spans="10:11" x14ac:dyDescent="0.35">
      <c r="J444" t="str">
        <f>IFERROR(IF(J443+1&gt;MAX(HAxisTIPS),"X",J443+1),"X")</f>
        <v>X</v>
      </c>
      <c r="K444" t="str">
        <f>IF(J444="X","X",IF(J444=ROUND(TIPS!$B$18,0),MAX(FreqTIPS)+1,0))</f>
        <v>X</v>
      </c>
    </row>
    <row r="445" spans="10:11" x14ac:dyDescent="0.35">
      <c r="J445" t="str">
        <f>IFERROR(IF(J444+1&gt;MAX(HAxisTIPS),"X",J444+1),"X")</f>
        <v>X</v>
      </c>
      <c r="K445" t="str">
        <f>IF(J445="X","X",IF(J445=ROUND(TIPS!$B$18,0),MAX(FreqTIPS)+1,0))</f>
        <v>X</v>
      </c>
    </row>
    <row r="446" spans="10:11" x14ac:dyDescent="0.35">
      <c r="J446" t="str">
        <f>IFERROR(IF(J445+1&gt;MAX(HAxisTIPS),"X",J445+1),"X")</f>
        <v>X</v>
      </c>
      <c r="K446" t="str">
        <f>IF(J446="X","X",IF(J446=ROUND(TIPS!$B$18,0),MAX(FreqTIPS)+1,0))</f>
        <v>X</v>
      </c>
    </row>
    <row r="447" spans="10:11" x14ac:dyDescent="0.35">
      <c r="J447" t="str">
        <f>IFERROR(IF(J446+1&gt;MAX(HAxisTIPS),"X",J446+1),"X")</f>
        <v>X</v>
      </c>
      <c r="K447" t="str">
        <f>IF(J447="X","X",IF(J447=ROUND(TIPS!$B$18,0),MAX(FreqTIPS)+1,0))</f>
        <v>X</v>
      </c>
    </row>
    <row r="448" spans="10:11" x14ac:dyDescent="0.35">
      <c r="J448" t="str">
        <f>IFERROR(IF(J447+1&gt;MAX(HAxisTIPS),"X",J447+1),"X")</f>
        <v>X</v>
      </c>
      <c r="K448" t="str">
        <f>IF(J448="X","X",IF(J448=ROUND(TIPS!$B$18,0),MAX(FreqTIPS)+1,0))</f>
        <v>X</v>
      </c>
    </row>
    <row r="449" spans="10:11" x14ac:dyDescent="0.35">
      <c r="J449" t="str">
        <f>IFERROR(IF(J448+1&gt;MAX(HAxisTIPS),"X",J448+1),"X")</f>
        <v>X</v>
      </c>
      <c r="K449" t="str">
        <f>IF(J449="X","X",IF(J449=ROUND(TIPS!$B$18,0),MAX(FreqTIPS)+1,0))</f>
        <v>X</v>
      </c>
    </row>
    <row r="450" spans="10:11" x14ac:dyDescent="0.35">
      <c r="J450" t="str">
        <f>IFERROR(IF(J449+1&gt;MAX(HAxisTIPS),"X",J449+1),"X")</f>
        <v>X</v>
      </c>
      <c r="K450" t="str">
        <f>IF(J450="X","X",IF(J450=ROUND(TIPS!$B$18,0),MAX(FreqTIPS)+1,0))</f>
        <v>X</v>
      </c>
    </row>
    <row r="451" spans="10:11" x14ac:dyDescent="0.35">
      <c r="J451" t="str">
        <f>IFERROR(IF(J450+1&gt;MAX(HAxisTIPS),"X",J450+1),"X")</f>
        <v>X</v>
      </c>
      <c r="K451" t="str">
        <f>IF(J451="X","X",IF(J451=ROUND(TIPS!$B$18,0),MAX(FreqTIPS)+1,0))</f>
        <v>X</v>
      </c>
    </row>
    <row r="452" spans="10:11" x14ac:dyDescent="0.35">
      <c r="J452" t="str">
        <f>IFERROR(IF(J451+1&gt;MAX(HAxisTIPS),"X",J451+1),"X")</f>
        <v>X</v>
      </c>
      <c r="K452" t="str">
        <f>IF(J452="X","X",IF(J452=ROUND(TIPS!$B$18,0),MAX(FreqTIPS)+1,0))</f>
        <v>X</v>
      </c>
    </row>
    <row r="453" spans="10:11" x14ac:dyDescent="0.35">
      <c r="J453" t="str">
        <f>IFERROR(IF(J452+1&gt;MAX(HAxisTIPS),"X",J452+1),"X")</f>
        <v>X</v>
      </c>
      <c r="K453" t="str">
        <f>IF(J453="X","X",IF(J453=ROUND(TIPS!$B$18,0),MAX(FreqTIPS)+1,0))</f>
        <v>X</v>
      </c>
    </row>
    <row r="454" spans="10:11" x14ac:dyDescent="0.35">
      <c r="J454" t="str">
        <f>IFERROR(IF(J453+1&gt;MAX(HAxisTIPS),"X",J453+1),"X")</f>
        <v>X</v>
      </c>
      <c r="K454" t="str">
        <f>IF(J454="X","X",IF(J454=ROUND(TIPS!$B$18,0),MAX(FreqTIPS)+1,0))</f>
        <v>X</v>
      </c>
    </row>
    <row r="455" spans="10:11" x14ac:dyDescent="0.35">
      <c r="J455" t="str">
        <f>IFERROR(IF(J454+1&gt;MAX(HAxisTIPS),"X",J454+1),"X")</f>
        <v>X</v>
      </c>
      <c r="K455" t="str">
        <f>IF(J455="X","X",IF(J455=ROUND(TIPS!$B$18,0),MAX(FreqTIPS)+1,0))</f>
        <v>X</v>
      </c>
    </row>
    <row r="456" spans="10:11" x14ac:dyDescent="0.35">
      <c r="J456" t="str">
        <f>IFERROR(IF(J455+1&gt;MAX(HAxisTIPS),"X",J455+1),"X")</f>
        <v>X</v>
      </c>
      <c r="K456" t="str">
        <f>IF(J456="X","X",IF(J456=ROUND(TIPS!$B$18,0),MAX(FreqTIPS)+1,0))</f>
        <v>X</v>
      </c>
    </row>
    <row r="457" spans="10:11" x14ac:dyDescent="0.35">
      <c r="J457" t="str">
        <f>IFERROR(IF(J456+1&gt;MAX(HAxisTIPS),"X",J456+1),"X")</f>
        <v>X</v>
      </c>
      <c r="K457" t="str">
        <f>IF(J457="X","X",IF(J457=ROUND(TIPS!$B$18,0),MAX(FreqTIPS)+1,0))</f>
        <v>X</v>
      </c>
    </row>
    <row r="458" spans="10:11" x14ac:dyDescent="0.35">
      <c r="J458" t="str">
        <f>IFERROR(IF(J457+1&gt;MAX(HAxisTIPS),"X",J457+1),"X")</f>
        <v>X</v>
      </c>
      <c r="K458" t="str">
        <f>IF(J458="X","X",IF(J458=ROUND(TIPS!$B$18,0),MAX(FreqTIPS)+1,0))</f>
        <v>X</v>
      </c>
    </row>
    <row r="459" spans="10:11" x14ac:dyDescent="0.35">
      <c r="J459" t="str">
        <f>IFERROR(IF(J458+1&gt;MAX(HAxisTIPS),"X",J458+1),"X")</f>
        <v>X</v>
      </c>
      <c r="K459" t="str">
        <f>IF(J459="X","X",IF(J459=ROUND(TIPS!$B$18,0),MAX(FreqTIPS)+1,0))</f>
        <v>X</v>
      </c>
    </row>
    <row r="460" spans="10:11" x14ac:dyDescent="0.35">
      <c r="J460" t="str">
        <f>IFERROR(IF(J459+1&gt;MAX(HAxisTIPS),"X",J459+1),"X")</f>
        <v>X</v>
      </c>
      <c r="K460" t="str">
        <f>IF(J460="X","X",IF(J460=ROUND(TIPS!$B$18,0),MAX(FreqTIPS)+1,0))</f>
        <v>X</v>
      </c>
    </row>
    <row r="461" spans="10:11" x14ac:dyDescent="0.35">
      <c r="J461" t="str">
        <f>IFERROR(IF(J460+1&gt;MAX(HAxisTIPS),"X",J460+1),"X")</f>
        <v>X</v>
      </c>
      <c r="K461" t="str">
        <f>IF(J461="X","X",IF(J461=ROUND(TIPS!$B$18,0),MAX(FreqTIPS)+1,0))</f>
        <v>X</v>
      </c>
    </row>
    <row r="462" spans="10:11" x14ac:dyDescent="0.35">
      <c r="J462" t="str">
        <f>IFERROR(IF(J461+1&gt;MAX(HAxisTIPS),"X",J461+1),"X")</f>
        <v>X</v>
      </c>
      <c r="K462" t="str">
        <f>IF(J462="X","X",IF(J462=ROUND(TIPS!$B$18,0),MAX(FreqTIPS)+1,0))</f>
        <v>X</v>
      </c>
    </row>
    <row r="463" spans="10:11" x14ac:dyDescent="0.35">
      <c r="J463" t="str">
        <f>IFERROR(IF(J462+1&gt;MAX(HAxisTIPS),"X",J462+1),"X")</f>
        <v>X</v>
      </c>
      <c r="K463" t="str">
        <f>IF(J463="X","X",IF(J463=ROUND(TIPS!$B$18,0),MAX(FreqTIPS)+1,0))</f>
        <v>X</v>
      </c>
    </row>
    <row r="464" spans="10:11" x14ac:dyDescent="0.35">
      <c r="J464" t="str">
        <f>IFERROR(IF(J463+1&gt;MAX(HAxisTIPS),"X",J463+1),"X")</f>
        <v>X</v>
      </c>
      <c r="K464" t="str">
        <f>IF(J464="X","X",IF(J464=ROUND(TIPS!$B$18,0),MAX(FreqTIPS)+1,0))</f>
        <v>X</v>
      </c>
    </row>
    <row r="465" spans="10:11" x14ac:dyDescent="0.35">
      <c r="J465" t="str">
        <f>IFERROR(IF(J464+1&gt;MAX(HAxisTIPS),"X",J464+1),"X")</f>
        <v>X</v>
      </c>
      <c r="K465" t="str">
        <f>IF(J465="X","X",IF(J465=ROUND(TIPS!$B$18,0),MAX(FreqTIPS)+1,0))</f>
        <v>X</v>
      </c>
    </row>
    <row r="466" spans="10:11" x14ac:dyDescent="0.35">
      <c r="J466" t="str">
        <f>IFERROR(IF(J465+1&gt;MAX(HAxisTIPS),"X",J465+1),"X")</f>
        <v>X</v>
      </c>
      <c r="K466" t="str">
        <f>IF(J466="X","X",IF(J466=ROUND(TIPS!$B$18,0),MAX(FreqTIPS)+1,0))</f>
        <v>X</v>
      </c>
    </row>
    <row r="467" spans="10:11" x14ac:dyDescent="0.35">
      <c r="J467" t="str">
        <f>IFERROR(IF(J466+1&gt;MAX(HAxisTIPS),"X",J466+1),"X")</f>
        <v>X</v>
      </c>
      <c r="K467" t="str">
        <f>IF(J467="X","X",IF(J467=ROUND(TIPS!$B$18,0),MAX(FreqTIPS)+1,0))</f>
        <v>X</v>
      </c>
    </row>
    <row r="468" spans="10:11" x14ac:dyDescent="0.35">
      <c r="J468" t="str">
        <f>IFERROR(IF(J467+1&gt;MAX(HAxisTIPS),"X",J467+1),"X")</f>
        <v>X</v>
      </c>
      <c r="K468" t="str">
        <f>IF(J468="X","X",IF(J468=ROUND(TIPS!$B$18,0),MAX(FreqTIPS)+1,0))</f>
        <v>X</v>
      </c>
    </row>
    <row r="469" spans="10:11" x14ac:dyDescent="0.35">
      <c r="J469" t="str">
        <f>IFERROR(IF(J468+1&gt;MAX(HAxisTIPS),"X",J468+1),"X")</f>
        <v>X</v>
      </c>
      <c r="K469" t="str">
        <f>IF(J469="X","X",IF(J469=ROUND(TIPS!$B$18,0),MAX(FreqTIPS)+1,0))</f>
        <v>X</v>
      </c>
    </row>
    <row r="470" spans="10:11" x14ac:dyDescent="0.35">
      <c r="J470" t="str">
        <f>IFERROR(IF(J469+1&gt;MAX(HAxisTIPS),"X",J469+1),"X")</f>
        <v>X</v>
      </c>
      <c r="K470" t="str">
        <f>IF(J470="X","X",IF(J470=ROUND(TIPS!$B$18,0),MAX(FreqTIPS)+1,0))</f>
        <v>X</v>
      </c>
    </row>
    <row r="471" spans="10:11" x14ac:dyDescent="0.35">
      <c r="J471" t="str">
        <f>IFERROR(IF(J470+1&gt;MAX(HAxisTIPS),"X",J470+1),"X")</f>
        <v>X</v>
      </c>
      <c r="K471" t="str">
        <f>IF(J471="X","X",IF(J471=ROUND(TIPS!$B$18,0),MAX(FreqTIPS)+1,0))</f>
        <v>X</v>
      </c>
    </row>
    <row r="472" spans="10:11" x14ac:dyDescent="0.35">
      <c r="J472" t="str">
        <f>IFERROR(IF(J471+1&gt;MAX(HAxisTIPS),"X",J471+1),"X")</f>
        <v>X</v>
      </c>
      <c r="K472" t="str">
        <f>IF(J472="X","X",IF(J472=ROUND(TIPS!$B$18,0),MAX(FreqTIPS)+1,0))</f>
        <v>X</v>
      </c>
    </row>
    <row r="473" spans="10:11" x14ac:dyDescent="0.35">
      <c r="J473" t="str">
        <f>IFERROR(IF(J472+1&gt;MAX(HAxisTIPS),"X",J472+1),"X")</f>
        <v>X</v>
      </c>
      <c r="K473" t="str">
        <f>IF(J473="X","X",IF(J473=ROUND(TIPS!$B$18,0),MAX(FreqTIPS)+1,0))</f>
        <v>X</v>
      </c>
    </row>
    <row r="474" spans="10:11" x14ac:dyDescent="0.35">
      <c r="J474" t="str">
        <f>IFERROR(IF(J473+1&gt;MAX(HAxisTIPS),"X",J473+1),"X")</f>
        <v>X</v>
      </c>
      <c r="K474" t="str">
        <f>IF(J474="X","X",IF(J474=ROUND(TIPS!$B$18,0),MAX(FreqTIPS)+1,0))</f>
        <v>X</v>
      </c>
    </row>
    <row r="475" spans="10:11" x14ac:dyDescent="0.35">
      <c r="J475" t="str">
        <f>IFERROR(IF(J474+1&gt;MAX(HAxisTIPS),"X",J474+1),"X")</f>
        <v>X</v>
      </c>
      <c r="K475" t="str">
        <f>IF(J475="X","X",IF(J475=ROUND(TIPS!$B$18,0),MAX(FreqTIPS)+1,0))</f>
        <v>X</v>
      </c>
    </row>
    <row r="476" spans="10:11" x14ac:dyDescent="0.35">
      <c r="J476" t="str">
        <f>IFERROR(IF(J475+1&gt;MAX(HAxisTIPS),"X",J475+1),"X")</f>
        <v>X</v>
      </c>
      <c r="K476" t="str">
        <f>IF(J476="X","X",IF(J476=ROUND(TIPS!$B$18,0),MAX(FreqTIPS)+1,0))</f>
        <v>X</v>
      </c>
    </row>
    <row r="477" spans="10:11" x14ac:dyDescent="0.35">
      <c r="J477" t="str">
        <f>IFERROR(IF(J476+1&gt;MAX(HAxisTIPS),"X",J476+1),"X")</f>
        <v>X</v>
      </c>
      <c r="K477" t="str">
        <f>IF(J477="X","X",IF(J477=ROUND(TIPS!$B$18,0),MAX(FreqTIPS)+1,0))</f>
        <v>X</v>
      </c>
    </row>
    <row r="478" spans="10:11" x14ac:dyDescent="0.35">
      <c r="J478" t="str">
        <f>IFERROR(IF(J477+1&gt;MAX(HAxisTIPS),"X",J477+1),"X")</f>
        <v>X</v>
      </c>
      <c r="K478" t="str">
        <f>IF(J478="X","X",IF(J478=ROUND(TIPS!$B$18,0),MAX(FreqTIPS)+1,0))</f>
        <v>X</v>
      </c>
    </row>
    <row r="479" spans="10:11" x14ac:dyDescent="0.35">
      <c r="J479" t="str">
        <f>IFERROR(IF(J478+1&gt;MAX(HAxisTIPS),"X",J478+1),"X")</f>
        <v>X</v>
      </c>
      <c r="K479" t="str">
        <f>IF(J479="X","X",IF(J479=ROUND(TIPS!$B$18,0),MAX(FreqTIPS)+1,0))</f>
        <v>X</v>
      </c>
    </row>
    <row r="480" spans="10:11" x14ac:dyDescent="0.35">
      <c r="J480" t="str">
        <f>IFERROR(IF(J479+1&gt;MAX(HAxisTIPS),"X",J479+1),"X")</f>
        <v>X</v>
      </c>
      <c r="K480" t="str">
        <f>IF(J480="X","X",IF(J480=ROUND(TIPS!$B$18,0),MAX(FreqTIPS)+1,0))</f>
        <v>X</v>
      </c>
    </row>
    <row r="481" spans="10:11" x14ac:dyDescent="0.35">
      <c r="J481" t="str">
        <f>IFERROR(IF(J480+1&gt;MAX(HAxisTIPS),"X",J480+1),"X")</f>
        <v>X</v>
      </c>
      <c r="K481" t="str">
        <f>IF(J481="X","X",IF(J481=ROUND(TIPS!$B$18,0),MAX(FreqTIPS)+1,0))</f>
        <v>X</v>
      </c>
    </row>
    <row r="482" spans="10:11" x14ac:dyDescent="0.35">
      <c r="J482" t="str">
        <f>IFERROR(IF(J481+1&gt;MAX(HAxisTIPS),"X",J481+1),"X")</f>
        <v>X</v>
      </c>
      <c r="K482" t="str">
        <f>IF(J482="X","X",IF(J482=ROUND(TIPS!$B$18,0),MAX(FreqTIPS)+1,0))</f>
        <v>X</v>
      </c>
    </row>
    <row r="483" spans="10:11" x14ac:dyDescent="0.35">
      <c r="J483" t="str">
        <f>IFERROR(IF(J482+1&gt;MAX(HAxisTIPS),"X",J482+1),"X")</f>
        <v>X</v>
      </c>
      <c r="K483" t="str">
        <f>IF(J483="X","X",IF(J483=ROUND(TIPS!$B$18,0),MAX(FreqTIPS)+1,0))</f>
        <v>X</v>
      </c>
    </row>
    <row r="484" spans="10:11" x14ac:dyDescent="0.35">
      <c r="J484" t="str">
        <f>IFERROR(IF(J483+1&gt;MAX(HAxisTIPS),"X",J483+1),"X")</f>
        <v>X</v>
      </c>
      <c r="K484" t="str">
        <f>IF(J484="X","X",IF(J484=ROUND(TIPS!$B$18,0),MAX(FreqTIPS)+1,0))</f>
        <v>X</v>
      </c>
    </row>
    <row r="485" spans="10:11" x14ac:dyDescent="0.35">
      <c r="J485" t="str">
        <f>IFERROR(IF(J484+1&gt;MAX(HAxisTIPS),"X",J484+1),"X")</f>
        <v>X</v>
      </c>
      <c r="K485" t="str">
        <f>IF(J485="X","X",IF(J485=ROUND(TIPS!$B$18,0),MAX(FreqTIPS)+1,0))</f>
        <v>X</v>
      </c>
    </row>
    <row r="486" spans="10:11" x14ac:dyDescent="0.35">
      <c r="J486" t="str">
        <f>IFERROR(IF(J485+1&gt;MAX(HAxisTIPS),"X",J485+1),"X")</f>
        <v>X</v>
      </c>
      <c r="K486" t="str">
        <f>IF(J486="X","X",IF(J486=ROUND(TIPS!$B$18,0),MAX(FreqTIPS)+1,0))</f>
        <v>X</v>
      </c>
    </row>
    <row r="487" spans="10:11" x14ac:dyDescent="0.35">
      <c r="J487" t="str">
        <f>IFERROR(IF(J486+1&gt;MAX(HAxisTIPS),"X",J486+1),"X")</f>
        <v>X</v>
      </c>
      <c r="K487" t="str">
        <f>IF(J487="X","X",IF(J487=ROUND(TIPS!$B$18,0),MAX(FreqTIPS)+1,0))</f>
        <v>X</v>
      </c>
    </row>
    <row r="488" spans="10:11" x14ac:dyDescent="0.35">
      <c r="J488" t="str">
        <f>IFERROR(IF(J487+1&gt;MAX(HAxisTIPS),"X",J487+1),"X")</f>
        <v>X</v>
      </c>
      <c r="K488" t="str">
        <f>IF(J488="X","X",IF(J488=ROUND(TIPS!$B$18,0),MAX(FreqTIPS)+1,0))</f>
        <v>X</v>
      </c>
    </row>
    <row r="489" spans="10:11" x14ac:dyDescent="0.35">
      <c r="J489" t="str">
        <f>IFERROR(IF(J488+1&gt;MAX(HAxisTIPS),"X",J488+1),"X")</f>
        <v>X</v>
      </c>
      <c r="K489" t="str">
        <f>IF(J489="X","X",IF(J489=ROUND(TIPS!$B$18,0),MAX(FreqTIPS)+1,0))</f>
        <v>X</v>
      </c>
    </row>
    <row r="490" spans="10:11" x14ac:dyDescent="0.35">
      <c r="J490" t="str">
        <f>IFERROR(IF(J489+1&gt;MAX(HAxisTIPS),"X",J489+1),"X")</f>
        <v>X</v>
      </c>
      <c r="K490" t="str">
        <f>IF(J490="X","X",IF(J490=ROUND(TIPS!$B$18,0),MAX(FreqTIPS)+1,0))</f>
        <v>X</v>
      </c>
    </row>
    <row r="491" spans="10:11" x14ac:dyDescent="0.35">
      <c r="J491" t="str">
        <f>IFERROR(IF(J490+1&gt;MAX(HAxisTIPS),"X",J490+1),"X")</f>
        <v>X</v>
      </c>
      <c r="K491" t="str">
        <f>IF(J491="X","X",IF(J491=ROUND(TIPS!$B$18,0),MAX(FreqTIPS)+1,0))</f>
        <v>X</v>
      </c>
    </row>
    <row r="492" spans="10:11" x14ac:dyDescent="0.35">
      <c r="J492" t="str">
        <f>IFERROR(IF(J491+1&gt;MAX(HAxisTIPS),"X",J491+1),"X")</f>
        <v>X</v>
      </c>
      <c r="K492" t="str">
        <f>IF(J492="X","X",IF(J492=ROUND(TIPS!$B$18,0),MAX(FreqTIPS)+1,0))</f>
        <v>X</v>
      </c>
    </row>
    <row r="493" spans="10:11" x14ac:dyDescent="0.35">
      <c r="J493" t="str">
        <f>IFERROR(IF(J492+1&gt;MAX(HAxisTIPS),"X",J492+1),"X")</f>
        <v>X</v>
      </c>
      <c r="K493" t="str">
        <f>IF(J493="X","X",IF(J493=ROUND(TIPS!$B$18,0),MAX(FreqTIPS)+1,0))</f>
        <v>X</v>
      </c>
    </row>
    <row r="494" spans="10:11" x14ac:dyDescent="0.35">
      <c r="J494" t="str">
        <f>IFERROR(IF(J493+1&gt;MAX(HAxisTIPS),"X",J493+1),"X")</f>
        <v>X</v>
      </c>
      <c r="K494" t="str">
        <f>IF(J494="X","X",IF(J494=ROUND(TIPS!$B$18,0),MAX(FreqTIPS)+1,0))</f>
        <v>X</v>
      </c>
    </row>
    <row r="495" spans="10:11" x14ac:dyDescent="0.35">
      <c r="J495" t="str">
        <f>IFERROR(IF(J494+1&gt;MAX(HAxisTIPS),"X",J494+1),"X")</f>
        <v>X</v>
      </c>
      <c r="K495" t="str">
        <f>IF(J495="X","X",IF(J495=ROUND(TIPS!$B$18,0),MAX(FreqTIPS)+1,0))</f>
        <v>X</v>
      </c>
    </row>
    <row r="496" spans="10:11" x14ac:dyDescent="0.35">
      <c r="J496" t="str">
        <f>IFERROR(IF(J495+1&gt;MAX(HAxisTIPS),"X",J495+1),"X")</f>
        <v>X</v>
      </c>
      <c r="K496" t="str">
        <f>IF(J496="X","X",IF(J496=ROUND(TIPS!$B$18,0),MAX(FreqTIPS)+1,0))</f>
        <v>X</v>
      </c>
    </row>
    <row r="497" spans="10:11" x14ac:dyDescent="0.35">
      <c r="J497" t="str">
        <f>IFERROR(IF(J496+1&gt;MAX(HAxisTIPS),"X",J496+1),"X")</f>
        <v>X</v>
      </c>
      <c r="K497" t="str">
        <f>IF(J497="X","X",IF(J497=ROUND(TIPS!$B$18,0),MAX(FreqTIPS)+1,0))</f>
        <v>X</v>
      </c>
    </row>
    <row r="498" spans="10:11" x14ac:dyDescent="0.35">
      <c r="J498" t="str">
        <f>IFERROR(IF(J497+1&gt;MAX(HAxisTIPS),"X",J497+1),"X")</f>
        <v>X</v>
      </c>
      <c r="K498" t="str">
        <f>IF(J498="X","X",IF(J498=ROUND(TIPS!$B$18,0),MAX(FreqTIPS)+1,0))</f>
        <v>X</v>
      </c>
    </row>
    <row r="499" spans="10:11" x14ac:dyDescent="0.35">
      <c r="J499" t="str">
        <f>IFERROR(IF(J498+1&gt;MAX(HAxisTIPS),"X",J498+1),"X")</f>
        <v>X</v>
      </c>
      <c r="K499" t="str">
        <f>IF(J499="X","X",IF(J499=ROUND(TIPS!$B$18,0),MAX(FreqTIPS)+1,0))</f>
        <v>X</v>
      </c>
    </row>
    <row r="500" spans="10:11" x14ac:dyDescent="0.35">
      <c r="J500" t="str">
        <f>IFERROR(IF(J499+1&gt;MAX(HAxisTIPS),"X",J499+1),"X")</f>
        <v>X</v>
      </c>
      <c r="K500" t="str">
        <f>IF(J500="X","X",IF(J500=ROUND(TIPS!$B$18,0),MAX(FreqTIPS)+1,0))</f>
        <v>X</v>
      </c>
    </row>
    <row r="501" spans="10:11" x14ac:dyDescent="0.35">
      <c r="J501" t="str">
        <f>IFERROR(IF(J500+1&gt;MAX(HAxisTIPS),"X",J500+1),"X")</f>
        <v>X</v>
      </c>
      <c r="K501" t="str">
        <f>IF(J501="X","X",IF(J501=ROUND(TIPS!$B$18,0),MAX(FreqTIPS)+1,0))</f>
        <v>X</v>
      </c>
    </row>
    <row r="502" spans="10:11" x14ac:dyDescent="0.35">
      <c r="J502" t="str">
        <f>IFERROR(IF(J501+1&gt;MAX(HAxisTIPS),"X",J501+1),"X")</f>
        <v>X</v>
      </c>
      <c r="K502" t="str">
        <f>IF(J502="X","X",IF(J502=ROUND(TIPS!$B$18,0),MAX(FreqTIPS)+1,0))</f>
        <v>X</v>
      </c>
    </row>
    <row r="503" spans="10:11" x14ac:dyDescent="0.35">
      <c r="J503" t="str">
        <f>IFERROR(IF(J502+1&gt;MAX(HAxisTIPS),"X",J502+1),"X")</f>
        <v>X</v>
      </c>
      <c r="K503" t="str">
        <f>IF(J503="X","X",IF(J503=ROUND(TIPS!$B$18,0),MAX(FreqTIPS)+1,0))</f>
        <v>X</v>
      </c>
    </row>
    <row r="504" spans="10:11" x14ac:dyDescent="0.35">
      <c r="J504" t="str">
        <f>IFERROR(IF(J503+1&gt;MAX(HAxisTIPS),"X",J503+1),"X")</f>
        <v>X</v>
      </c>
      <c r="K504" t="str">
        <f>IF(J504="X","X",IF(J504=ROUND(TIPS!$B$18,0),MAX(FreqTIPS)+1,0))</f>
        <v>X</v>
      </c>
    </row>
    <row r="505" spans="10:11" x14ac:dyDescent="0.35">
      <c r="J505" t="str">
        <f>IFERROR(IF(J504+1&gt;MAX(HAxisTIPS),"X",J504+1),"X")</f>
        <v>X</v>
      </c>
      <c r="K505" t="str">
        <f>IF(J505="X","X",IF(J505=ROUND(TIPS!$B$18,0),MAX(FreqTIPS)+1,0))</f>
        <v>X</v>
      </c>
    </row>
    <row r="506" spans="10:11" x14ac:dyDescent="0.35">
      <c r="J506" t="str">
        <f>IFERROR(IF(J505+1&gt;MAX(HAxisTIPS),"X",J505+1),"X")</f>
        <v>X</v>
      </c>
      <c r="K506" t="str">
        <f>IF(J506="X","X",IF(J506=ROUND(TIPS!$B$18,0),MAX(FreqTIPS)+1,0))</f>
        <v>X</v>
      </c>
    </row>
    <row r="507" spans="10:11" x14ac:dyDescent="0.35">
      <c r="J507" t="str">
        <f>IFERROR(IF(J506+1&gt;MAX(HAxisTIPS),"X",J506+1),"X")</f>
        <v>X</v>
      </c>
      <c r="K507" t="str">
        <f>IF(J507="X","X",IF(J507=ROUND(TIPS!$B$18,0),MAX(FreqTIPS)+1,0))</f>
        <v>X</v>
      </c>
    </row>
    <row r="508" spans="10:11" x14ac:dyDescent="0.35">
      <c r="J508" t="str">
        <f>IFERROR(IF(J507+1&gt;MAX(HAxisTIPS),"X",J507+1),"X")</f>
        <v>X</v>
      </c>
      <c r="K508" t="str">
        <f>IF(J508="X","X",IF(J508=ROUND(TIPS!$B$18,0),MAX(FreqTIPS)+1,0))</f>
        <v>X</v>
      </c>
    </row>
    <row r="509" spans="10:11" x14ac:dyDescent="0.35">
      <c r="J509" t="str">
        <f>IFERROR(IF(J508+1&gt;MAX(HAxisTIPS),"X",J508+1),"X")</f>
        <v>X</v>
      </c>
      <c r="K509" t="str">
        <f>IF(J509="X","X",IF(J509=ROUND(TIPS!$B$18,0),MAX(FreqTIPS)+1,0))</f>
        <v>X</v>
      </c>
    </row>
    <row r="510" spans="10:11" x14ac:dyDescent="0.35">
      <c r="J510" t="str">
        <f>IFERROR(IF(J509+1&gt;MAX(HAxisTIPS),"X",J509+1),"X")</f>
        <v>X</v>
      </c>
      <c r="K510" t="str">
        <f>IF(J510="X","X",IF(J510=ROUND(TIPS!$B$18,0),MAX(FreqTIPS)+1,0))</f>
        <v>X</v>
      </c>
    </row>
    <row r="511" spans="10:11" x14ac:dyDescent="0.35">
      <c r="J511" t="str">
        <f>IFERROR(IF(J510+1&gt;MAX(HAxisTIPS),"X",J510+1),"X")</f>
        <v>X</v>
      </c>
      <c r="K511" t="str">
        <f>IF(J511="X","X",IF(J511=ROUND(TIPS!$B$18,0),MAX(FreqTIPS)+1,0))</f>
        <v>X</v>
      </c>
    </row>
    <row r="512" spans="10:11" x14ac:dyDescent="0.35">
      <c r="J512" t="str">
        <f>IFERROR(IF(J511+1&gt;MAX(HAxisTIPS),"X",J511+1),"X")</f>
        <v>X</v>
      </c>
      <c r="K512" t="str">
        <f>IF(J512="X","X",IF(J512=ROUND(TIPS!$B$18,0),MAX(FreqTIPS)+1,0))</f>
        <v>X</v>
      </c>
    </row>
    <row r="513" spans="10:11" x14ac:dyDescent="0.35">
      <c r="J513" t="str">
        <f>IFERROR(IF(J512+1&gt;MAX(HAxisTIPS),"X",J512+1),"X")</f>
        <v>X</v>
      </c>
      <c r="K513" t="str">
        <f>IF(J513="X","X",IF(J513=ROUND(TIPS!$B$18,0),MAX(FreqTIPS)+1,0))</f>
        <v>X</v>
      </c>
    </row>
    <row r="514" spans="10:11" x14ac:dyDescent="0.35">
      <c r="J514" t="str">
        <f>IFERROR(IF(J513+1&gt;MAX(HAxisTIPS),"X",J513+1),"X")</f>
        <v>X</v>
      </c>
      <c r="K514" t="str">
        <f>IF(J514="X","X",IF(J514=ROUND(TIPS!$B$18,0),MAX(FreqTIPS)+1,0))</f>
        <v>X</v>
      </c>
    </row>
    <row r="515" spans="10:11" x14ac:dyDescent="0.35">
      <c r="J515" t="str">
        <f>IFERROR(IF(J514+1&gt;MAX(HAxisTIPS),"X",J514+1),"X")</f>
        <v>X</v>
      </c>
      <c r="K515" t="str">
        <f>IF(J515="X","X",IF(J515=ROUND(TIPS!$B$18,0),MAX(FreqTIPS)+1,0))</f>
        <v>X</v>
      </c>
    </row>
    <row r="516" spans="10:11" x14ac:dyDescent="0.35">
      <c r="J516" t="str">
        <f>IFERROR(IF(J515+1&gt;MAX(HAxisTIPS),"X",J515+1),"X")</f>
        <v>X</v>
      </c>
      <c r="K516" t="str">
        <f>IF(J516="X","X",IF(J516=ROUND(TIPS!$B$18,0),MAX(FreqTIPS)+1,0))</f>
        <v>X</v>
      </c>
    </row>
    <row r="517" spans="10:11" x14ac:dyDescent="0.35">
      <c r="J517" t="str">
        <f>IFERROR(IF(J516+1&gt;MAX(HAxisTIPS),"X",J516+1),"X")</f>
        <v>X</v>
      </c>
      <c r="K517" t="str">
        <f>IF(J517="X","X",IF(J517=ROUND(TIPS!$B$18,0),MAX(FreqTIPS)+1,0))</f>
        <v>X</v>
      </c>
    </row>
    <row r="518" spans="10:11" x14ac:dyDescent="0.35">
      <c r="J518" t="str">
        <f>IFERROR(IF(J517+1&gt;MAX(HAxisTIPS),"X",J517+1),"X")</f>
        <v>X</v>
      </c>
      <c r="K518" t="str">
        <f>IF(J518="X","X",IF(J518=ROUND(TIPS!$B$18,0),MAX(FreqTIPS)+1,0))</f>
        <v>X</v>
      </c>
    </row>
    <row r="519" spans="10:11" x14ac:dyDescent="0.35">
      <c r="J519" t="str">
        <f>IFERROR(IF(J518+1&gt;MAX(HAxisTIPS),"X",J518+1),"X")</f>
        <v>X</v>
      </c>
      <c r="K519" t="str">
        <f>IF(J519="X","X",IF(J519=ROUND(TIPS!$B$18,0),MAX(FreqTIPS)+1,0))</f>
        <v>X</v>
      </c>
    </row>
    <row r="520" spans="10:11" x14ac:dyDescent="0.35">
      <c r="J520" t="str">
        <f>IFERROR(IF(J519+1&gt;MAX(HAxisTIPS),"X",J519+1),"X")</f>
        <v>X</v>
      </c>
      <c r="K520" t="str">
        <f>IF(J520="X","X",IF(J520=ROUND(TIPS!$B$18,0),MAX(FreqTIPS)+1,0))</f>
        <v>X</v>
      </c>
    </row>
    <row r="521" spans="10:11" x14ac:dyDescent="0.35">
      <c r="J521" t="str">
        <f>IFERROR(IF(J520+1&gt;MAX(HAxisTIPS),"X",J520+1),"X")</f>
        <v>X</v>
      </c>
      <c r="K521" t="str">
        <f>IF(J521="X","X",IF(J521=ROUND(TIPS!$B$18,0),MAX(FreqTIPS)+1,0))</f>
        <v>X</v>
      </c>
    </row>
    <row r="522" spans="10:11" x14ac:dyDescent="0.35">
      <c r="J522" t="str">
        <f>IFERROR(IF(J521+1&gt;MAX(HAxisTIPS),"X",J521+1),"X")</f>
        <v>X</v>
      </c>
      <c r="K522" t="str">
        <f>IF(J522="X","X",IF(J522=ROUND(TIPS!$B$18,0),MAX(FreqTIPS)+1,0))</f>
        <v>X</v>
      </c>
    </row>
    <row r="523" spans="10:11" x14ac:dyDescent="0.35">
      <c r="J523" t="str">
        <f>IFERROR(IF(J522+1&gt;MAX(HAxisTIPS),"X",J522+1),"X")</f>
        <v>X</v>
      </c>
      <c r="K523" t="str">
        <f>IF(J523="X","X",IF(J523=ROUND(TIPS!$B$18,0),MAX(FreqTIPS)+1,0))</f>
        <v>X</v>
      </c>
    </row>
    <row r="524" spans="10:11" x14ac:dyDescent="0.35">
      <c r="J524" t="str">
        <f>IFERROR(IF(J523+1&gt;MAX(HAxisTIPS),"X",J523+1),"X")</f>
        <v>X</v>
      </c>
      <c r="K524" t="str">
        <f>IF(J524="X","X",IF(J524=ROUND(TIPS!$B$18,0),MAX(FreqTIPS)+1,0))</f>
        <v>X</v>
      </c>
    </row>
    <row r="525" spans="10:11" x14ac:dyDescent="0.35">
      <c r="J525" t="str">
        <f>IFERROR(IF(J524+1&gt;MAX(HAxisTIPS),"X",J524+1),"X")</f>
        <v>X</v>
      </c>
      <c r="K525" t="str">
        <f>IF(J525="X","X",IF(J525=ROUND(TIPS!$B$18,0),MAX(FreqTIPS)+1,0))</f>
        <v>X</v>
      </c>
    </row>
    <row r="526" spans="10:11" x14ac:dyDescent="0.35">
      <c r="J526" t="str">
        <f>IFERROR(IF(J525+1&gt;MAX(HAxisTIPS),"X",J525+1),"X")</f>
        <v>X</v>
      </c>
      <c r="K526" t="str">
        <f>IF(J526="X","X",IF(J526=ROUND(TIPS!$B$18,0),MAX(FreqTIPS)+1,0))</f>
        <v>X</v>
      </c>
    </row>
    <row r="527" spans="10:11" x14ac:dyDescent="0.35">
      <c r="J527" t="str">
        <f>IFERROR(IF(J526+1&gt;MAX(HAxisTIPS),"X",J526+1),"X")</f>
        <v>X</v>
      </c>
      <c r="K527" t="str">
        <f>IF(J527="X","X",IF(J527=ROUND(TIPS!$B$18,0),MAX(FreqTIPS)+1,0))</f>
        <v>X</v>
      </c>
    </row>
    <row r="528" spans="10:11" x14ac:dyDescent="0.35">
      <c r="J528" t="str">
        <f>IFERROR(IF(J527+1&gt;MAX(HAxisTIPS),"X",J527+1),"X")</f>
        <v>X</v>
      </c>
      <c r="K528" t="str">
        <f>IF(J528="X","X",IF(J528=ROUND(TIPS!$B$18,0),MAX(FreqTIPS)+1,0))</f>
        <v>X</v>
      </c>
    </row>
    <row r="529" spans="10:11" x14ac:dyDescent="0.35">
      <c r="J529" t="str">
        <f>IFERROR(IF(J528+1&gt;MAX(HAxisTIPS),"X",J528+1),"X")</f>
        <v>X</v>
      </c>
      <c r="K529" t="str">
        <f>IF(J529="X","X",IF(J529=ROUND(TIPS!$B$18,0),MAX(FreqTIPS)+1,0))</f>
        <v>X</v>
      </c>
    </row>
    <row r="530" spans="10:11" x14ac:dyDescent="0.35">
      <c r="J530" t="str">
        <f>IFERROR(IF(J529+1&gt;MAX(HAxisTIPS),"X",J529+1),"X")</f>
        <v>X</v>
      </c>
      <c r="K530" t="str">
        <f>IF(J530="X","X",IF(J530=ROUND(TIPS!$B$18,0),MAX(FreqTIPS)+1,0))</f>
        <v>X</v>
      </c>
    </row>
    <row r="531" spans="10:11" x14ac:dyDescent="0.35">
      <c r="J531" t="str">
        <f>IFERROR(IF(J530+1&gt;MAX(HAxisTIPS),"X",J530+1),"X")</f>
        <v>X</v>
      </c>
      <c r="K531" t="str">
        <f>IF(J531="X","X",IF(J531=ROUND(TIPS!$B$18,0),MAX(FreqTIPS)+1,0))</f>
        <v>X</v>
      </c>
    </row>
    <row r="532" spans="10:11" x14ac:dyDescent="0.35">
      <c r="J532" t="str">
        <f>IFERROR(IF(J531+1&gt;MAX(HAxisTIPS),"X",J531+1),"X")</f>
        <v>X</v>
      </c>
      <c r="K532" t="str">
        <f>IF(J532="X","X",IF(J532=ROUND(TIPS!$B$18,0),MAX(FreqTIPS)+1,0))</f>
        <v>X</v>
      </c>
    </row>
    <row r="533" spans="10:11" x14ac:dyDescent="0.35">
      <c r="J533" t="str">
        <f>IFERROR(IF(J532+1&gt;MAX(HAxisTIPS),"X",J532+1),"X")</f>
        <v>X</v>
      </c>
      <c r="K533" t="str">
        <f>IF(J533="X","X",IF(J533=ROUND(TIPS!$B$18,0),MAX(FreqTIPS)+1,0))</f>
        <v>X</v>
      </c>
    </row>
    <row r="534" spans="10:11" x14ac:dyDescent="0.35">
      <c r="J534" t="str">
        <f>IFERROR(IF(J533+1&gt;MAX(HAxisTIPS),"X",J533+1),"X")</f>
        <v>X</v>
      </c>
      <c r="K534" t="str">
        <f>IF(J534="X","X",IF(J534=ROUND(TIPS!$B$18,0),MAX(FreqTIPS)+1,0))</f>
        <v>X</v>
      </c>
    </row>
    <row r="535" spans="10:11" x14ac:dyDescent="0.35">
      <c r="J535" t="str">
        <f>IFERROR(IF(J534+1&gt;MAX(HAxisTIPS),"X",J534+1),"X")</f>
        <v>X</v>
      </c>
      <c r="K535" t="str">
        <f>IF(J535="X","X",IF(J535=ROUND(TIPS!$B$18,0),MAX(FreqTIPS)+1,0))</f>
        <v>X</v>
      </c>
    </row>
    <row r="536" spans="10:11" x14ac:dyDescent="0.35">
      <c r="J536" t="str">
        <f>IFERROR(IF(J535+1&gt;MAX(HAxisTIPS),"X",J535+1),"X")</f>
        <v>X</v>
      </c>
      <c r="K536" t="str">
        <f>IF(J536="X","X",IF(J536=ROUND(TIPS!$B$18,0),MAX(FreqTIPS)+1,0))</f>
        <v>X</v>
      </c>
    </row>
    <row r="537" spans="10:11" x14ac:dyDescent="0.35">
      <c r="J537" t="str">
        <f>IFERROR(IF(J536+1&gt;MAX(HAxisTIPS),"X",J536+1),"X")</f>
        <v>X</v>
      </c>
      <c r="K537" t="str">
        <f>IF(J537="X","X",IF(J537=ROUND(TIPS!$B$18,0),MAX(FreqTIPS)+1,0))</f>
        <v>X</v>
      </c>
    </row>
    <row r="538" spans="10:11" x14ac:dyDescent="0.35">
      <c r="J538" t="str">
        <f>IFERROR(IF(J537+1&gt;MAX(HAxisTIPS),"X",J537+1),"X")</f>
        <v>X</v>
      </c>
      <c r="K538" t="str">
        <f>IF(J538="X","X",IF(J538=ROUND(TIPS!$B$18,0),MAX(FreqTIPS)+1,0))</f>
        <v>X</v>
      </c>
    </row>
    <row r="539" spans="10:11" x14ac:dyDescent="0.35">
      <c r="J539" t="str">
        <f>IFERROR(IF(J538+1&gt;MAX(HAxisTIPS),"X",J538+1),"X")</f>
        <v>X</v>
      </c>
      <c r="K539" t="str">
        <f>IF(J539="X","X",IF(J539=ROUND(TIPS!$B$18,0),MAX(FreqTIPS)+1,0))</f>
        <v>X</v>
      </c>
    </row>
    <row r="540" spans="10:11" x14ac:dyDescent="0.35">
      <c r="J540" t="str">
        <f>IFERROR(IF(J539+1&gt;MAX(HAxisTIPS),"X",J539+1),"X")</f>
        <v>X</v>
      </c>
      <c r="K540" t="str">
        <f>IF(J540="X","X",IF(J540=ROUND(TIPS!$B$18,0),MAX(FreqTIPS)+1,0))</f>
        <v>X</v>
      </c>
    </row>
    <row r="541" spans="10:11" x14ac:dyDescent="0.35">
      <c r="J541" t="str">
        <f>IFERROR(IF(J540+1&gt;MAX(HAxisTIPS),"X",J540+1),"X")</f>
        <v>X</v>
      </c>
      <c r="K541" t="str">
        <f>IF(J541="X","X",IF(J541=ROUND(TIPS!$B$18,0),MAX(FreqTIPS)+1,0))</f>
        <v>X</v>
      </c>
    </row>
    <row r="542" spans="10:11" x14ac:dyDescent="0.35">
      <c r="J542" t="str">
        <f>IFERROR(IF(J541+1&gt;MAX(HAxisTIPS),"X",J541+1),"X")</f>
        <v>X</v>
      </c>
      <c r="K542" t="str">
        <f>IF(J542="X","X",IF(J542=ROUND(TIPS!$B$18,0),MAX(FreqTIPS)+1,0))</f>
        <v>X</v>
      </c>
    </row>
    <row r="543" spans="10:11" x14ac:dyDescent="0.35">
      <c r="J543" t="str">
        <f>IFERROR(IF(J542+1&gt;MAX(HAxisTIPS),"X",J542+1),"X")</f>
        <v>X</v>
      </c>
      <c r="K543" t="str">
        <f>IF(J543="X","X",IF(J543=ROUND(TIPS!$B$18,0),MAX(FreqTIPS)+1,0))</f>
        <v>X</v>
      </c>
    </row>
    <row r="544" spans="10:11" x14ac:dyDescent="0.35">
      <c r="J544" t="str">
        <f>IFERROR(IF(J543+1&gt;MAX(HAxisTIPS),"X",J543+1),"X")</f>
        <v>X</v>
      </c>
      <c r="K544" t="str">
        <f>IF(J544="X","X",IF(J544=ROUND(TIPS!$B$18,0),MAX(FreqTIPS)+1,0))</f>
        <v>X</v>
      </c>
    </row>
    <row r="545" spans="10:11" x14ac:dyDescent="0.35">
      <c r="J545" t="str">
        <f>IFERROR(IF(J544+1&gt;MAX(HAxisTIPS),"X",J544+1),"X")</f>
        <v>X</v>
      </c>
      <c r="K545" t="str">
        <f>IF(J545="X","X",IF(J545=ROUND(TIPS!$B$18,0),MAX(FreqTIPS)+1,0))</f>
        <v>X</v>
      </c>
    </row>
    <row r="546" spans="10:11" x14ac:dyDescent="0.35">
      <c r="J546" t="str">
        <f>IFERROR(IF(J545+1&gt;MAX(HAxisTIPS),"X",J545+1),"X")</f>
        <v>X</v>
      </c>
      <c r="K546" t="str">
        <f>IF(J546="X","X",IF(J546=ROUND(TIPS!$B$18,0),MAX(FreqTIPS)+1,0))</f>
        <v>X</v>
      </c>
    </row>
    <row r="547" spans="10:11" x14ac:dyDescent="0.35">
      <c r="J547" t="str">
        <f>IFERROR(IF(J546+1&gt;MAX(HAxisTIPS),"X",J546+1),"X")</f>
        <v>X</v>
      </c>
      <c r="K547" t="str">
        <f>IF(J547="X","X",IF(J547=ROUND(TIPS!$B$18,0),MAX(FreqTIPS)+1,0))</f>
        <v>X</v>
      </c>
    </row>
    <row r="548" spans="10:11" x14ac:dyDescent="0.35">
      <c r="J548" t="str">
        <f>IFERROR(IF(J547+1&gt;MAX(HAxisTIPS),"X",J547+1),"X")</f>
        <v>X</v>
      </c>
      <c r="K548" t="str">
        <f>IF(J548="X","X",IF(J548=ROUND(TIPS!$B$18,0),MAX(FreqTIPS)+1,0))</f>
        <v>X</v>
      </c>
    </row>
    <row r="549" spans="10:11" x14ac:dyDescent="0.35">
      <c r="J549" t="str">
        <f>IFERROR(IF(J548+1&gt;MAX(HAxisTIPS),"X",J548+1),"X")</f>
        <v>X</v>
      </c>
      <c r="K549" t="str">
        <f>IF(J549="X","X",IF(J549=ROUND(TIPS!$B$18,0),MAX(FreqTIPS)+1,0))</f>
        <v>X</v>
      </c>
    </row>
    <row r="550" spans="10:11" x14ac:dyDescent="0.35">
      <c r="J550" t="str">
        <f>IFERROR(IF(J549+1&gt;MAX(HAxisTIPS),"X",J549+1),"X")</f>
        <v>X</v>
      </c>
      <c r="K550" t="str">
        <f>IF(J550="X","X",IF(J550=ROUND(TIPS!$B$18,0),MAX(FreqTIPS)+1,0))</f>
        <v>X</v>
      </c>
    </row>
    <row r="551" spans="10:11" x14ac:dyDescent="0.35">
      <c r="J551" t="str">
        <f>IFERROR(IF(J550+1&gt;MAX(HAxisTIPS),"X",J550+1),"X")</f>
        <v>X</v>
      </c>
      <c r="K551" t="str">
        <f>IF(J551="X","X",IF(J551=ROUND(TIPS!$B$18,0),MAX(FreqTIPS)+1,0))</f>
        <v>X</v>
      </c>
    </row>
    <row r="552" spans="10:11" x14ac:dyDescent="0.35">
      <c r="J552" t="str">
        <f>IFERROR(IF(J551+1&gt;MAX(HAxisTIPS),"X",J551+1),"X")</f>
        <v>X</v>
      </c>
      <c r="K552" t="str">
        <f>IF(J552="X","X",IF(J552=ROUND(TIPS!$B$18,0),MAX(FreqTIPS)+1,0))</f>
        <v>X</v>
      </c>
    </row>
    <row r="553" spans="10:11" x14ac:dyDescent="0.35">
      <c r="J553" t="str">
        <f>IFERROR(IF(J552+1&gt;MAX(HAxisTIPS),"X",J552+1),"X")</f>
        <v>X</v>
      </c>
      <c r="K553" t="str">
        <f>IF(J553="X","X",IF(J553=ROUND(TIPS!$B$18,0),MAX(FreqTIPS)+1,0))</f>
        <v>X</v>
      </c>
    </row>
    <row r="554" spans="10:11" x14ac:dyDescent="0.35">
      <c r="J554" t="str">
        <f>IFERROR(IF(J553+1&gt;MAX(HAxisTIPS),"X",J553+1),"X")</f>
        <v>X</v>
      </c>
      <c r="K554" t="str">
        <f>IF(J554="X","X",IF(J554=ROUND(TIPS!$B$18,0),MAX(FreqTIPS)+1,0))</f>
        <v>X</v>
      </c>
    </row>
    <row r="555" spans="10:11" x14ac:dyDescent="0.35">
      <c r="J555" t="str">
        <f>IFERROR(IF(J554+1&gt;MAX(HAxisTIPS),"X",J554+1),"X")</f>
        <v>X</v>
      </c>
      <c r="K555" t="str">
        <f>IF(J555="X","X",IF(J555=ROUND(TIPS!$B$18,0),MAX(FreqTIPS)+1,0))</f>
        <v>X</v>
      </c>
    </row>
    <row r="556" spans="10:11" x14ac:dyDescent="0.35">
      <c r="J556" t="str">
        <f>IFERROR(IF(J555+1&gt;MAX(HAxisTIPS),"X",J555+1),"X")</f>
        <v>X</v>
      </c>
      <c r="K556" t="str">
        <f>IF(J556="X","X",IF(J556=ROUND(TIPS!$B$18,0),MAX(FreqTIPS)+1,0))</f>
        <v>X</v>
      </c>
    </row>
    <row r="557" spans="10:11" x14ac:dyDescent="0.35">
      <c r="J557" t="str">
        <f>IFERROR(IF(J556+1&gt;MAX(HAxisTIPS),"X",J556+1),"X")</f>
        <v>X</v>
      </c>
      <c r="K557" t="str">
        <f>IF(J557="X","X",IF(J557=ROUND(TIPS!$B$18,0),MAX(FreqTIPS)+1,0))</f>
        <v>X</v>
      </c>
    </row>
    <row r="558" spans="10:11" x14ac:dyDescent="0.35">
      <c r="J558" t="str">
        <f>IFERROR(IF(J557+1&gt;MAX(HAxisTIPS),"X",J557+1),"X")</f>
        <v>X</v>
      </c>
      <c r="K558" t="str">
        <f>IF(J558="X","X",IF(J558=ROUND(TIPS!$B$18,0),MAX(FreqTIPS)+1,0))</f>
        <v>X</v>
      </c>
    </row>
    <row r="559" spans="10:11" x14ac:dyDescent="0.35">
      <c r="J559" t="str">
        <f>IFERROR(IF(J558+1&gt;MAX(HAxisTIPS),"X",J558+1),"X")</f>
        <v>X</v>
      </c>
      <c r="K559" t="str">
        <f>IF(J559="X","X",IF(J559=ROUND(TIPS!$B$18,0),MAX(FreqTIPS)+1,0))</f>
        <v>X</v>
      </c>
    </row>
    <row r="560" spans="10:11" x14ac:dyDescent="0.35">
      <c r="J560" t="str">
        <f>IFERROR(IF(J559+1&gt;MAX(HAxisTIPS),"X",J559+1),"X")</f>
        <v>X</v>
      </c>
      <c r="K560" t="str">
        <f>IF(J560="X","X",IF(J560=ROUND(TIPS!$B$18,0),MAX(FreqTIPS)+1,0))</f>
        <v>X</v>
      </c>
    </row>
    <row r="561" spans="10:11" x14ac:dyDescent="0.35">
      <c r="J561" t="str">
        <f>IFERROR(IF(J560+1&gt;MAX(HAxisTIPS),"X",J560+1),"X")</f>
        <v>X</v>
      </c>
      <c r="K561" t="str">
        <f>IF(J561="X","X",IF(J561=ROUND(TIPS!$B$18,0),MAX(FreqTIPS)+1,0))</f>
        <v>X</v>
      </c>
    </row>
    <row r="562" spans="10:11" x14ac:dyDescent="0.35">
      <c r="J562" t="str">
        <f>IFERROR(IF(J561+1&gt;MAX(HAxisTIPS),"X",J561+1),"X")</f>
        <v>X</v>
      </c>
      <c r="K562" t="str">
        <f>IF(J562="X","X",IF(J562=ROUND(TIPS!$B$18,0),MAX(FreqTIPS)+1,0))</f>
        <v>X</v>
      </c>
    </row>
    <row r="563" spans="10:11" x14ac:dyDescent="0.35">
      <c r="J563" t="str">
        <f>IFERROR(IF(J562+1&gt;MAX(HAxisTIPS),"X",J562+1),"X")</f>
        <v>X</v>
      </c>
      <c r="K563" t="str">
        <f>IF(J563="X","X",IF(J563=ROUND(TIPS!$B$18,0),MAX(FreqTIPS)+1,0))</f>
        <v>X</v>
      </c>
    </row>
    <row r="564" spans="10:11" x14ac:dyDescent="0.35">
      <c r="J564" t="str">
        <f>IFERROR(IF(J563+1&gt;MAX(HAxisTIPS),"X",J563+1),"X")</f>
        <v>X</v>
      </c>
      <c r="K564" t="str">
        <f>IF(J564="X","X",IF(J564=ROUND(TIPS!$B$18,0),MAX(FreqTIPS)+1,0))</f>
        <v>X</v>
      </c>
    </row>
    <row r="565" spans="10:11" x14ac:dyDescent="0.35">
      <c r="J565" t="str">
        <f>IFERROR(IF(J564+1&gt;MAX(HAxisTIPS),"X",J564+1),"X")</f>
        <v>X</v>
      </c>
      <c r="K565" t="str">
        <f>IF(J565="X","X",IF(J565=ROUND(TIPS!$B$18,0),MAX(FreqTIPS)+1,0))</f>
        <v>X</v>
      </c>
    </row>
    <row r="566" spans="10:11" x14ac:dyDescent="0.35">
      <c r="J566" t="str">
        <f>IFERROR(IF(J565+1&gt;MAX(HAxisTIPS),"X",J565+1),"X")</f>
        <v>X</v>
      </c>
      <c r="K566" t="str">
        <f>IF(J566="X","X",IF(J566=ROUND(TIPS!$B$18,0),MAX(FreqTIPS)+1,0))</f>
        <v>X</v>
      </c>
    </row>
    <row r="567" spans="10:11" x14ac:dyDescent="0.35">
      <c r="J567" t="str">
        <f>IFERROR(IF(J566+1&gt;MAX(HAxisTIPS),"X",J566+1),"X")</f>
        <v>X</v>
      </c>
      <c r="K567" t="str">
        <f>IF(J567="X","X",IF(J567=ROUND(TIPS!$B$18,0),MAX(FreqTIPS)+1,0))</f>
        <v>X</v>
      </c>
    </row>
    <row r="568" spans="10:11" x14ac:dyDescent="0.35">
      <c r="J568" t="str">
        <f>IFERROR(IF(J567+1&gt;MAX(HAxisTIPS),"X",J567+1),"X")</f>
        <v>X</v>
      </c>
      <c r="K568" t="str">
        <f>IF(J568="X","X",IF(J568=ROUND(TIPS!$B$18,0),MAX(FreqTIPS)+1,0))</f>
        <v>X</v>
      </c>
    </row>
    <row r="569" spans="10:11" x14ac:dyDescent="0.35">
      <c r="J569" t="str">
        <f>IFERROR(IF(J568+1&gt;MAX(HAxisTIPS),"X",J568+1),"X")</f>
        <v>X</v>
      </c>
      <c r="K569" t="str">
        <f>IF(J569="X","X",IF(J569=ROUND(TIPS!$B$18,0),MAX(FreqTIPS)+1,0))</f>
        <v>X</v>
      </c>
    </row>
    <row r="570" spans="10:11" x14ac:dyDescent="0.35">
      <c r="J570" t="str">
        <f>IFERROR(IF(J569+1&gt;MAX(HAxisTIPS),"X",J569+1),"X")</f>
        <v>X</v>
      </c>
      <c r="K570" t="str">
        <f>IF(J570="X","X",IF(J570=ROUND(TIPS!$B$18,0),MAX(FreqTIPS)+1,0))</f>
        <v>X</v>
      </c>
    </row>
    <row r="571" spans="10:11" x14ac:dyDescent="0.35">
      <c r="J571" t="str">
        <f>IFERROR(IF(J570+1&gt;MAX(HAxisTIPS),"X",J570+1),"X")</f>
        <v>X</v>
      </c>
      <c r="K571" t="str">
        <f>IF(J571="X","X",IF(J571=ROUND(TIPS!$B$18,0),MAX(FreqTIPS)+1,0))</f>
        <v>X</v>
      </c>
    </row>
    <row r="572" spans="10:11" x14ac:dyDescent="0.35">
      <c r="J572" t="str">
        <f>IFERROR(IF(J571+1&gt;MAX(HAxisTIPS),"X",J571+1),"X")</f>
        <v>X</v>
      </c>
      <c r="K572" t="str">
        <f>IF(J572="X","X",IF(J572=ROUND(TIPS!$B$18,0),MAX(FreqTIPS)+1,0))</f>
        <v>X</v>
      </c>
    </row>
    <row r="573" spans="10:11" x14ac:dyDescent="0.35">
      <c r="J573" t="str">
        <f>IFERROR(IF(J572+1&gt;MAX(HAxisTIPS),"X",J572+1),"X")</f>
        <v>X</v>
      </c>
      <c r="K573" t="str">
        <f>IF(J573="X","X",IF(J573=ROUND(TIPS!$B$18,0),MAX(FreqTIPS)+1,0))</f>
        <v>X</v>
      </c>
    </row>
    <row r="574" spans="10:11" x14ac:dyDescent="0.35">
      <c r="J574" t="str">
        <f>IFERROR(IF(J573+1&gt;MAX(HAxisTIPS),"X",J573+1),"X")</f>
        <v>X</v>
      </c>
      <c r="K574" t="str">
        <f>IF(J574="X","X",IF(J574=ROUND(TIPS!$B$18,0),MAX(FreqTIPS)+1,0))</f>
        <v>X</v>
      </c>
    </row>
    <row r="575" spans="10:11" x14ac:dyDescent="0.35">
      <c r="J575" t="str">
        <f>IFERROR(IF(J574+1&gt;MAX(HAxisTIPS),"X",J574+1),"X")</f>
        <v>X</v>
      </c>
      <c r="K575" t="str">
        <f>IF(J575="X","X",IF(J575=ROUND(TIPS!$B$18,0),MAX(FreqTIPS)+1,0))</f>
        <v>X</v>
      </c>
    </row>
    <row r="576" spans="10:11" x14ac:dyDescent="0.35">
      <c r="J576" t="str">
        <f>IFERROR(IF(J575+1&gt;MAX(HAxisTIPS),"X",J575+1),"X")</f>
        <v>X</v>
      </c>
      <c r="K576" t="str">
        <f>IF(J576="X","X",IF(J576=ROUND(TIPS!$B$18,0),MAX(FreqTIPS)+1,0))</f>
        <v>X</v>
      </c>
    </row>
    <row r="577" spans="10:11" x14ac:dyDescent="0.35">
      <c r="J577" t="str">
        <f>IFERROR(IF(J576+1&gt;MAX(HAxisTIPS),"X",J576+1),"X")</f>
        <v>X</v>
      </c>
      <c r="K577" t="str">
        <f>IF(J577="X","X",IF(J577=ROUND(TIPS!$B$18,0),MAX(FreqTIPS)+1,0))</f>
        <v>X</v>
      </c>
    </row>
    <row r="578" spans="10:11" x14ac:dyDescent="0.35">
      <c r="J578" t="str">
        <f>IFERROR(IF(J577+1&gt;MAX(HAxisTIPS),"X",J577+1),"X")</f>
        <v>X</v>
      </c>
      <c r="K578" t="str">
        <f>IF(J578="X","X",IF(J578=ROUND(TIPS!$B$18,0),MAX(FreqTIPS)+1,0))</f>
        <v>X</v>
      </c>
    </row>
    <row r="579" spans="10:11" x14ac:dyDescent="0.35">
      <c r="J579" t="str">
        <f>IFERROR(IF(J578+1&gt;MAX(HAxisTIPS),"X",J578+1),"X")</f>
        <v>X</v>
      </c>
      <c r="K579" t="str">
        <f>IF(J579="X","X",IF(J579=ROUND(TIPS!$B$18,0),MAX(FreqTIPS)+1,0))</f>
        <v>X</v>
      </c>
    </row>
    <row r="580" spans="10:11" x14ac:dyDescent="0.35">
      <c r="J580" t="str">
        <f>IFERROR(IF(J579+1&gt;MAX(HAxisTIPS),"X",J579+1),"X")</f>
        <v>X</v>
      </c>
      <c r="K580" t="str">
        <f>IF(J580="X","X",IF(J580=ROUND(TIPS!$B$18,0),MAX(FreqTIPS)+1,0))</f>
        <v>X</v>
      </c>
    </row>
    <row r="581" spans="10:11" x14ac:dyDescent="0.35">
      <c r="J581" t="str">
        <f>IFERROR(IF(J580+1&gt;MAX(HAxisTIPS),"X",J580+1),"X")</f>
        <v>X</v>
      </c>
      <c r="K581" t="str">
        <f>IF(J581="X","X",IF(J581=ROUND(TIPS!$B$18,0),MAX(FreqTIPS)+1,0))</f>
        <v>X</v>
      </c>
    </row>
    <row r="582" spans="10:11" x14ac:dyDescent="0.35">
      <c r="J582" t="str">
        <f>IFERROR(IF(J581+1&gt;MAX(HAxisTIPS),"X",J581+1),"X")</f>
        <v>X</v>
      </c>
      <c r="K582" t="str">
        <f>IF(J582="X","X",IF(J582=ROUND(TIPS!$B$18,0),MAX(FreqTIPS)+1,0))</f>
        <v>X</v>
      </c>
    </row>
    <row r="583" spans="10:11" x14ac:dyDescent="0.35">
      <c r="J583" t="str">
        <f>IFERROR(IF(J582+1&gt;MAX(HAxisTIPS),"X",J582+1),"X")</f>
        <v>X</v>
      </c>
      <c r="K583" t="str">
        <f>IF(J583="X","X",IF(J583=ROUND(TIPS!$B$18,0),MAX(FreqTIPS)+1,0))</f>
        <v>X</v>
      </c>
    </row>
    <row r="584" spans="10:11" x14ac:dyDescent="0.35">
      <c r="J584" t="str">
        <f>IFERROR(IF(J583+1&gt;MAX(HAxisTIPS),"X",J583+1),"X")</f>
        <v>X</v>
      </c>
      <c r="K584" t="str">
        <f>IF(J584="X","X",IF(J584=ROUND(TIPS!$B$18,0),MAX(FreqTIPS)+1,0))</f>
        <v>X</v>
      </c>
    </row>
    <row r="585" spans="10:11" x14ac:dyDescent="0.35">
      <c r="J585" t="str">
        <f>IFERROR(IF(J584+1&gt;MAX(HAxisTIPS),"X",J584+1),"X")</f>
        <v>X</v>
      </c>
      <c r="K585" t="str">
        <f>IF(J585="X","X",IF(J585=ROUND(TIPS!$B$18,0),MAX(FreqTIPS)+1,0))</f>
        <v>X</v>
      </c>
    </row>
    <row r="586" spans="10:11" x14ac:dyDescent="0.35">
      <c r="J586" t="str">
        <f>IFERROR(IF(J585+1&gt;MAX(HAxisTIPS),"X",J585+1),"X")</f>
        <v>X</v>
      </c>
      <c r="K586" t="str">
        <f>IF(J586="X","X",IF(J586=ROUND(TIPS!$B$18,0),MAX(FreqTIPS)+1,0))</f>
        <v>X</v>
      </c>
    </row>
    <row r="587" spans="10:11" x14ac:dyDescent="0.35">
      <c r="J587" t="str">
        <f>IFERROR(IF(J586+1&gt;MAX(HAxisTIPS),"X",J586+1),"X")</f>
        <v>X</v>
      </c>
      <c r="K587" t="str">
        <f>IF(J587="X","X",IF(J587=ROUND(TIPS!$B$18,0),MAX(FreqTIPS)+1,0))</f>
        <v>X</v>
      </c>
    </row>
    <row r="588" spans="10:11" x14ac:dyDescent="0.35">
      <c r="J588" t="str">
        <f>IFERROR(IF(J587+1&gt;MAX(HAxisTIPS),"X",J587+1),"X")</f>
        <v>X</v>
      </c>
      <c r="K588" t="str">
        <f>IF(J588="X","X",IF(J588=ROUND(TIPS!$B$18,0),MAX(FreqTIPS)+1,0))</f>
        <v>X</v>
      </c>
    </row>
    <row r="589" spans="10:11" x14ac:dyDescent="0.35">
      <c r="J589" t="str">
        <f>IFERROR(IF(J588+1&gt;MAX(HAxisTIPS),"X",J588+1),"X")</f>
        <v>X</v>
      </c>
      <c r="K589" t="str">
        <f>IF(J589="X","X",IF(J589=ROUND(TIPS!$B$18,0),MAX(FreqTIPS)+1,0))</f>
        <v>X</v>
      </c>
    </row>
    <row r="590" spans="10:11" x14ac:dyDescent="0.35">
      <c r="J590" t="str">
        <f>IFERROR(IF(J589+1&gt;MAX(HAxisTIPS),"X",J589+1),"X")</f>
        <v>X</v>
      </c>
      <c r="K590" t="str">
        <f>IF(J590="X","X",IF(J590=ROUND(TIPS!$B$18,0),MAX(FreqTIPS)+1,0))</f>
        <v>X</v>
      </c>
    </row>
    <row r="591" spans="10:11" x14ac:dyDescent="0.35">
      <c r="J591" t="str">
        <f>IFERROR(IF(J590+1&gt;MAX(HAxisTIPS),"X",J590+1),"X")</f>
        <v>X</v>
      </c>
      <c r="K591" t="str">
        <f>IF(J591="X","X",IF(J591=ROUND(TIPS!$B$18,0),MAX(FreqTIPS)+1,0))</f>
        <v>X</v>
      </c>
    </row>
    <row r="592" spans="10:11" x14ac:dyDescent="0.35">
      <c r="J592" t="str">
        <f>IFERROR(IF(J591+1&gt;MAX(HAxisTIPS),"X",J591+1),"X")</f>
        <v>X</v>
      </c>
      <c r="K592" t="str">
        <f>IF(J592="X","X",IF(J592=ROUND(TIPS!$B$18,0),MAX(FreqTIPS)+1,0))</f>
        <v>X</v>
      </c>
    </row>
    <row r="593" spans="10:11" x14ac:dyDescent="0.35">
      <c r="J593" t="str">
        <f>IFERROR(IF(J592+1&gt;MAX(HAxisTIPS),"X",J592+1),"X")</f>
        <v>X</v>
      </c>
      <c r="K593" t="str">
        <f>IF(J593="X","X",IF(J593=ROUND(TIPS!$B$18,0),MAX(FreqTIPS)+1,0))</f>
        <v>X</v>
      </c>
    </row>
    <row r="594" spans="10:11" x14ac:dyDescent="0.35">
      <c r="J594" t="str">
        <f>IFERROR(IF(J593+1&gt;MAX(HAxisTIPS),"X",J593+1),"X")</f>
        <v>X</v>
      </c>
      <c r="K594" t="str">
        <f>IF(J594="X","X",IF(J594=ROUND(TIPS!$B$18,0),MAX(FreqTIPS)+1,0))</f>
        <v>X</v>
      </c>
    </row>
    <row r="595" spans="10:11" x14ac:dyDescent="0.35">
      <c r="J595" t="str">
        <f>IFERROR(IF(J594+1&gt;MAX(HAxisTIPS),"X",J594+1),"X")</f>
        <v>X</v>
      </c>
      <c r="K595" t="str">
        <f>IF(J595="X","X",IF(J595=ROUND(TIPS!$B$18,0),MAX(FreqTIPS)+1,0))</f>
        <v>X</v>
      </c>
    </row>
    <row r="596" spans="10:11" x14ac:dyDescent="0.35">
      <c r="J596" t="str">
        <f>IFERROR(IF(J595+1&gt;MAX(HAxisTIPS),"X",J595+1),"X")</f>
        <v>X</v>
      </c>
      <c r="K596" t="str">
        <f>IF(J596="X","X",IF(J596=ROUND(TIPS!$B$18,0),MAX(FreqTIPS)+1,0))</f>
        <v>X</v>
      </c>
    </row>
    <row r="597" spans="10:11" x14ac:dyDescent="0.35">
      <c r="J597" t="str">
        <f>IFERROR(IF(J596+1&gt;MAX(HAxisTIPS),"X",J596+1),"X")</f>
        <v>X</v>
      </c>
      <c r="K597" t="str">
        <f>IF(J597="X","X",IF(J597=ROUND(TIPS!$B$18,0),MAX(FreqTIPS)+1,0))</f>
        <v>X</v>
      </c>
    </row>
    <row r="598" spans="10:11" x14ac:dyDescent="0.35">
      <c r="J598" t="str">
        <f>IFERROR(IF(J597+1&gt;MAX(HAxisTIPS),"X",J597+1),"X")</f>
        <v>X</v>
      </c>
      <c r="K598" t="str">
        <f>IF(J598="X","X",IF(J598=ROUND(TIPS!$B$18,0),MAX(FreqTIPS)+1,0))</f>
        <v>X</v>
      </c>
    </row>
    <row r="599" spans="10:11" x14ac:dyDescent="0.35">
      <c r="J599" t="str">
        <f>IFERROR(IF(J598+1&gt;MAX(HAxisTIPS),"X",J598+1),"X")</f>
        <v>X</v>
      </c>
      <c r="K599" t="str">
        <f>IF(J599="X","X",IF(J599=ROUND(TIPS!$B$18,0),MAX(FreqTIPS)+1,0))</f>
        <v>X</v>
      </c>
    </row>
    <row r="600" spans="10:11" x14ac:dyDescent="0.35">
      <c r="J600" t="str">
        <f>IFERROR(IF(J599+1&gt;MAX(HAxisTIPS),"X",J599+1),"X")</f>
        <v>X</v>
      </c>
      <c r="K600" t="str">
        <f>IF(J600="X","X",IF(J600=ROUND(TIPS!$B$18,0),MAX(FreqTIPS)+1,0))</f>
        <v>X</v>
      </c>
    </row>
    <row r="601" spans="10:11" x14ac:dyDescent="0.35">
      <c r="J601" t="str">
        <f>IFERROR(IF(J600+1&gt;MAX(HAxisTIPS),"X",J600+1),"X")</f>
        <v>X</v>
      </c>
      <c r="K601" t="str">
        <f>IF(J601="X","X",IF(J601=ROUND(TIPS!$B$18,0),MAX(FreqTIPS)+1,0))</f>
        <v>X</v>
      </c>
    </row>
    <row r="602" spans="10:11" x14ac:dyDescent="0.35">
      <c r="J602" t="str">
        <f>IFERROR(IF(J601+1&gt;MAX(HAxisTIPS),"X",J601+1),"X")</f>
        <v>X</v>
      </c>
      <c r="K602" t="str">
        <f>IF(J602="X","X",IF(J602=ROUND(TIPS!$B$18,0),MAX(FreqTIPS)+1,0))</f>
        <v>X</v>
      </c>
    </row>
    <row r="603" spans="10:11" x14ac:dyDescent="0.35">
      <c r="J603" t="str">
        <f>IFERROR(IF(J602+1&gt;MAX(HAxisTIPS),"X",J602+1),"X")</f>
        <v>X</v>
      </c>
      <c r="K603" t="str">
        <f>IF(J603="X","X",IF(J603=ROUND(TIPS!$B$18,0),MAX(FreqTIPS)+1,0))</f>
        <v>X</v>
      </c>
    </row>
    <row r="604" spans="10:11" x14ac:dyDescent="0.35">
      <c r="J604" t="str">
        <f>IFERROR(IF(J603+1&gt;MAX(HAxisTIPS),"X",J603+1),"X")</f>
        <v>X</v>
      </c>
      <c r="K604" t="str">
        <f>IF(J604="X","X",IF(J604=ROUND(TIPS!$B$18,0),MAX(FreqTIPS)+1,0))</f>
        <v>X</v>
      </c>
    </row>
    <row r="605" spans="10:11" x14ac:dyDescent="0.35">
      <c r="J605" t="str">
        <f>IFERROR(IF(J604+1&gt;MAX(HAxisTIPS),"X",J604+1),"X")</f>
        <v>X</v>
      </c>
      <c r="K605" t="str">
        <f>IF(J605="X","X",IF(J605=ROUND(TIPS!$B$18,0),MAX(FreqTIPS)+1,0))</f>
        <v>X</v>
      </c>
    </row>
    <row r="606" spans="10:11" x14ac:dyDescent="0.35">
      <c r="J606" t="str">
        <f>IFERROR(IF(J605+1&gt;MAX(HAxisTIPS),"X",J605+1),"X")</f>
        <v>X</v>
      </c>
      <c r="K606" t="str">
        <f>IF(J606="X","X",IF(J606=ROUND(TIPS!$B$18,0),MAX(FreqTIPS)+1,0))</f>
        <v>X</v>
      </c>
    </row>
    <row r="607" spans="10:11" x14ac:dyDescent="0.35">
      <c r="J607" t="str">
        <f>IFERROR(IF(J606+1&gt;MAX(HAxisTIPS),"X",J606+1),"X")</f>
        <v>X</v>
      </c>
      <c r="K607" t="str">
        <f>IF(J607="X","X",IF(J607=ROUND(TIPS!$B$18,0),MAX(FreqTIPS)+1,0))</f>
        <v>X</v>
      </c>
    </row>
    <row r="608" spans="10:11" x14ac:dyDescent="0.35">
      <c r="J608" t="str">
        <f>IFERROR(IF(J607+1&gt;MAX(HAxisTIPS),"X",J607+1),"X")</f>
        <v>X</v>
      </c>
      <c r="K608" t="str">
        <f>IF(J608="X","X",IF(J608=ROUND(TIPS!$B$18,0),MAX(FreqTIPS)+1,0))</f>
        <v>X</v>
      </c>
    </row>
    <row r="609" spans="10:11" x14ac:dyDescent="0.35">
      <c r="J609" t="str">
        <f>IFERROR(IF(J608+1&gt;MAX(HAxisTIPS),"X",J608+1),"X")</f>
        <v>X</v>
      </c>
      <c r="K609" t="str">
        <f>IF(J609="X","X",IF(J609=ROUND(TIPS!$B$18,0),MAX(FreqTIPS)+1,0))</f>
        <v>X</v>
      </c>
    </row>
    <row r="610" spans="10:11" x14ac:dyDescent="0.35">
      <c r="J610" t="str">
        <f>IFERROR(IF(J609+1&gt;MAX(HAxisTIPS),"X",J609+1),"X")</f>
        <v>X</v>
      </c>
      <c r="K610" t="str">
        <f>IF(J610="X","X",IF(J610=ROUND(TIPS!$B$18,0),MAX(FreqTIPS)+1,0))</f>
        <v>X</v>
      </c>
    </row>
    <row r="611" spans="10:11" x14ac:dyDescent="0.35">
      <c r="J611" t="str">
        <f>IFERROR(IF(J610+1&gt;MAX(HAxisTIPS),"X",J610+1),"X")</f>
        <v>X</v>
      </c>
      <c r="K611" t="str">
        <f>IF(J611="X","X",IF(J611=ROUND(TIPS!$B$18,0),MAX(FreqTIPS)+1,0))</f>
        <v>X</v>
      </c>
    </row>
    <row r="612" spans="10:11" x14ac:dyDescent="0.35">
      <c r="J612" t="str">
        <f>IFERROR(IF(J611+1&gt;MAX(HAxisTIPS),"X",J611+1),"X")</f>
        <v>X</v>
      </c>
      <c r="K612" t="str">
        <f>IF(J612="X","X",IF(J612=ROUND(TIPS!$B$18,0),MAX(FreqTIPS)+1,0))</f>
        <v>X</v>
      </c>
    </row>
    <row r="613" spans="10:11" x14ac:dyDescent="0.35">
      <c r="J613" t="str">
        <f>IFERROR(IF(J612+1&gt;MAX(HAxisTIPS),"X",J612+1),"X")</f>
        <v>X</v>
      </c>
      <c r="K613" t="str">
        <f>IF(J613="X","X",IF(J613=ROUND(TIPS!$B$18,0),MAX(FreqTIPS)+1,0))</f>
        <v>X</v>
      </c>
    </row>
    <row r="614" spans="10:11" x14ac:dyDescent="0.35">
      <c r="J614" t="str">
        <f>IFERROR(IF(J613+1&gt;MAX(HAxisTIPS),"X",J613+1),"X")</f>
        <v>X</v>
      </c>
      <c r="K614" t="str">
        <f>IF(J614="X","X",IF(J614=ROUND(TIPS!$B$18,0),MAX(FreqTIPS)+1,0))</f>
        <v>X</v>
      </c>
    </row>
    <row r="615" spans="10:11" x14ac:dyDescent="0.35">
      <c r="J615" t="str">
        <f>IFERROR(IF(J614+1&gt;MAX(HAxisTIPS),"X",J614+1),"X")</f>
        <v>X</v>
      </c>
      <c r="K615" t="str">
        <f>IF(J615="X","X",IF(J615=ROUND(TIPS!$B$18,0),MAX(FreqTIPS)+1,0))</f>
        <v>X</v>
      </c>
    </row>
    <row r="616" spans="10:11" x14ac:dyDescent="0.35">
      <c r="J616" t="str">
        <f>IFERROR(IF(J615+1&gt;MAX(HAxisTIPS),"X",J615+1),"X")</f>
        <v>X</v>
      </c>
      <c r="K616" t="str">
        <f>IF(J616="X","X",IF(J616=ROUND(TIPS!$B$18,0),MAX(FreqTIPS)+1,0))</f>
        <v>X</v>
      </c>
    </row>
    <row r="617" spans="10:11" x14ac:dyDescent="0.35">
      <c r="J617" t="str">
        <f>IFERROR(IF(J616+1&gt;MAX(HAxisTIPS),"X",J616+1),"X")</f>
        <v>X</v>
      </c>
      <c r="K617" t="str">
        <f>IF(J617="X","X",IF(J617=ROUND(TIPS!$B$18,0),MAX(FreqTIPS)+1,0))</f>
        <v>X</v>
      </c>
    </row>
    <row r="618" spans="10:11" x14ac:dyDescent="0.35">
      <c r="J618" t="str">
        <f>IFERROR(IF(J617+1&gt;MAX(HAxisTIPS),"X",J617+1),"X")</f>
        <v>X</v>
      </c>
      <c r="K618" t="str">
        <f>IF(J618="X","X",IF(J618=ROUND(TIPS!$B$18,0),MAX(FreqTIPS)+1,0))</f>
        <v>X</v>
      </c>
    </row>
    <row r="619" spans="10:11" x14ac:dyDescent="0.35">
      <c r="J619" t="str">
        <f>IFERROR(IF(J618+1&gt;MAX(HAxisTIPS),"X",J618+1),"X")</f>
        <v>X</v>
      </c>
      <c r="K619" t="str">
        <f>IF(J619="X","X",IF(J619=ROUND(TIPS!$B$18,0),MAX(FreqTIPS)+1,0))</f>
        <v>X</v>
      </c>
    </row>
    <row r="620" spans="10:11" x14ac:dyDescent="0.35">
      <c r="J620" t="str">
        <f>IFERROR(IF(J619+1&gt;MAX(HAxisTIPS),"X",J619+1),"X")</f>
        <v>X</v>
      </c>
      <c r="K620" t="str">
        <f>IF(J620="X","X",IF(J620=ROUND(TIPS!$B$18,0),MAX(FreqTIPS)+1,0))</f>
        <v>X</v>
      </c>
    </row>
    <row r="621" spans="10:11" x14ac:dyDescent="0.35">
      <c r="J621" t="str">
        <f>IFERROR(IF(J620+1&gt;MAX(HAxisTIPS),"X",J620+1),"X")</f>
        <v>X</v>
      </c>
      <c r="K621" t="str">
        <f>IF(J621="X","X",IF(J621=ROUND(TIPS!$B$18,0),MAX(FreqTIPS)+1,0))</f>
        <v>X</v>
      </c>
    </row>
    <row r="622" spans="10:11" x14ac:dyDescent="0.35">
      <c r="J622" t="str">
        <f>IFERROR(IF(J621+1&gt;MAX(HAxisTIPS),"X",J621+1),"X")</f>
        <v>X</v>
      </c>
      <c r="K622" t="str">
        <f>IF(J622="X","X",IF(J622=ROUND(TIPS!$B$18,0),MAX(FreqTIPS)+1,0))</f>
        <v>X</v>
      </c>
    </row>
    <row r="623" spans="10:11" x14ac:dyDescent="0.35">
      <c r="J623" t="str">
        <f>IFERROR(IF(J622+1&gt;MAX(HAxisTIPS),"X",J622+1),"X")</f>
        <v>X</v>
      </c>
      <c r="K623" t="str">
        <f>IF(J623="X","X",IF(J623=ROUND(TIPS!$B$18,0),MAX(FreqTIPS)+1,0))</f>
        <v>X</v>
      </c>
    </row>
    <row r="624" spans="10:11" x14ac:dyDescent="0.35">
      <c r="J624" t="str">
        <f>IFERROR(IF(J623+1&gt;MAX(HAxisTIPS),"X",J623+1),"X")</f>
        <v>X</v>
      </c>
      <c r="K624" t="str">
        <f>IF(J624="X","X",IF(J624=ROUND(TIPS!$B$18,0),MAX(FreqTIPS)+1,0))</f>
        <v>X</v>
      </c>
    </row>
    <row r="625" spans="10:11" x14ac:dyDescent="0.35">
      <c r="J625" t="str">
        <f>IFERROR(IF(J624+1&gt;MAX(HAxisTIPS),"X",J624+1),"X")</f>
        <v>X</v>
      </c>
      <c r="K625" t="str">
        <f>IF(J625="X","X",IF(J625=ROUND(TIPS!$B$18,0),MAX(FreqTIPS)+1,0))</f>
        <v>X</v>
      </c>
    </row>
    <row r="626" spans="10:11" x14ac:dyDescent="0.35">
      <c r="J626" t="str">
        <f>IFERROR(IF(J625+1&gt;MAX(HAxisTIPS),"X",J625+1),"X")</f>
        <v>X</v>
      </c>
      <c r="K626" t="str">
        <f>IF(J626="X","X",IF(J626=ROUND(TIPS!$B$18,0),MAX(FreqTIPS)+1,0))</f>
        <v>X</v>
      </c>
    </row>
  </sheetData>
  <mergeCells count="1">
    <mergeCell ref="A1:K1"/>
  </mergeCells>
  <conditionalFormatting sqref="D2">
    <cfRule type="cellIs" dxfId="9" priority="1" operator="equal">
      <formula>"WED"</formula>
    </cfRule>
  </conditionalFormatting>
  <pageMargins left="0.7" right="0.7" top="0.75" bottom="0.75" header="0.3" footer="0.3"/>
  <customProperties>
    <customPr name="LastActive"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CCC32-A015-4480-BECB-6263C5292FA2}">
  <sheetPr codeName="Sheet5"/>
  <dimension ref="A1:AM980"/>
  <sheetViews>
    <sheetView zoomScale="75" zoomScaleNormal="75" workbookViewId="0">
      <selection sqref="A1:XFD1"/>
    </sheetView>
  </sheetViews>
  <sheetFormatPr defaultRowHeight="14.5" x14ac:dyDescent="0.35"/>
  <cols>
    <col min="1" max="1" width="12.81640625" style="25" customWidth="1"/>
    <col min="2" max="2" width="9.81640625" style="24" customWidth="1"/>
    <col min="3" max="3" width="11" style="25" customWidth="1"/>
    <col min="4" max="4" width="7.54296875" style="25" customWidth="1"/>
    <col min="5" max="5" width="11.81640625" style="26" customWidth="1"/>
    <col min="6" max="6" width="10.453125" style="26" customWidth="1"/>
    <col min="7" max="7" width="9.54296875" style="26" customWidth="1"/>
    <col min="8" max="8" width="9.453125" style="26" customWidth="1"/>
    <col min="9" max="9" width="10.54296875" style="26" customWidth="1"/>
    <col min="10" max="10" width="15.54296875" style="26" customWidth="1"/>
    <col min="11" max="11" width="12.81640625" style="26" customWidth="1"/>
    <col min="12" max="12" width="9" style="27" customWidth="1"/>
    <col min="13" max="13" width="11" style="27" customWidth="1"/>
    <col min="14" max="14" width="13.26953125" style="28" customWidth="1"/>
    <col min="15" max="15" width="13.81640625" style="26" customWidth="1"/>
    <col min="16" max="16" width="12.81640625" style="26" customWidth="1"/>
    <col min="17" max="17" width="19.453125" style="26" customWidth="1"/>
    <col min="18" max="18" width="18.81640625" style="34" customWidth="1"/>
    <col min="19" max="19" width="19.453125" style="34" customWidth="1"/>
    <col min="20" max="20" width="18.26953125" style="34" customWidth="1"/>
    <col min="21" max="21" width="24.36328125" style="64" customWidth="1"/>
    <col min="22" max="22" width="24.26953125" customWidth="1"/>
    <col min="23" max="23" width="26.453125" customWidth="1"/>
    <col min="24" max="24" width="14" customWidth="1"/>
    <col min="25" max="25" width="10.36328125" bestFit="1" customWidth="1"/>
    <col min="32" max="32" width="9.6328125" bestFit="1" customWidth="1"/>
    <col min="36" max="36" width="9.6328125" bestFit="1" customWidth="1"/>
    <col min="38" max="39" width="9.6328125" bestFit="1" customWidth="1"/>
  </cols>
  <sheetData>
    <row r="1" spans="1:27" s="11" customFormat="1" ht="50.5" customHeight="1" x14ac:dyDescent="0.35">
      <c r="A1" s="1" t="s">
        <v>0</v>
      </c>
      <c r="B1" s="2" t="s">
        <v>1</v>
      </c>
      <c r="C1" s="3" t="s">
        <v>2</v>
      </c>
      <c r="D1" s="3" t="s">
        <v>3</v>
      </c>
      <c r="E1" s="4" t="s">
        <v>4</v>
      </c>
      <c r="F1" s="4" t="s">
        <v>5</v>
      </c>
      <c r="G1" s="4" t="s">
        <v>6</v>
      </c>
      <c r="H1" s="4" t="s">
        <v>7</v>
      </c>
      <c r="I1" s="4" t="s">
        <v>8</v>
      </c>
      <c r="J1" s="4" t="s">
        <v>9</v>
      </c>
      <c r="K1" s="4" t="s">
        <v>10</v>
      </c>
      <c r="L1" s="5" t="s">
        <v>11</v>
      </c>
      <c r="M1" s="5" t="s">
        <v>12</v>
      </c>
      <c r="N1" s="6" t="s">
        <v>13</v>
      </c>
      <c r="O1" s="4" t="s">
        <v>14</v>
      </c>
      <c r="P1" s="4" t="s">
        <v>15</v>
      </c>
      <c r="Q1" s="7" t="s">
        <v>16</v>
      </c>
      <c r="R1" s="8" t="s">
        <v>17</v>
      </c>
      <c r="S1" s="8" t="s">
        <v>18</v>
      </c>
      <c r="T1" s="9" t="s">
        <v>19</v>
      </c>
      <c r="U1" s="10" t="s">
        <v>20</v>
      </c>
      <c r="V1" s="235" t="s">
        <v>209</v>
      </c>
      <c r="W1" s="235" t="s">
        <v>208</v>
      </c>
    </row>
    <row r="2" spans="1:27" ht="16" x14ac:dyDescent="0.4">
      <c r="A2" s="12">
        <v>45091</v>
      </c>
      <c r="B2" s="13" t="s">
        <v>21</v>
      </c>
      <c r="C2" s="14" t="s">
        <v>22</v>
      </c>
      <c r="D2" s="14" t="s">
        <v>23</v>
      </c>
      <c r="E2" s="15">
        <v>0</v>
      </c>
      <c r="F2" s="15">
        <v>0</v>
      </c>
      <c r="G2" s="15">
        <v>0</v>
      </c>
      <c r="H2" s="15">
        <v>0</v>
      </c>
      <c r="I2" s="15">
        <v>0</v>
      </c>
      <c r="J2" s="15">
        <v>0</v>
      </c>
      <c r="K2" s="15">
        <v>0</v>
      </c>
      <c r="L2" s="16">
        <v>0</v>
      </c>
      <c r="M2" s="16">
        <v>0</v>
      </c>
      <c r="N2" s="17">
        <v>0</v>
      </c>
      <c r="O2" s="18">
        <v>0</v>
      </c>
      <c r="P2" s="18">
        <v>0</v>
      </c>
      <c r="Q2" s="19">
        <v>0</v>
      </c>
      <c r="R2" s="20">
        <v>0</v>
      </c>
      <c r="S2" s="20">
        <v>0</v>
      </c>
      <c r="T2" s="20"/>
      <c r="U2" s="21" t="s">
        <v>24</v>
      </c>
      <c r="V2" s="236">
        <f>IFERROR(RAW[[#This Row],[ACTUAL GROSS]]/RAW[[#This Row],[CONVERTED]],0)</f>
        <v>0</v>
      </c>
      <c r="W2" s="22">
        <f>IFERROR(RAW[[#This Row],[SALES]]/RAW[[#This Row],[HOURLY PAY]],0)</f>
        <v>0</v>
      </c>
      <c r="X2" s="22">
        <v>54548.040000000008</v>
      </c>
      <c r="AA2">
        <f>MAX(RAW[ACTUAL GROSS])</f>
        <v>441.84240000000005</v>
      </c>
    </row>
    <row r="3" spans="1:27" ht="16" x14ac:dyDescent="0.4">
      <c r="A3" s="23">
        <v>45091</v>
      </c>
      <c r="B3" s="24" t="s">
        <v>25</v>
      </c>
      <c r="C3" s="25" t="s">
        <v>22</v>
      </c>
      <c r="D3" s="14" t="s">
        <v>23</v>
      </c>
      <c r="E3" s="26">
        <v>0</v>
      </c>
      <c r="F3" s="26">
        <v>0</v>
      </c>
      <c r="G3" s="26">
        <v>0</v>
      </c>
      <c r="H3" s="26">
        <v>0</v>
      </c>
      <c r="I3" s="26">
        <v>0</v>
      </c>
      <c r="J3" s="26">
        <v>0</v>
      </c>
      <c r="K3" s="26">
        <v>0</v>
      </c>
      <c r="L3" s="27">
        <v>0</v>
      </c>
      <c r="M3" s="27">
        <v>0</v>
      </c>
      <c r="N3" s="28">
        <v>0</v>
      </c>
      <c r="O3" s="29">
        <v>0</v>
      </c>
      <c r="P3" s="29">
        <v>0</v>
      </c>
      <c r="Q3" s="30">
        <v>0</v>
      </c>
      <c r="R3" s="20">
        <v>0</v>
      </c>
      <c r="S3" s="20">
        <v>0</v>
      </c>
      <c r="T3" s="20">
        <v>0</v>
      </c>
      <c r="U3" s="21" t="s">
        <v>24</v>
      </c>
      <c r="V3" s="236">
        <f>IFERROR(RAW[[#This Row],[ACTUAL GROSS]]/RAW[[#This Row],[CONVERTED]],0)</f>
        <v>0</v>
      </c>
      <c r="W3" s="22">
        <f>IFERROR(RAW[[#This Row],[SALES]]/RAW[[#This Row],[HOURLY PAY]],0)</f>
        <v>0</v>
      </c>
      <c r="AA3">
        <f>COUNTIF(RAW[ACTUAL GROSS],"&gt;0")</f>
        <v>304</v>
      </c>
    </row>
    <row r="4" spans="1:27" ht="16" x14ac:dyDescent="0.4">
      <c r="A4" s="23">
        <v>45092</v>
      </c>
      <c r="B4" s="24" t="s">
        <v>21</v>
      </c>
      <c r="C4" s="25" t="s">
        <v>22</v>
      </c>
      <c r="D4" s="14" t="s">
        <v>26</v>
      </c>
      <c r="E4" s="26">
        <v>0</v>
      </c>
      <c r="F4" s="26">
        <v>0</v>
      </c>
      <c r="G4" s="26">
        <v>0</v>
      </c>
      <c r="H4" s="26">
        <v>0</v>
      </c>
      <c r="I4" s="26">
        <v>0</v>
      </c>
      <c r="J4" s="26">
        <v>0</v>
      </c>
      <c r="K4" s="26">
        <v>0</v>
      </c>
      <c r="L4" s="27">
        <v>0</v>
      </c>
      <c r="M4" s="27">
        <v>0</v>
      </c>
      <c r="N4" s="28">
        <v>0</v>
      </c>
      <c r="O4" s="29">
        <v>0</v>
      </c>
      <c r="P4" s="29">
        <v>0</v>
      </c>
      <c r="Q4" s="30">
        <v>0</v>
      </c>
      <c r="R4" s="20">
        <v>0</v>
      </c>
      <c r="S4" s="20">
        <v>0</v>
      </c>
      <c r="T4" s="20">
        <v>0</v>
      </c>
      <c r="U4" s="21" t="s">
        <v>24</v>
      </c>
      <c r="V4" s="236">
        <f>IFERROR(RAW[[#This Row],[ACTUAL GROSS]]/RAW[[#This Row],[CONVERTED]],0)</f>
        <v>0</v>
      </c>
      <c r="W4" s="22">
        <f>IFERROR(RAW[[#This Row],[SALES]]/RAW[[#This Row],[HOURLY PAY]],0)</f>
        <v>0</v>
      </c>
      <c r="AA4" s="32">
        <f>SUM(RAW[Shift Count])</f>
        <v>304</v>
      </c>
    </row>
    <row r="5" spans="1:27" ht="16" x14ac:dyDescent="0.4">
      <c r="A5" s="23">
        <v>45092</v>
      </c>
      <c r="B5" s="24" t="s">
        <v>25</v>
      </c>
      <c r="C5" s="25" t="s">
        <v>22</v>
      </c>
      <c r="D5" s="14" t="s">
        <v>26</v>
      </c>
      <c r="E5" s="26">
        <v>0</v>
      </c>
      <c r="F5" s="26">
        <v>0</v>
      </c>
      <c r="G5" s="26">
        <v>0</v>
      </c>
      <c r="H5" s="26">
        <v>0</v>
      </c>
      <c r="I5" s="26">
        <v>0</v>
      </c>
      <c r="J5" s="26">
        <v>0</v>
      </c>
      <c r="K5" s="26">
        <v>0</v>
      </c>
      <c r="L5" s="27">
        <v>0</v>
      </c>
      <c r="M5" s="27">
        <v>0</v>
      </c>
      <c r="N5" s="28">
        <v>0</v>
      </c>
      <c r="O5" s="29">
        <v>0</v>
      </c>
      <c r="P5" s="29">
        <v>0</v>
      </c>
      <c r="Q5" s="30">
        <v>0</v>
      </c>
      <c r="R5" s="20">
        <v>0</v>
      </c>
      <c r="S5" s="20">
        <v>0</v>
      </c>
      <c r="T5" s="20">
        <v>0</v>
      </c>
      <c r="U5" s="21" t="s">
        <v>24</v>
      </c>
      <c r="V5" s="236">
        <f>IFERROR(RAW[[#This Row],[ACTUAL GROSS]]/RAW[[#This Row],[CONVERTED]],0)</f>
        <v>0</v>
      </c>
      <c r="W5" s="22">
        <f>IFERROR(RAW[[#This Row],[SALES]]/RAW[[#This Row],[HOURLY PAY]],0)</f>
        <v>0</v>
      </c>
    </row>
    <row r="6" spans="1:27" ht="16" x14ac:dyDescent="0.4">
      <c r="A6" s="23">
        <v>45093</v>
      </c>
      <c r="B6" s="24" t="s">
        <v>21</v>
      </c>
      <c r="C6" s="25" t="s">
        <v>22</v>
      </c>
      <c r="D6" s="14" t="s">
        <v>27</v>
      </c>
      <c r="E6" s="26">
        <v>0</v>
      </c>
      <c r="F6" s="26">
        <v>0</v>
      </c>
      <c r="G6" s="26">
        <v>0</v>
      </c>
      <c r="H6" s="26">
        <v>0</v>
      </c>
      <c r="I6" s="26">
        <v>0</v>
      </c>
      <c r="J6" s="26">
        <v>0</v>
      </c>
      <c r="K6" s="26">
        <v>0</v>
      </c>
      <c r="L6" s="27">
        <v>0</v>
      </c>
      <c r="M6" s="27">
        <v>0</v>
      </c>
      <c r="N6" s="28">
        <v>0</v>
      </c>
      <c r="O6" s="29">
        <v>0</v>
      </c>
      <c r="P6" s="29">
        <v>0</v>
      </c>
      <c r="Q6" s="30">
        <v>0</v>
      </c>
      <c r="R6" s="20">
        <v>0</v>
      </c>
      <c r="S6" s="20">
        <v>0</v>
      </c>
      <c r="T6" s="20">
        <v>0</v>
      </c>
      <c r="U6" s="21" t="s">
        <v>24</v>
      </c>
      <c r="V6" s="236">
        <f>IFERROR(RAW[[#This Row],[ACTUAL GROSS]]/RAW[[#This Row],[CONVERTED]],0)</f>
        <v>0</v>
      </c>
      <c r="W6" s="22">
        <f>IFERROR(RAW[[#This Row],[SALES]]/RAW[[#This Row],[HOURLY PAY]],0)</f>
        <v>0</v>
      </c>
    </row>
    <row r="7" spans="1:27" ht="16" x14ac:dyDescent="0.4">
      <c r="A7" s="23">
        <v>45093</v>
      </c>
      <c r="B7" s="24" t="s">
        <v>25</v>
      </c>
      <c r="C7" s="25" t="s">
        <v>22</v>
      </c>
      <c r="D7" s="14" t="s">
        <v>27</v>
      </c>
      <c r="E7" s="26">
        <v>697</v>
      </c>
      <c r="F7" s="26">
        <v>144.61000000000001</v>
      </c>
      <c r="G7" s="26">
        <v>0</v>
      </c>
      <c r="H7" s="26">
        <v>27.88</v>
      </c>
      <c r="I7" s="26">
        <v>2.4294480000000003</v>
      </c>
      <c r="J7" s="26">
        <v>0</v>
      </c>
      <c r="K7" s="26">
        <v>114.30055200000001</v>
      </c>
      <c r="L7" s="27">
        <v>4</v>
      </c>
      <c r="M7" s="27">
        <v>45</v>
      </c>
      <c r="N7" s="28">
        <v>4.75</v>
      </c>
      <c r="O7" s="29">
        <v>10.1175</v>
      </c>
      <c r="P7" s="29">
        <v>124.41805200000002</v>
      </c>
      <c r="Q7" s="30">
        <v>124.41805200000002</v>
      </c>
      <c r="R7" s="20">
        <v>1</v>
      </c>
      <c r="S7" s="20">
        <v>0</v>
      </c>
      <c r="T7" s="20">
        <v>0</v>
      </c>
      <c r="U7" s="21" t="s">
        <v>24</v>
      </c>
      <c r="V7" s="236">
        <f>IFERROR(RAW[[#This Row],[ACTUAL GROSS]]/RAW[[#This Row],[CONVERTED]],0)</f>
        <v>26.193274105263161</v>
      </c>
      <c r="W7" s="31">
        <f>IFERROR(RAW[[#This Row],[SALES]]/RAW[[#This Row],[HOURLY PAY]],0)</f>
        <v>68.890536199654065</v>
      </c>
    </row>
    <row r="8" spans="1:27" ht="16" x14ac:dyDescent="0.4">
      <c r="A8" s="23">
        <v>45094</v>
      </c>
      <c r="B8" s="24" t="s">
        <v>21</v>
      </c>
      <c r="C8" s="25" t="s">
        <v>22</v>
      </c>
      <c r="D8" s="14" t="s">
        <v>28</v>
      </c>
      <c r="E8" s="26">
        <v>0</v>
      </c>
      <c r="F8" s="26">
        <v>0</v>
      </c>
      <c r="G8" s="26">
        <v>0</v>
      </c>
      <c r="H8" s="26">
        <v>0</v>
      </c>
      <c r="I8" s="26">
        <v>0</v>
      </c>
      <c r="J8" s="26">
        <v>0</v>
      </c>
      <c r="K8" s="26">
        <v>0</v>
      </c>
      <c r="L8" s="27">
        <v>0</v>
      </c>
      <c r="M8" s="27">
        <v>0</v>
      </c>
      <c r="N8" s="28">
        <v>0</v>
      </c>
      <c r="O8" s="29">
        <v>0</v>
      </c>
      <c r="P8" s="29">
        <v>0</v>
      </c>
      <c r="Q8" s="30">
        <v>0</v>
      </c>
      <c r="R8" s="20">
        <v>0</v>
      </c>
      <c r="S8" s="20">
        <v>0</v>
      </c>
      <c r="T8" s="20">
        <v>0</v>
      </c>
      <c r="U8" s="21" t="s">
        <v>24</v>
      </c>
      <c r="V8" s="236">
        <f>IFERROR(RAW[[#This Row],[ACTUAL GROSS]]/RAW[[#This Row],[CONVERTED]],0)</f>
        <v>0</v>
      </c>
      <c r="W8" s="22">
        <f>IFERROR(RAW[[#This Row],[SALES]]/RAW[[#This Row],[HOURLY PAY]],0)</f>
        <v>0</v>
      </c>
    </row>
    <row r="9" spans="1:27" ht="16" x14ac:dyDescent="0.4">
      <c r="A9" s="23">
        <v>45094</v>
      </c>
      <c r="B9" s="24" t="s">
        <v>25</v>
      </c>
      <c r="C9" s="25" t="s">
        <v>22</v>
      </c>
      <c r="D9" s="14" t="s">
        <v>28</v>
      </c>
      <c r="E9" s="26">
        <v>1800</v>
      </c>
      <c r="F9" s="26">
        <v>315</v>
      </c>
      <c r="G9" s="26">
        <v>45</v>
      </c>
      <c r="H9" s="26">
        <v>72</v>
      </c>
      <c r="I9" s="26">
        <v>5.2919999999999998</v>
      </c>
      <c r="J9" s="26">
        <v>4.5</v>
      </c>
      <c r="K9" s="26">
        <v>237.708</v>
      </c>
      <c r="L9" s="27">
        <v>5</v>
      </c>
      <c r="M9" s="27">
        <v>30</v>
      </c>
      <c r="N9" s="28">
        <v>5.5</v>
      </c>
      <c r="O9" s="29">
        <v>11.715</v>
      </c>
      <c r="P9" s="29">
        <v>253.923</v>
      </c>
      <c r="Q9" s="30">
        <v>294.42299999999994</v>
      </c>
      <c r="R9" s="20">
        <v>1</v>
      </c>
      <c r="S9" s="20">
        <v>0</v>
      </c>
      <c r="T9" s="20">
        <v>0</v>
      </c>
      <c r="U9" s="21" t="s">
        <v>24</v>
      </c>
      <c r="V9" s="236">
        <f>IFERROR(RAW[[#This Row],[ACTUAL GROSS]]/RAW[[#This Row],[CONVERTED]],0)</f>
        <v>53.531454545454537</v>
      </c>
      <c r="W9" s="22">
        <f>IFERROR(RAW[[#This Row],[SALES]]/RAW[[#This Row],[HOURLY PAY]],0)</f>
        <v>153.64916773367477</v>
      </c>
    </row>
    <row r="10" spans="1:27" ht="16" x14ac:dyDescent="0.4">
      <c r="A10" s="23">
        <v>45095</v>
      </c>
      <c r="B10" s="24" t="s">
        <v>21</v>
      </c>
      <c r="C10" s="25" t="s">
        <v>22</v>
      </c>
      <c r="D10" s="14" t="s">
        <v>29</v>
      </c>
      <c r="E10" s="26">
        <v>0</v>
      </c>
      <c r="F10" s="26">
        <v>0</v>
      </c>
      <c r="G10" s="26">
        <v>0</v>
      </c>
      <c r="H10" s="26">
        <v>0</v>
      </c>
      <c r="I10" s="26">
        <v>0</v>
      </c>
      <c r="J10" s="26">
        <v>0</v>
      </c>
      <c r="K10" s="26">
        <v>0</v>
      </c>
      <c r="L10" s="27">
        <v>0</v>
      </c>
      <c r="M10" s="27">
        <v>0</v>
      </c>
      <c r="N10" s="28">
        <v>0</v>
      </c>
      <c r="O10" s="29">
        <v>0</v>
      </c>
      <c r="P10" s="29">
        <v>0</v>
      </c>
      <c r="Q10" s="30">
        <v>0</v>
      </c>
      <c r="R10" s="20">
        <v>0</v>
      </c>
      <c r="S10" s="20">
        <v>0</v>
      </c>
      <c r="T10" s="20">
        <v>0</v>
      </c>
      <c r="U10" s="21" t="s">
        <v>24</v>
      </c>
      <c r="V10" s="236">
        <f>IFERROR(RAW[[#This Row],[ACTUAL GROSS]]/RAW[[#This Row],[CONVERTED]],0)</f>
        <v>0</v>
      </c>
      <c r="W10" s="22">
        <f>IFERROR(RAW[[#This Row],[SALES]]/RAW[[#This Row],[HOURLY PAY]],0)</f>
        <v>0</v>
      </c>
    </row>
    <row r="11" spans="1:27" ht="16" x14ac:dyDescent="0.4">
      <c r="A11" s="23">
        <v>45095</v>
      </c>
      <c r="B11" s="24" t="s">
        <v>25</v>
      </c>
      <c r="C11" s="25" t="s">
        <v>22</v>
      </c>
      <c r="D11" s="14" t="s">
        <v>29</v>
      </c>
      <c r="E11" s="26">
        <v>1015</v>
      </c>
      <c r="F11" s="26">
        <v>180.55</v>
      </c>
      <c r="G11" s="26">
        <v>10</v>
      </c>
      <c r="H11" s="26">
        <v>40.6</v>
      </c>
      <c r="I11" s="26">
        <v>3.0332400000000002</v>
      </c>
      <c r="J11" s="26">
        <v>1</v>
      </c>
      <c r="K11" s="26">
        <v>136.91676000000001</v>
      </c>
      <c r="L11" s="27">
        <v>5</v>
      </c>
      <c r="M11" s="27">
        <v>30</v>
      </c>
      <c r="N11" s="28">
        <v>5.5</v>
      </c>
      <c r="O11" s="29">
        <v>11.715</v>
      </c>
      <c r="P11" s="29">
        <v>149.63176000000001</v>
      </c>
      <c r="Q11" s="30">
        <v>158.63176000000001</v>
      </c>
      <c r="R11" s="20">
        <v>1</v>
      </c>
      <c r="S11" s="20">
        <v>0</v>
      </c>
      <c r="T11" s="20">
        <v>0</v>
      </c>
      <c r="U11" s="21" t="s">
        <v>24</v>
      </c>
      <c r="V11" s="236">
        <f>IFERROR(RAW[[#This Row],[ACTUAL GROSS]]/RAW[[#This Row],[CONVERTED]],0)</f>
        <v>28.842138181818186</v>
      </c>
      <c r="W11" s="22">
        <f>IFERROR(RAW[[#This Row],[SALES]]/RAW[[#This Row],[HOURLY PAY]],0)</f>
        <v>86.641058472044392</v>
      </c>
    </row>
    <row r="12" spans="1:27" ht="16" x14ac:dyDescent="0.4">
      <c r="A12" s="23">
        <v>45096</v>
      </c>
      <c r="B12" s="24" t="s">
        <v>21</v>
      </c>
      <c r="C12" s="25" t="s">
        <v>22</v>
      </c>
      <c r="D12" s="14" t="s">
        <v>30</v>
      </c>
      <c r="E12" s="26">
        <v>0</v>
      </c>
      <c r="F12" s="26">
        <v>0</v>
      </c>
      <c r="G12" s="26">
        <v>0</v>
      </c>
      <c r="H12" s="26">
        <v>0</v>
      </c>
      <c r="I12" s="26">
        <v>0</v>
      </c>
      <c r="J12" s="26">
        <v>0</v>
      </c>
      <c r="K12" s="26">
        <v>0</v>
      </c>
      <c r="L12" s="27">
        <v>0</v>
      </c>
      <c r="M12" s="27">
        <v>0</v>
      </c>
      <c r="N12" s="28">
        <v>0</v>
      </c>
      <c r="O12" s="29">
        <v>0</v>
      </c>
      <c r="P12" s="29">
        <v>0</v>
      </c>
      <c r="Q12" s="30">
        <v>0</v>
      </c>
      <c r="R12" s="20">
        <v>0</v>
      </c>
      <c r="S12" s="20">
        <v>0</v>
      </c>
      <c r="T12" s="20">
        <v>0</v>
      </c>
      <c r="U12" s="21" t="s">
        <v>24</v>
      </c>
      <c r="V12" s="236">
        <f>IFERROR(RAW[[#This Row],[ACTUAL GROSS]]/RAW[[#This Row],[CONVERTED]],0)</f>
        <v>0</v>
      </c>
      <c r="W12" s="22">
        <f>IFERROR(RAW[[#This Row],[SALES]]/RAW[[#This Row],[HOURLY PAY]],0)</f>
        <v>0</v>
      </c>
    </row>
    <row r="13" spans="1:27" ht="16" x14ac:dyDescent="0.4">
      <c r="A13" s="23">
        <v>45096</v>
      </c>
      <c r="B13" s="24" t="s">
        <v>25</v>
      </c>
      <c r="C13" s="25" t="s">
        <v>22</v>
      </c>
      <c r="D13" s="14" t="s">
        <v>30</v>
      </c>
      <c r="E13" s="26">
        <v>551</v>
      </c>
      <c r="F13" s="26">
        <v>82</v>
      </c>
      <c r="G13" s="26">
        <v>0</v>
      </c>
      <c r="H13" s="26">
        <v>22.04</v>
      </c>
      <c r="I13" s="26">
        <v>1.3775999999999999</v>
      </c>
      <c r="J13" s="26">
        <v>0</v>
      </c>
      <c r="K13" s="26">
        <v>58.5824</v>
      </c>
      <c r="L13" s="27">
        <v>4</v>
      </c>
      <c r="M13" s="27">
        <v>0</v>
      </c>
      <c r="N13" s="28">
        <v>4</v>
      </c>
      <c r="O13" s="29">
        <v>8.52</v>
      </c>
      <c r="P13" s="29">
        <v>67.102400000000003</v>
      </c>
      <c r="Q13" s="30">
        <v>67.102400000000003</v>
      </c>
      <c r="R13" s="20">
        <v>1</v>
      </c>
      <c r="S13" s="20">
        <v>0</v>
      </c>
      <c r="T13" s="20">
        <v>0</v>
      </c>
      <c r="U13" s="21" t="s">
        <v>24</v>
      </c>
      <c r="V13" s="236">
        <f>IFERROR(RAW[[#This Row],[ACTUAL GROSS]]/RAW[[#This Row],[CONVERTED]],0)</f>
        <v>16.775600000000001</v>
      </c>
      <c r="W13" s="32">
        <f>IFERROR(RAW[[#This Row],[SALES]]/RAW[[#This Row],[HOURLY PAY]],0)</f>
        <v>64.671361502347423</v>
      </c>
    </row>
    <row r="14" spans="1:27" ht="16" x14ac:dyDescent="0.4">
      <c r="A14" s="23">
        <v>45097</v>
      </c>
      <c r="B14" s="24" t="s">
        <v>21</v>
      </c>
      <c r="C14" s="25" t="s">
        <v>22</v>
      </c>
      <c r="D14" s="14" t="s">
        <v>31</v>
      </c>
      <c r="E14" s="26">
        <v>0</v>
      </c>
      <c r="F14" s="26">
        <v>0</v>
      </c>
      <c r="G14" s="26">
        <v>0</v>
      </c>
      <c r="H14" s="26">
        <v>0</v>
      </c>
      <c r="I14" s="26">
        <v>0</v>
      </c>
      <c r="J14" s="26">
        <v>0</v>
      </c>
      <c r="K14" s="26">
        <v>0</v>
      </c>
      <c r="L14" s="27">
        <v>0</v>
      </c>
      <c r="M14" s="27">
        <v>0</v>
      </c>
      <c r="N14" s="28">
        <v>0</v>
      </c>
      <c r="O14" s="29">
        <v>0</v>
      </c>
      <c r="P14" s="29">
        <v>0</v>
      </c>
      <c r="Q14" s="30">
        <v>0</v>
      </c>
      <c r="R14" s="20">
        <v>0</v>
      </c>
      <c r="S14" s="20">
        <v>0</v>
      </c>
      <c r="T14" s="20">
        <v>0</v>
      </c>
      <c r="U14" s="21" t="s">
        <v>24</v>
      </c>
      <c r="V14" s="236">
        <f>IFERROR(RAW[[#This Row],[ACTUAL GROSS]]/RAW[[#This Row],[CONVERTED]],0)</f>
        <v>0</v>
      </c>
      <c r="W14" s="22">
        <f>IFERROR(RAW[[#This Row],[SALES]]/RAW[[#This Row],[HOURLY PAY]],0)</f>
        <v>0</v>
      </c>
    </row>
    <row r="15" spans="1:27" ht="16" x14ac:dyDescent="0.4">
      <c r="A15" s="23">
        <v>45097</v>
      </c>
      <c r="B15" s="24" t="s">
        <v>25</v>
      </c>
      <c r="C15" s="25" t="s">
        <v>22</v>
      </c>
      <c r="D15" s="14" t="s">
        <v>31</v>
      </c>
      <c r="E15" s="26">
        <v>489.5</v>
      </c>
      <c r="F15" s="26">
        <v>93.83</v>
      </c>
      <c r="G15" s="26">
        <v>0</v>
      </c>
      <c r="H15" s="26">
        <v>19.580000000000002</v>
      </c>
      <c r="I15" s="26">
        <v>1.576344</v>
      </c>
      <c r="J15" s="26">
        <v>0</v>
      </c>
      <c r="K15" s="26">
        <v>72.673655999999994</v>
      </c>
      <c r="L15" s="27">
        <v>3</v>
      </c>
      <c r="M15" s="27">
        <v>35</v>
      </c>
      <c r="N15" s="28">
        <v>3.5833333333333335</v>
      </c>
      <c r="O15" s="26">
        <v>7.6325000000000003</v>
      </c>
      <c r="P15" s="26">
        <v>80.306155999999987</v>
      </c>
      <c r="Q15" s="33">
        <v>80.306155999999987</v>
      </c>
      <c r="R15" s="34">
        <v>1</v>
      </c>
      <c r="S15" s="34">
        <v>0</v>
      </c>
      <c r="T15" s="20">
        <v>0</v>
      </c>
      <c r="U15" s="21" t="s">
        <v>24</v>
      </c>
      <c r="V15" s="236">
        <f>IFERROR(RAW[[#This Row],[ACTUAL GROSS]]/RAW[[#This Row],[CONVERTED]],0)</f>
        <v>22.411020279069763</v>
      </c>
      <c r="W15" s="31">
        <f>IFERROR(RAW[[#This Row],[SALES]]/RAW[[#This Row],[HOURLY PAY]],0)</f>
        <v>64.133639043563704</v>
      </c>
    </row>
    <row r="16" spans="1:27" ht="16" x14ac:dyDescent="0.4">
      <c r="A16" s="23">
        <v>45098</v>
      </c>
      <c r="B16" s="24" t="s">
        <v>21</v>
      </c>
      <c r="C16" s="25" t="s">
        <v>22</v>
      </c>
      <c r="D16" s="14" t="s">
        <v>23</v>
      </c>
      <c r="E16" s="26">
        <v>0</v>
      </c>
      <c r="F16" s="26">
        <v>0</v>
      </c>
      <c r="G16" s="26">
        <v>0</v>
      </c>
      <c r="H16" s="26">
        <v>0</v>
      </c>
      <c r="I16" s="26">
        <v>0</v>
      </c>
      <c r="J16" s="26">
        <v>0</v>
      </c>
      <c r="K16" s="26">
        <v>0</v>
      </c>
      <c r="L16" s="27">
        <v>0</v>
      </c>
      <c r="M16" s="27">
        <v>0</v>
      </c>
      <c r="N16" s="28">
        <v>0</v>
      </c>
      <c r="O16" s="29">
        <v>0</v>
      </c>
      <c r="P16" s="29">
        <v>0</v>
      </c>
      <c r="Q16" s="30">
        <v>0</v>
      </c>
      <c r="R16" s="20">
        <v>0</v>
      </c>
      <c r="S16" s="20">
        <v>0</v>
      </c>
      <c r="T16" s="20">
        <v>0</v>
      </c>
      <c r="U16" s="21" t="s">
        <v>24</v>
      </c>
      <c r="V16" s="236">
        <f>IFERROR(RAW[[#This Row],[ACTUAL GROSS]]/RAW[[#This Row],[CONVERTED]],0)</f>
        <v>0</v>
      </c>
      <c r="W16" s="22">
        <f>IFERROR(RAW[[#This Row],[SALES]]/RAW[[#This Row],[HOURLY PAY]],0)</f>
        <v>0</v>
      </c>
    </row>
    <row r="17" spans="1:25" ht="16" x14ac:dyDescent="0.4">
      <c r="A17" s="23">
        <v>45098</v>
      </c>
      <c r="B17" s="24" t="s">
        <v>25</v>
      </c>
      <c r="C17" s="25" t="s">
        <v>22</v>
      </c>
      <c r="D17" s="14" t="s">
        <v>23</v>
      </c>
      <c r="E17" s="26">
        <v>1067</v>
      </c>
      <c r="F17" s="26">
        <v>196.33</v>
      </c>
      <c r="G17" s="26">
        <v>0</v>
      </c>
      <c r="H17" s="26">
        <v>42.68</v>
      </c>
      <c r="I17" s="26">
        <v>3.2983440000000002</v>
      </c>
      <c r="J17" s="26">
        <v>0</v>
      </c>
      <c r="K17" s="26">
        <v>150.35165600000002</v>
      </c>
      <c r="L17" s="27">
        <v>6</v>
      </c>
      <c r="M17" s="27">
        <v>26</v>
      </c>
      <c r="N17" s="28">
        <v>6.4333333333333336</v>
      </c>
      <c r="O17" s="26">
        <v>13.702999999999999</v>
      </c>
      <c r="P17" s="26">
        <v>164.05465600000002</v>
      </c>
      <c r="Q17" s="33">
        <v>164.05465600000002</v>
      </c>
      <c r="R17" s="34">
        <v>1</v>
      </c>
      <c r="S17" s="34">
        <v>0</v>
      </c>
      <c r="T17" s="20">
        <v>0</v>
      </c>
      <c r="U17" s="21" t="s">
        <v>24</v>
      </c>
      <c r="V17" s="236">
        <f>IFERROR(RAW[[#This Row],[ACTUAL GROSS]]/RAW[[#This Row],[CONVERTED]],0)</f>
        <v>25.500723730569952</v>
      </c>
      <c r="W17" s="22">
        <f>IFERROR(RAW[[#This Row],[SALES]]/RAW[[#This Row],[HOURLY PAY]],0)</f>
        <v>77.866160694738383</v>
      </c>
    </row>
    <row r="18" spans="1:25" ht="16" x14ac:dyDescent="0.4">
      <c r="A18" s="23">
        <v>45099</v>
      </c>
      <c r="B18" s="24" t="s">
        <v>21</v>
      </c>
      <c r="C18" s="25" t="s">
        <v>22</v>
      </c>
      <c r="D18" s="14" t="s">
        <v>26</v>
      </c>
      <c r="E18" s="26">
        <v>0</v>
      </c>
      <c r="F18" s="26">
        <v>0</v>
      </c>
      <c r="G18" s="26">
        <v>0</v>
      </c>
      <c r="H18" s="26">
        <v>0</v>
      </c>
      <c r="I18" s="26">
        <v>0</v>
      </c>
      <c r="J18" s="26">
        <v>0</v>
      </c>
      <c r="K18" s="26">
        <v>0</v>
      </c>
      <c r="L18" s="27">
        <v>0</v>
      </c>
      <c r="M18" s="27">
        <v>0</v>
      </c>
      <c r="N18" s="28">
        <v>0</v>
      </c>
      <c r="O18" s="26">
        <v>0</v>
      </c>
      <c r="P18" s="26">
        <v>0</v>
      </c>
      <c r="Q18" s="33">
        <v>0</v>
      </c>
      <c r="R18" s="34">
        <v>0</v>
      </c>
      <c r="S18" s="34">
        <v>0</v>
      </c>
      <c r="T18" s="20">
        <v>0</v>
      </c>
      <c r="U18" s="21" t="s">
        <v>24</v>
      </c>
      <c r="V18" s="236">
        <f>IFERROR(RAW[[#This Row],[ACTUAL GROSS]]/RAW[[#This Row],[CONVERTED]],0)</f>
        <v>0</v>
      </c>
      <c r="W18" s="22">
        <f>IFERROR(RAW[[#This Row],[SALES]]/RAW[[#This Row],[HOURLY PAY]],0)</f>
        <v>0</v>
      </c>
      <c r="X18" s="22">
        <v>50847.324838715846</v>
      </c>
      <c r="Y18" s="22">
        <v>977.83316997530471</v>
      </c>
    </row>
    <row r="19" spans="1:25" ht="16" x14ac:dyDescent="0.4">
      <c r="A19" s="23">
        <v>45099</v>
      </c>
      <c r="B19" s="24" t="s">
        <v>25</v>
      </c>
      <c r="C19" s="25" t="s">
        <v>22</v>
      </c>
      <c r="D19" s="14" t="s">
        <v>26</v>
      </c>
      <c r="E19" s="26">
        <v>0</v>
      </c>
      <c r="F19" s="26">
        <v>0</v>
      </c>
      <c r="G19" s="26">
        <v>0</v>
      </c>
      <c r="H19" s="26">
        <v>0</v>
      </c>
      <c r="I19" s="26">
        <v>0</v>
      </c>
      <c r="J19" s="26">
        <v>0</v>
      </c>
      <c r="K19" s="26">
        <v>0</v>
      </c>
      <c r="L19" s="27">
        <v>0</v>
      </c>
      <c r="M19" s="27">
        <v>0</v>
      </c>
      <c r="N19" s="28">
        <v>0</v>
      </c>
      <c r="O19" s="26">
        <v>0</v>
      </c>
      <c r="P19" s="26">
        <v>0</v>
      </c>
      <c r="Q19" s="33">
        <v>0</v>
      </c>
      <c r="R19" s="34">
        <v>0</v>
      </c>
      <c r="S19" s="34">
        <v>0</v>
      </c>
      <c r="T19" s="20">
        <v>0</v>
      </c>
      <c r="U19" s="21" t="s">
        <v>24</v>
      </c>
      <c r="V19" s="236">
        <f>IFERROR(RAW[[#This Row],[ACTUAL GROSS]]/RAW[[#This Row],[CONVERTED]],0)</f>
        <v>0</v>
      </c>
      <c r="W19" s="31">
        <f>IFERROR(RAW[[#This Row],[SALES]]/RAW[[#This Row],[HOURLY PAY]],0)</f>
        <v>0</v>
      </c>
    </row>
    <row r="20" spans="1:25" ht="16" x14ac:dyDescent="0.4">
      <c r="A20" s="23">
        <v>45100</v>
      </c>
      <c r="B20" s="24" t="s">
        <v>21</v>
      </c>
      <c r="C20" s="25" t="s">
        <v>22</v>
      </c>
      <c r="D20" s="14" t="s">
        <v>27</v>
      </c>
      <c r="E20" s="26">
        <v>0</v>
      </c>
      <c r="F20" s="26">
        <v>0</v>
      </c>
      <c r="G20" s="26">
        <v>0</v>
      </c>
      <c r="H20" s="26">
        <v>0</v>
      </c>
      <c r="I20" s="26">
        <v>0</v>
      </c>
      <c r="J20" s="26">
        <v>0</v>
      </c>
      <c r="K20" s="26">
        <v>0</v>
      </c>
      <c r="L20" s="27">
        <v>0</v>
      </c>
      <c r="M20" s="27">
        <v>0</v>
      </c>
      <c r="N20" s="28">
        <v>0</v>
      </c>
      <c r="O20" s="26">
        <v>0</v>
      </c>
      <c r="P20" s="26">
        <v>0</v>
      </c>
      <c r="Q20" s="33">
        <v>0</v>
      </c>
      <c r="R20" s="34">
        <v>0</v>
      </c>
      <c r="S20" s="34">
        <v>0</v>
      </c>
      <c r="T20" s="20">
        <v>0</v>
      </c>
      <c r="U20" s="21" t="s">
        <v>24</v>
      </c>
      <c r="V20" s="236">
        <f>IFERROR(RAW[[#This Row],[ACTUAL GROSS]]/RAW[[#This Row],[CONVERTED]],0)</f>
        <v>0</v>
      </c>
      <c r="W20" s="35">
        <f>IFERROR(RAW[[#This Row],[SALES]]/RAW[[#This Row],[HOURLY PAY]],0)</f>
        <v>0</v>
      </c>
    </row>
    <row r="21" spans="1:25" x14ac:dyDescent="0.35">
      <c r="A21" s="23">
        <v>45100</v>
      </c>
      <c r="B21" s="24" t="s">
        <v>25</v>
      </c>
      <c r="C21" s="25" t="s">
        <v>22</v>
      </c>
      <c r="D21" s="14" t="s">
        <v>27</v>
      </c>
      <c r="E21" s="26">
        <v>1391.51</v>
      </c>
      <c r="F21" s="26">
        <v>260.42</v>
      </c>
      <c r="G21" s="26">
        <v>0</v>
      </c>
      <c r="H21" s="26">
        <v>55.660400000000003</v>
      </c>
      <c r="I21" s="26">
        <v>4.3750559999999998</v>
      </c>
      <c r="J21" s="26">
        <v>0</v>
      </c>
      <c r="K21" s="26">
        <v>200.38454400000001</v>
      </c>
      <c r="L21" s="27">
        <v>5</v>
      </c>
      <c r="M21" s="27">
        <v>48</v>
      </c>
      <c r="N21" s="28">
        <v>5.8</v>
      </c>
      <c r="O21" s="26">
        <v>12.353999999999999</v>
      </c>
      <c r="P21" s="26">
        <v>212.73854399999999</v>
      </c>
      <c r="Q21" s="33">
        <v>212.73854399999999</v>
      </c>
      <c r="R21" s="34">
        <v>1</v>
      </c>
      <c r="S21" s="34">
        <v>0</v>
      </c>
      <c r="T21" s="20">
        <v>0</v>
      </c>
      <c r="U21" s="21" t="s">
        <v>24</v>
      </c>
      <c r="V21" s="22">
        <f>IFERROR(RAW[[#This Row],[ACTUAL GROSS]]/RAW[[#This Row],[CONVERTED]],0)</f>
        <v>36.679059310344826</v>
      </c>
      <c r="W21" s="22">
        <f>IFERROR(RAW[[#This Row],[SALES]]/RAW[[#This Row],[HOURLY PAY]],0)</f>
        <v>112.6363930710701</v>
      </c>
    </row>
    <row r="22" spans="1:25" x14ac:dyDescent="0.35">
      <c r="A22" s="23">
        <v>45101</v>
      </c>
      <c r="B22" s="24" t="s">
        <v>21</v>
      </c>
      <c r="C22" s="25" t="s">
        <v>22</v>
      </c>
      <c r="D22" s="14" t="s">
        <v>28</v>
      </c>
      <c r="E22" s="26">
        <v>0</v>
      </c>
      <c r="F22" s="26">
        <v>0</v>
      </c>
      <c r="G22" s="26">
        <v>0</v>
      </c>
      <c r="H22" s="26">
        <v>0</v>
      </c>
      <c r="I22" s="26">
        <v>0</v>
      </c>
      <c r="J22" s="26">
        <v>0</v>
      </c>
      <c r="K22" s="26">
        <v>0</v>
      </c>
      <c r="L22" s="27">
        <v>0</v>
      </c>
      <c r="M22" s="27">
        <v>0</v>
      </c>
      <c r="N22" s="28">
        <v>0</v>
      </c>
      <c r="O22" s="26">
        <v>0</v>
      </c>
      <c r="P22" s="26">
        <v>0</v>
      </c>
      <c r="Q22" s="33">
        <v>0</v>
      </c>
      <c r="R22" s="34">
        <v>0</v>
      </c>
      <c r="S22" s="34">
        <v>0</v>
      </c>
      <c r="T22" s="20">
        <v>0</v>
      </c>
      <c r="U22" s="21" t="s">
        <v>24</v>
      </c>
      <c r="V22" s="22">
        <f>IFERROR(RAW[[#This Row],[ACTUAL GROSS]]/RAW[[#This Row],[CONVERTED]],0)</f>
        <v>0</v>
      </c>
      <c r="W22" s="22">
        <f>IFERROR(RAW[[#This Row],[SALES]]/RAW[[#This Row],[HOURLY PAY]],0)</f>
        <v>0</v>
      </c>
    </row>
    <row r="23" spans="1:25" x14ac:dyDescent="0.35">
      <c r="A23" s="23">
        <v>45101</v>
      </c>
      <c r="B23" s="24" t="s">
        <v>25</v>
      </c>
      <c r="C23" s="25" t="s">
        <v>22</v>
      </c>
      <c r="D23" s="14" t="s">
        <v>28</v>
      </c>
      <c r="E23" s="26">
        <v>0</v>
      </c>
      <c r="F23" s="26">
        <v>0</v>
      </c>
      <c r="G23" s="26">
        <v>0</v>
      </c>
      <c r="H23" s="26">
        <v>0</v>
      </c>
      <c r="I23" s="26">
        <v>0</v>
      </c>
      <c r="J23" s="26">
        <v>0</v>
      </c>
      <c r="K23" s="26">
        <v>0</v>
      </c>
      <c r="L23" s="27">
        <v>0</v>
      </c>
      <c r="M23" s="27">
        <v>0</v>
      </c>
      <c r="N23" s="28">
        <v>0</v>
      </c>
      <c r="O23" s="26">
        <v>0</v>
      </c>
      <c r="P23" s="26">
        <v>0</v>
      </c>
      <c r="Q23" s="33">
        <v>0</v>
      </c>
      <c r="R23" s="34">
        <v>0</v>
      </c>
      <c r="S23" s="34">
        <v>0</v>
      </c>
      <c r="T23" s="20">
        <v>0</v>
      </c>
      <c r="U23" s="21" t="s">
        <v>24</v>
      </c>
      <c r="V23" s="22">
        <f>IFERROR(RAW[[#This Row],[ACTUAL GROSS]]/RAW[[#This Row],[CONVERTED]],0)</f>
        <v>0</v>
      </c>
      <c r="W23" s="22">
        <f>IFERROR(RAW[[#This Row],[SALES]]/RAW[[#This Row],[HOURLY PAY]],0)</f>
        <v>0</v>
      </c>
    </row>
    <row r="24" spans="1:25" x14ac:dyDescent="0.35">
      <c r="A24" s="23">
        <v>45102</v>
      </c>
      <c r="B24" s="24" t="s">
        <v>21</v>
      </c>
      <c r="C24" s="25" t="s">
        <v>22</v>
      </c>
      <c r="D24" s="14" t="s">
        <v>29</v>
      </c>
      <c r="E24" s="26">
        <v>0</v>
      </c>
      <c r="F24" s="26">
        <v>0</v>
      </c>
      <c r="G24" s="26">
        <v>0</v>
      </c>
      <c r="H24" s="26">
        <v>0</v>
      </c>
      <c r="I24" s="26">
        <v>0</v>
      </c>
      <c r="J24" s="26">
        <v>0</v>
      </c>
      <c r="K24" s="26">
        <v>0</v>
      </c>
      <c r="L24" s="27">
        <v>0</v>
      </c>
      <c r="M24" s="27">
        <v>0</v>
      </c>
      <c r="N24" s="28">
        <v>0</v>
      </c>
      <c r="O24" s="26">
        <v>0</v>
      </c>
      <c r="P24" s="26">
        <v>0</v>
      </c>
      <c r="Q24" s="33">
        <v>0</v>
      </c>
      <c r="R24" s="34">
        <v>0</v>
      </c>
      <c r="S24" s="34">
        <v>0</v>
      </c>
      <c r="T24" s="20">
        <v>0</v>
      </c>
      <c r="U24" s="21" t="s">
        <v>24</v>
      </c>
      <c r="V24" s="22">
        <f>IFERROR(RAW[[#This Row],[ACTUAL GROSS]]/RAW[[#This Row],[CONVERTED]],0)</f>
        <v>0</v>
      </c>
      <c r="W24" s="22">
        <f>IFERROR(RAW[[#This Row],[SALES]]/RAW[[#This Row],[HOURLY PAY]],0)</f>
        <v>0</v>
      </c>
    </row>
    <row r="25" spans="1:25" x14ac:dyDescent="0.35">
      <c r="A25" s="23">
        <v>45102</v>
      </c>
      <c r="B25" s="24" t="s">
        <v>25</v>
      </c>
      <c r="C25" s="25" t="s">
        <v>22</v>
      </c>
      <c r="D25" s="14" t="s">
        <v>29</v>
      </c>
      <c r="E25" s="26">
        <v>1421.5</v>
      </c>
      <c r="F25" s="26">
        <v>270.14999999999998</v>
      </c>
      <c r="G25" s="26">
        <v>12</v>
      </c>
      <c r="H25" s="26">
        <v>56.86</v>
      </c>
      <c r="I25" s="26">
        <v>4.5385199999999992</v>
      </c>
      <c r="J25" s="26">
        <v>6.5</v>
      </c>
      <c r="K25" s="26">
        <v>208.75147999999999</v>
      </c>
      <c r="L25" s="27">
        <v>4</v>
      </c>
      <c r="M25" s="27">
        <v>29</v>
      </c>
      <c r="N25" s="28">
        <v>4.4833333333333334</v>
      </c>
      <c r="O25" s="26">
        <v>9.5495000000000001</v>
      </c>
      <c r="P25" s="26">
        <v>224.80097999999998</v>
      </c>
      <c r="Q25" s="33">
        <v>230.30097999999998</v>
      </c>
      <c r="R25" s="34">
        <v>1</v>
      </c>
      <c r="S25" s="34">
        <v>0</v>
      </c>
      <c r="T25" s="20">
        <v>0</v>
      </c>
      <c r="U25" s="21" t="s">
        <v>24</v>
      </c>
      <c r="V25" s="22">
        <f>IFERROR(RAW[[#This Row],[ACTUAL GROSS]]/RAW[[#This Row],[CONVERTED]],0)</f>
        <v>51.368248327137543</v>
      </c>
      <c r="W25" s="22">
        <f>IFERROR(RAW[[#This Row],[SALES]]/RAW[[#This Row],[HOURLY PAY]],0)</f>
        <v>148.8559610450809</v>
      </c>
    </row>
    <row r="26" spans="1:25" x14ac:dyDescent="0.35">
      <c r="A26" s="23">
        <v>45103</v>
      </c>
      <c r="B26" s="24" t="s">
        <v>21</v>
      </c>
      <c r="C26" s="25" t="s">
        <v>22</v>
      </c>
      <c r="D26" s="14" t="s">
        <v>30</v>
      </c>
      <c r="E26" s="26">
        <v>0</v>
      </c>
      <c r="F26" s="26">
        <v>0</v>
      </c>
      <c r="G26" s="26">
        <v>0</v>
      </c>
      <c r="H26" s="26">
        <v>0</v>
      </c>
      <c r="I26" s="26">
        <v>0</v>
      </c>
      <c r="J26" s="26">
        <v>0</v>
      </c>
      <c r="K26" s="26">
        <v>0</v>
      </c>
      <c r="L26" s="27">
        <v>0</v>
      </c>
      <c r="M26" s="27">
        <v>0</v>
      </c>
      <c r="N26" s="28">
        <v>0</v>
      </c>
      <c r="O26" s="26">
        <v>0</v>
      </c>
      <c r="P26" s="26">
        <v>0</v>
      </c>
      <c r="Q26" s="33">
        <v>0</v>
      </c>
      <c r="R26" s="34">
        <v>0</v>
      </c>
      <c r="S26" s="34">
        <v>0</v>
      </c>
      <c r="T26" s="20">
        <v>0</v>
      </c>
      <c r="U26" s="21" t="s">
        <v>24</v>
      </c>
      <c r="V26" s="22">
        <f>IFERROR(RAW[[#This Row],[ACTUAL GROSS]]/RAW[[#This Row],[CONVERTED]],0)</f>
        <v>0</v>
      </c>
      <c r="W26" s="22">
        <f>IFERROR(RAW[[#This Row],[SALES]]/RAW[[#This Row],[HOURLY PAY]],0)</f>
        <v>0</v>
      </c>
    </row>
    <row r="27" spans="1:25" x14ac:dyDescent="0.35">
      <c r="A27" s="23">
        <v>45103</v>
      </c>
      <c r="B27" s="24" t="s">
        <v>25</v>
      </c>
      <c r="C27" s="25" t="s">
        <v>22</v>
      </c>
      <c r="D27" s="14" t="s">
        <v>30</v>
      </c>
      <c r="E27" s="26">
        <v>807.5</v>
      </c>
      <c r="F27" s="26">
        <v>130.56</v>
      </c>
      <c r="G27" s="26">
        <v>35</v>
      </c>
      <c r="H27" s="26">
        <v>32.299999999999997</v>
      </c>
      <c r="I27" s="26">
        <v>2.1934079999999998</v>
      </c>
      <c r="J27" s="26">
        <v>6.4</v>
      </c>
      <c r="K27" s="26">
        <v>96.066592000000014</v>
      </c>
      <c r="L27" s="27">
        <v>4</v>
      </c>
      <c r="M27" s="27">
        <v>49</v>
      </c>
      <c r="N27" s="28">
        <v>4.8166666666666664</v>
      </c>
      <c r="O27" s="26">
        <v>10.259499999999999</v>
      </c>
      <c r="P27" s="26">
        <v>112.72609200000002</v>
      </c>
      <c r="Q27" s="33">
        <v>141.32609200000002</v>
      </c>
      <c r="R27" s="34">
        <v>1</v>
      </c>
      <c r="S27" s="34">
        <v>0</v>
      </c>
      <c r="T27" s="20">
        <v>0</v>
      </c>
      <c r="U27" s="21" t="s">
        <v>24</v>
      </c>
      <c r="V27" s="22">
        <f>IFERROR(RAW[[#This Row],[ACTUAL GROSS]]/RAW[[#This Row],[CONVERTED]],0)</f>
        <v>29.341057162629763</v>
      </c>
      <c r="W27" s="22">
        <f>IFERROR(RAW[[#This Row],[SALES]]/RAW[[#This Row],[HOURLY PAY]],0)</f>
        <v>78.70753935376969</v>
      </c>
    </row>
    <row r="28" spans="1:25" x14ac:dyDescent="0.35">
      <c r="A28" s="23">
        <v>45104</v>
      </c>
      <c r="B28" s="24" t="s">
        <v>21</v>
      </c>
      <c r="C28" s="25" t="s">
        <v>22</v>
      </c>
      <c r="D28" s="14" t="s">
        <v>31</v>
      </c>
      <c r="E28" s="26">
        <v>0</v>
      </c>
      <c r="F28" s="26">
        <v>0</v>
      </c>
      <c r="G28" s="26">
        <v>0</v>
      </c>
      <c r="H28" s="26">
        <v>0</v>
      </c>
      <c r="I28" s="26">
        <v>0</v>
      </c>
      <c r="J28" s="26">
        <v>0</v>
      </c>
      <c r="K28" s="26">
        <v>0</v>
      </c>
      <c r="L28" s="27">
        <v>0</v>
      </c>
      <c r="M28" s="27">
        <v>0</v>
      </c>
      <c r="N28" s="28">
        <v>0</v>
      </c>
      <c r="O28" s="26">
        <v>0</v>
      </c>
      <c r="P28" s="26">
        <v>0</v>
      </c>
      <c r="Q28" s="33">
        <v>0</v>
      </c>
      <c r="R28" s="34">
        <v>0</v>
      </c>
      <c r="S28" s="34">
        <v>0</v>
      </c>
      <c r="T28" s="20">
        <v>0</v>
      </c>
      <c r="U28" s="21" t="s">
        <v>24</v>
      </c>
      <c r="V28" s="22">
        <f>IFERROR(RAW[[#This Row],[ACTUAL GROSS]]/RAW[[#This Row],[CONVERTED]],0)</f>
        <v>0</v>
      </c>
      <c r="W28" s="22">
        <f>IFERROR(RAW[[#This Row],[SALES]]/RAW[[#This Row],[HOURLY PAY]],0)</f>
        <v>0</v>
      </c>
    </row>
    <row r="29" spans="1:25" x14ac:dyDescent="0.35">
      <c r="A29" s="23">
        <v>45104</v>
      </c>
      <c r="B29" s="24" t="s">
        <v>25</v>
      </c>
      <c r="C29" s="25" t="s">
        <v>22</v>
      </c>
      <c r="D29" s="14" t="s">
        <v>31</v>
      </c>
      <c r="E29" s="26">
        <v>1425</v>
      </c>
      <c r="F29" s="26">
        <v>244.61</v>
      </c>
      <c r="G29" s="26">
        <v>40</v>
      </c>
      <c r="H29" s="26">
        <v>57</v>
      </c>
      <c r="I29" s="26">
        <v>4.1094479999999995</v>
      </c>
      <c r="J29" s="26">
        <v>15</v>
      </c>
      <c r="K29" s="26">
        <v>183.50055200000003</v>
      </c>
      <c r="L29" s="27">
        <v>6</v>
      </c>
      <c r="M29" s="27">
        <v>44</v>
      </c>
      <c r="N29" s="28">
        <v>6.7333333333333334</v>
      </c>
      <c r="O29" s="26">
        <v>14.341999999999999</v>
      </c>
      <c r="P29" s="26">
        <v>212.84255200000001</v>
      </c>
      <c r="Q29" s="33">
        <v>237.84255200000001</v>
      </c>
      <c r="R29" s="34">
        <v>1</v>
      </c>
      <c r="S29" s="34">
        <v>0</v>
      </c>
      <c r="T29" s="20">
        <v>0</v>
      </c>
      <c r="U29" s="21" t="s">
        <v>24</v>
      </c>
      <c r="V29" s="22">
        <f>IFERROR(RAW[[#This Row],[ACTUAL GROSS]]/RAW[[#This Row],[CONVERTED]],0)</f>
        <v>35.323151287128717</v>
      </c>
      <c r="W29" s="22">
        <f>IFERROR(RAW[[#This Row],[SALES]]/RAW[[#This Row],[HOURLY PAY]],0)</f>
        <v>99.358527402035989</v>
      </c>
    </row>
    <row r="30" spans="1:25" x14ac:dyDescent="0.35">
      <c r="A30" s="23">
        <v>45105</v>
      </c>
      <c r="B30" s="24" t="s">
        <v>21</v>
      </c>
      <c r="C30" s="25" t="s">
        <v>22</v>
      </c>
      <c r="D30" s="14" t="s">
        <v>23</v>
      </c>
      <c r="E30" s="26">
        <v>0</v>
      </c>
      <c r="F30" s="26">
        <v>0</v>
      </c>
      <c r="G30" s="26">
        <v>0</v>
      </c>
      <c r="H30" s="26">
        <v>0</v>
      </c>
      <c r="I30" s="26">
        <v>0</v>
      </c>
      <c r="J30" s="26">
        <v>0</v>
      </c>
      <c r="K30" s="26">
        <v>0</v>
      </c>
      <c r="L30" s="27">
        <v>0</v>
      </c>
      <c r="M30" s="27">
        <v>0</v>
      </c>
      <c r="N30" s="28">
        <v>0</v>
      </c>
      <c r="O30" s="29">
        <v>0</v>
      </c>
      <c r="P30" s="29">
        <v>0</v>
      </c>
      <c r="Q30" s="30">
        <v>0</v>
      </c>
      <c r="R30" s="20">
        <v>0</v>
      </c>
      <c r="S30" s="20">
        <v>0</v>
      </c>
      <c r="T30" s="20">
        <v>0</v>
      </c>
      <c r="U30" s="21" t="s">
        <v>24</v>
      </c>
      <c r="V30" s="22">
        <f>IFERROR(RAW[[#This Row],[ACTUAL GROSS]]/RAW[[#This Row],[CONVERTED]],0)</f>
        <v>0</v>
      </c>
      <c r="W30" s="22">
        <f>IFERROR(RAW[[#This Row],[SALES]]/RAW[[#This Row],[HOURLY PAY]],0)</f>
        <v>0</v>
      </c>
    </row>
    <row r="31" spans="1:25" x14ac:dyDescent="0.35">
      <c r="A31" s="23">
        <v>45105</v>
      </c>
      <c r="B31" s="24" t="s">
        <v>25</v>
      </c>
      <c r="C31" s="25" t="s">
        <v>22</v>
      </c>
      <c r="D31" s="14" t="s">
        <v>23</v>
      </c>
      <c r="E31" s="26">
        <v>1045</v>
      </c>
      <c r="F31" s="26">
        <v>201.9</v>
      </c>
      <c r="G31" s="26">
        <v>25</v>
      </c>
      <c r="H31" s="26">
        <v>41.800000000000004</v>
      </c>
      <c r="I31" s="26">
        <v>3.3919199999999998</v>
      </c>
      <c r="J31" s="26">
        <v>10</v>
      </c>
      <c r="K31" s="26">
        <v>156.70808</v>
      </c>
      <c r="L31" s="27">
        <v>4</v>
      </c>
      <c r="M31" s="27">
        <v>44</v>
      </c>
      <c r="N31" s="28">
        <v>4.7333333333333334</v>
      </c>
      <c r="O31" s="26">
        <v>10.081999999999999</v>
      </c>
      <c r="P31" s="26">
        <v>176.79007999999999</v>
      </c>
      <c r="Q31" s="33">
        <v>191.79007999999999</v>
      </c>
      <c r="R31" s="34">
        <v>1</v>
      </c>
      <c r="S31" s="34">
        <v>0</v>
      </c>
      <c r="T31" s="20">
        <v>0</v>
      </c>
      <c r="U31" s="21" t="s">
        <v>24</v>
      </c>
      <c r="V31" s="22">
        <f>IFERROR(RAW[[#This Row],[ACTUAL GROSS]]/RAW[[#This Row],[CONVERTED]],0)</f>
        <v>40.519030985915492</v>
      </c>
      <c r="W31" s="22">
        <f>IFERROR(RAW[[#This Row],[SALES]]/RAW[[#This Row],[HOURLY PAY]],0)</f>
        <v>103.65006943066852</v>
      </c>
    </row>
    <row r="32" spans="1:25" x14ac:dyDescent="0.35">
      <c r="A32" s="23">
        <v>45106</v>
      </c>
      <c r="B32" s="24" t="s">
        <v>21</v>
      </c>
      <c r="C32" s="25" t="s">
        <v>22</v>
      </c>
      <c r="D32" s="14" t="s">
        <v>26</v>
      </c>
      <c r="E32" s="26">
        <v>0</v>
      </c>
      <c r="F32" s="26">
        <v>0</v>
      </c>
      <c r="G32" s="26">
        <v>0</v>
      </c>
      <c r="H32" s="26">
        <v>0</v>
      </c>
      <c r="I32" s="26">
        <v>0</v>
      </c>
      <c r="J32" s="26">
        <v>0</v>
      </c>
      <c r="K32" s="26">
        <v>0</v>
      </c>
      <c r="L32" s="27">
        <v>0</v>
      </c>
      <c r="M32" s="27">
        <v>0</v>
      </c>
      <c r="N32" s="28">
        <v>0</v>
      </c>
      <c r="O32" s="26">
        <v>0</v>
      </c>
      <c r="P32" s="26">
        <v>0</v>
      </c>
      <c r="Q32" s="33">
        <v>0</v>
      </c>
      <c r="R32" s="34">
        <v>0</v>
      </c>
      <c r="S32" s="34">
        <v>0</v>
      </c>
      <c r="T32" s="20">
        <v>0</v>
      </c>
      <c r="U32" s="21" t="s">
        <v>24</v>
      </c>
      <c r="V32" s="22">
        <f>IFERROR(RAW[[#This Row],[ACTUAL GROSS]]/RAW[[#This Row],[CONVERTED]],0)</f>
        <v>0</v>
      </c>
      <c r="W32" s="22">
        <f>IFERROR(RAW[[#This Row],[SALES]]/RAW[[#This Row],[HOURLY PAY]],0)</f>
        <v>0</v>
      </c>
    </row>
    <row r="33" spans="1:23" x14ac:dyDescent="0.35">
      <c r="A33" s="23">
        <v>45106</v>
      </c>
      <c r="B33" s="24" t="s">
        <v>25</v>
      </c>
      <c r="C33" s="25" t="s">
        <v>22</v>
      </c>
      <c r="D33" s="14" t="s">
        <v>26</v>
      </c>
      <c r="E33" s="26">
        <v>0</v>
      </c>
      <c r="F33" s="26">
        <v>0</v>
      </c>
      <c r="G33" s="26">
        <v>0</v>
      </c>
      <c r="H33" s="26">
        <v>0</v>
      </c>
      <c r="I33" s="26">
        <v>0</v>
      </c>
      <c r="J33" s="26">
        <v>0</v>
      </c>
      <c r="K33" s="26">
        <v>0</v>
      </c>
      <c r="L33" s="27">
        <v>0</v>
      </c>
      <c r="M33" s="27">
        <v>0</v>
      </c>
      <c r="N33" s="28">
        <v>0</v>
      </c>
      <c r="O33" s="26">
        <v>0</v>
      </c>
      <c r="P33" s="26">
        <v>0</v>
      </c>
      <c r="Q33" s="33">
        <v>0</v>
      </c>
      <c r="R33" s="34">
        <v>0</v>
      </c>
      <c r="S33" s="34">
        <v>0</v>
      </c>
      <c r="T33" s="20">
        <v>0</v>
      </c>
      <c r="U33" s="21" t="s">
        <v>24</v>
      </c>
      <c r="V33" s="22">
        <f>IFERROR(RAW[[#This Row],[ACTUAL GROSS]]/RAW[[#This Row],[CONVERTED]],0)</f>
        <v>0</v>
      </c>
      <c r="W33" s="22">
        <f>IFERROR(RAW[[#This Row],[SALES]]/RAW[[#This Row],[HOURLY PAY]],0)</f>
        <v>0</v>
      </c>
    </row>
    <row r="34" spans="1:23" x14ac:dyDescent="0.35">
      <c r="A34" s="23">
        <v>45107</v>
      </c>
      <c r="B34" s="24" t="s">
        <v>21</v>
      </c>
      <c r="C34" s="25" t="s">
        <v>22</v>
      </c>
      <c r="D34" s="14" t="s">
        <v>27</v>
      </c>
      <c r="E34" s="26">
        <v>0</v>
      </c>
      <c r="F34" s="26">
        <v>0</v>
      </c>
      <c r="G34" s="26">
        <v>0</v>
      </c>
      <c r="H34" s="26">
        <v>0</v>
      </c>
      <c r="I34" s="26">
        <v>0</v>
      </c>
      <c r="J34" s="26">
        <v>0</v>
      </c>
      <c r="K34" s="26">
        <v>0</v>
      </c>
      <c r="L34" s="27">
        <v>0</v>
      </c>
      <c r="M34" s="27">
        <v>0</v>
      </c>
      <c r="N34" s="28">
        <v>0</v>
      </c>
      <c r="O34" s="26">
        <v>0</v>
      </c>
      <c r="P34" s="26">
        <v>0</v>
      </c>
      <c r="Q34" s="33">
        <v>0</v>
      </c>
      <c r="R34" s="34">
        <v>0</v>
      </c>
      <c r="S34" s="34">
        <v>0</v>
      </c>
      <c r="T34" s="20">
        <v>0</v>
      </c>
      <c r="U34" s="21" t="s">
        <v>24</v>
      </c>
      <c r="V34" s="22">
        <f>IFERROR(RAW[[#This Row],[ACTUAL GROSS]]/RAW[[#This Row],[CONVERTED]],0)</f>
        <v>0</v>
      </c>
      <c r="W34" s="22">
        <f>IFERROR(RAW[[#This Row],[SALES]]/RAW[[#This Row],[HOURLY PAY]],0)</f>
        <v>0</v>
      </c>
    </row>
    <row r="35" spans="1:23" x14ac:dyDescent="0.35">
      <c r="A35" s="23">
        <v>45107</v>
      </c>
      <c r="B35" s="24" t="s">
        <v>25</v>
      </c>
      <c r="C35" s="25" t="s">
        <v>22</v>
      </c>
      <c r="D35" s="14" t="s">
        <v>27</v>
      </c>
      <c r="E35" s="26">
        <v>1123.5</v>
      </c>
      <c r="F35" s="26">
        <v>174.62</v>
      </c>
      <c r="G35" s="26">
        <v>25</v>
      </c>
      <c r="H35" s="26">
        <v>44.94</v>
      </c>
      <c r="I35" s="26">
        <v>2.9336159999999998</v>
      </c>
      <c r="J35" s="26">
        <v>3.5</v>
      </c>
      <c r="K35" s="26">
        <v>126.74638400000001</v>
      </c>
      <c r="L35" s="27">
        <v>6</v>
      </c>
      <c r="M35" s="27">
        <v>15</v>
      </c>
      <c r="N35" s="28">
        <v>6.25</v>
      </c>
      <c r="O35" s="26">
        <v>13.3125</v>
      </c>
      <c r="P35" s="26">
        <v>143.55888400000001</v>
      </c>
      <c r="Q35" s="33">
        <v>165.05888400000001</v>
      </c>
      <c r="R35" s="34">
        <v>1</v>
      </c>
      <c r="S35" s="34">
        <v>0</v>
      </c>
      <c r="T35" s="20">
        <v>0</v>
      </c>
      <c r="U35" s="21" t="s">
        <v>24</v>
      </c>
      <c r="V35" s="22">
        <f>IFERROR(RAW[[#This Row],[ACTUAL GROSS]]/RAW[[#This Row],[CONVERTED]],0)</f>
        <v>26.409421440000003</v>
      </c>
      <c r="W35" s="22">
        <f>IFERROR(RAW[[#This Row],[SALES]]/RAW[[#This Row],[HOURLY PAY]],0)</f>
        <v>84.394366197183103</v>
      </c>
    </row>
    <row r="36" spans="1:23" x14ac:dyDescent="0.35">
      <c r="A36" s="23">
        <v>45108</v>
      </c>
      <c r="B36" s="24" t="s">
        <v>21</v>
      </c>
      <c r="C36" s="25" t="s">
        <v>32</v>
      </c>
      <c r="D36" s="14" t="s">
        <v>28</v>
      </c>
      <c r="E36" s="26">
        <v>0</v>
      </c>
      <c r="F36" s="26">
        <v>0</v>
      </c>
      <c r="G36" s="26">
        <v>0</v>
      </c>
      <c r="H36" s="26">
        <v>0</v>
      </c>
      <c r="I36" s="26">
        <v>0</v>
      </c>
      <c r="J36" s="26">
        <v>0</v>
      </c>
      <c r="K36" s="26">
        <v>0</v>
      </c>
      <c r="L36" s="27">
        <v>0</v>
      </c>
      <c r="M36" s="27">
        <v>0</v>
      </c>
      <c r="N36" s="28">
        <v>0</v>
      </c>
      <c r="O36" s="26">
        <v>0</v>
      </c>
      <c r="P36" s="26">
        <v>0</v>
      </c>
      <c r="Q36" s="33">
        <v>0</v>
      </c>
      <c r="R36" s="34">
        <v>0</v>
      </c>
      <c r="S36" s="34">
        <v>0</v>
      </c>
      <c r="T36" s="20">
        <v>0</v>
      </c>
      <c r="U36" s="21" t="s">
        <v>24</v>
      </c>
      <c r="V36" s="22">
        <f>IFERROR(RAW[[#This Row],[ACTUAL GROSS]]/RAW[[#This Row],[CONVERTED]],0)</f>
        <v>0</v>
      </c>
      <c r="W36" s="22">
        <f>IFERROR(RAW[[#This Row],[SALES]]/RAW[[#This Row],[HOURLY PAY]],0)</f>
        <v>0</v>
      </c>
    </row>
    <row r="37" spans="1:23" x14ac:dyDescent="0.35">
      <c r="A37" s="23">
        <v>45108</v>
      </c>
      <c r="B37" s="24" t="s">
        <v>25</v>
      </c>
      <c r="C37" s="25" t="s">
        <v>32</v>
      </c>
      <c r="D37" s="14" t="s">
        <v>28</v>
      </c>
      <c r="E37" s="26">
        <v>1537</v>
      </c>
      <c r="F37" s="26">
        <v>248.55</v>
      </c>
      <c r="G37" s="26">
        <v>25</v>
      </c>
      <c r="H37" s="26">
        <v>61.480000000000004</v>
      </c>
      <c r="I37" s="26">
        <v>4.1756399999999996</v>
      </c>
      <c r="J37" s="26">
        <v>2.5</v>
      </c>
      <c r="K37" s="26">
        <v>182.89436000000001</v>
      </c>
      <c r="L37" s="27">
        <v>6</v>
      </c>
      <c r="M37" s="27">
        <v>15</v>
      </c>
      <c r="N37" s="28">
        <v>6.25</v>
      </c>
      <c r="O37" s="26">
        <v>13.3125</v>
      </c>
      <c r="P37" s="26">
        <v>198.70686000000001</v>
      </c>
      <c r="Q37" s="33">
        <v>221.20686000000001</v>
      </c>
      <c r="R37" s="34">
        <v>1</v>
      </c>
      <c r="S37" s="34">
        <v>0</v>
      </c>
      <c r="T37" s="20">
        <v>0</v>
      </c>
      <c r="U37" s="21" t="s">
        <v>24</v>
      </c>
      <c r="V37" s="22">
        <f>IFERROR(RAW[[#This Row],[ACTUAL GROSS]]/RAW[[#This Row],[CONVERTED]],0)</f>
        <v>35.393097600000004</v>
      </c>
      <c r="W37" s="22">
        <f>IFERROR(RAW[[#This Row],[SALES]]/RAW[[#This Row],[HOURLY PAY]],0)</f>
        <v>115.45539906103286</v>
      </c>
    </row>
    <row r="38" spans="1:23" x14ac:dyDescent="0.35">
      <c r="A38" s="23">
        <v>45109</v>
      </c>
      <c r="B38" s="24" t="s">
        <v>21</v>
      </c>
      <c r="C38" s="25" t="s">
        <v>32</v>
      </c>
      <c r="D38" s="14" t="s">
        <v>29</v>
      </c>
      <c r="E38" s="26">
        <v>0</v>
      </c>
      <c r="F38" s="26">
        <v>0</v>
      </c>
      <c r="G38" s="26">
        <v>0</v>
      </c>
      <c r="H38" s="26">
        <v>0</v>
      </c>
      <c r="I38" s="26">
        <v>0</v>
      </c>
      <c r="J38" s="26">
        <v>0</v>
      </c>
      <c r="K38" s="26">
        <v>0</v>
      </c>
      <c r="L38" s="27">
        <v>0</v>
      </c>
      <c r="M38" s="27">
        <v>0</v>
      </c>
      <c r="N38" s="28">
        <v>0</v>
      </c>
      <c r="O38" s="26">
        <v>0</v>
      </c>
      <c r="P38" s="26">
        <v>0</v>
      </c>
      <c r="Q38" s="33">
        <v>0</v>
      </c>
      <c r="R38" s="34">
        <v>0</v>
      </c>
      <c r="S38" s="34">
        <v>0</v>
      </c>
      <c r="T38" s="20">
        <v>0</v>
      </c>
      <c r="U38" s="21" t="s">
        <v>24</v>
      </c>
      <c r="V38" s="22">
        <f>IFERROR(RAW[[#This Row],[ACTUAL GROSS]]/RAW[[#This Row],[CONVERTED]],0)</f>
        <v>0</v>
      </c>
      <c r="W38" s="22">
        <f>IFERROR(RAW[[#This Row],[SALES]]/RAW[[#This Row],[HOURLY PAY]],0)</f>
        <v>0</v>
      </c>
    </row>
    <row r="39" spans="1:23" x14ac:dyDescent="0.35">
      <c r="A39" s="23">
        <v>45109</v>
      </c>
      <c r="B39" s="24" t="s">
        <v>25</v>
      </c>
      <c r="C39" s="25" t="s">
        <v>32</v>
      </c>
      <c r="D39" s="14" t="s">
        <v>29</v>
      </c>
      <c r="E39" s="26">
        <v>963</v>
      </c>
      <c r="F39" s="26">
        <v>213.2</v>
      </c>
      <c r="G39" s="26">
        <v>0</v>
      </c>
      <c r="H39" s="26">
        <v>38.520000000000003</v>
      </c>
      <c r="I39" s="26">
        <v>3.5817599999999996</v>
      </c>
      <c r="J39" s="26">
        <v>0</v>
      </c>
      <c r="K39" s="26">
        <v>171.09823999999998</v>
      </c>
      <c r="L39" s="27">
        <v>6</v>
      </c>
      <c r="M39" s="27">
        <v>16</v>
      </c>
      <c r="N39" s="28">
        <v>6.2666666666666666</v>
      </c>
      <c r="O39" s="26">
        <v>13.347999999999999</v>
      </c>
      <c r="P39" s="26">
        <v>184.44623999999999</v>
      </c>
      <c r="Q39" s="33">
        <v>184.44623999999999</v>
      </c>
      <c r="R39" s="34">
        <v>1</v>
      </c>
      <c r="S39" s="34">
        <v>0</v>
      </c>
      <c r="T39" s="20">
        <v>0</v>
      </c>
      <c r="U39" s="21" t="s">
        <v>24</v>
      </c>
      <c r="V39" s="22">
        <f>IFERROR(RAW[[#This Row],[ACTUAL GROSS]]/RAW[[#This Row],[CONVERTED]],0)</f>
        <v>29.432910638297869</v>
      </c>
      <c r="W39" s="22">
        <f>IFERROR(RAW[[#This Row],[SALES]]/RAW[[#This Row],[HOURLY PAY]],0)</f>
        <v>72.14563979622416</v>
      </c>
    </row>
    <row r="40" spans="1:23" x14ac:dyDescent="0.35">
      <c r="A40" s="23">
        <v>45110</v>
      </c>
      <c r="B40" s="24" t="s">
        <v>21</v>
      </c>
      <c r="C40" s="25" t="s">
        <v>32</v>
      </c>
      <c r="D40" s="14" t="s">
        <v>30</v>
      </c>
      <c r="E40" s="26">
        <v>0</v>
      </c>
      <c r="F40" s="26">
        <v>0</v>
      </c>
      <c r="G40" s="26">
        <v>0</v>
      </c>
      <c r="H40" s="26">
        <v>0</v>
      </c>
      <c r="I40" s="26">
        <v>0</v>
      </c>
      <c r="J40" s="26">
        <v>0</v>
      </c>
      <c r="K40" s="26">
        <v>0</v>
      </c>
      <c r="L40" s="27">
        <v>0</v>
      </c>
      <c r="M40" s="27">
        <v>0</v>
      </c>
      <c r="N40" s="28">
        <v>0</v>
      </c>
      <c r="O40" s="26">
        <v>0</v>
      </c>
      <c r="P40" s="26">
        <v>0</v>
      </c>
      <c r="Q40" s="33">
        <v>0</v>
      </c>
      <c r="R40" s="34">
        <v>0</v>
      </c>
      <c r="S40" s="34">
        <v>0</v>
      </c>
      <c r="T40" s="20">
        <v>0</v>
      </c>
      <c r="U40" s="21" t="s">
        <v>24</v>
      </c>
      <c r="V40" s="22">
        <f>IFERROR(RAW[[#This Row],[ACTUAL GROSS]]/RAW[[#This Row],[CONVERTED]],0)</f>
        <v>0</v>
      </c>
      <c r="W40" s="22">
        <f>IFERROR(RAW[[#This Row],[SALES]]/RAW[[#This Row],[HOURLY PAY]],0)</f>
        <v>0</v>
      </c>
    </row>
    <row r="41" spans="1:23" x14ac:dyDescent="0.35">
      <c r="A41" s="23">
        <v>45110</v>
      </c>
      <c r="B41" s="24" t="s">
        <v>25</v>
      </c>
      <c r="C41" s="25" t="s">
        <v>32</v>
      </c>
      <c r="D41" s="14" t="s">
        <v>30</v>
      </c>
      <c r="E41" s="26">
        <v>0</v>
      </c>
      <c r="F41" s="26">
        <v>0</v>
      </c>
      <c r="G41" s="26">
        <v>0</v>
      </c>
      <c r="H41" s="26">
        <v>0</v>
      </c>
      <c r="I41" s="26">
        <v>0</v>
      </c>
      <c r="J41" s="26">
        <v>0</v>
      </c>
      <c r="K41" s="26">
        <v>0</v>
      </c>
      <c r="L41" s="27">
        <v>0</v>
      </c>
      <c r="M41" s="27">
        <v>0</v>
      </c>
      <c r="N41" s="28">
        <v>0</v>
      </c>
      <c r="O41" s="26">
        <v>0</v>
      </c>
      <c r="P41" s="26">
        <v>0</v>
      </c>
      <c r="Q41" s="33">
        <v>0</v>
      </c>
      <c r="R41" s="34">
        <v>0</v>
      </c>
      <c r="S41" s="34">
        <v>0</v>
      </c>
      <c r="T41" s="20">
        <v>0</v>
      </c>
      <c r="U41" s="21" t="s">
        <v>24</v>
      </c>
      <c r="V41" s="22">
        <f>IFERROR(RAW[[#This Row],[ACTUAL GROSS]]/RAW[[#This Row],[CONVERTED]],0)</f>
        <v>0</v>
      </c>
      <c r="W41" s="22">
        <f>IFERROR(RAW[[#This Row],[SALES]]/RAW[[#This Row],[HOURLY PAY]],0)</f>
        <v>0</v>
      </c>
    </row>
    <row r="42" spans="1:23" x14ac:dyDescent="0.35">
      <c r="A42" s="23">
        <v>45111</v>
      </c>
      <c r="B42" s="24" t="s">
        <v>21</v>
      </c>
      <c r="C42" s="25" t="s">
        <v>32</v>
      </c>
      <c r="D42" s="14" t="s">
        <v>31</v>
      </c>
      <c r="E42" s="26">
        <v>0</v>
      </c>
      <c r="F42" s="26">
        <v>0</v>
      </c>
      <c r="G42" s="26">
        <v>0</v>
      </c>
      <c r="H42" s="26">
        <v>0</v>
      </c>
      <c r="I42" s="26">
        <v>0</v>
      </c>
      <c r="J42" s="26">
        <v>0</v>
      </c>
      <c r="K42" s="26">
        <v>0</v>
      </c>
      <c r="L42" s="27">
        <v>0</v>
      </c>
      <c r="M42" s="27">
        <v>0</v>
      </c>
      <c r="N42" s="28">
        <v>0</v>
      </c>
      <c r="O42" s="26">
        <v>0</v>
      </c>
      <c r="P42" s="26">
        <v>0</v>
      </c>
      <c r="Q42" s="33">
        <v>0</v>
      </c>
      <c r="R42" s="34">
        <v>0</v>
      </c>
      <c r="S42" s="34">
        <v>0</v>
      </c>
      <c r="T42" s="20">
        <v>0</v>
      </c>
      <c r="U42" s="21" t="s">
        <v>24</v>
      </c>
      <c r="V42" s="22">
        <f>IFERROR(RAW[[#This Row],[ACTUAL GROSS]]/RAW[[#This Row],[CONVERTED]],0)</f>
        <v>0</v>
      </c>
      <c r="W42" s="22">
        <f>IFERROR(RAW[[#This Row],[SALES]]/RAW[[#This Row],[HOURLY PAY]],0)</f>
        <v>0</v>
      </c>
    </row>
    <row r="43" spans="1:23" x14ac:dyDescent="0.35">
      <c r="A43" s="23">
        <v>45111</v>
      </c>
      <c r="B43" s="24" t="s">
        <v>25</v>
      </c>
      <c r="C43" s="25" t="s">
        <v>32</v>
      </c>
      <c r="D43" s="14" t="s">
        <v>31</v>
      </c>
      <c r="E43" s="26">
        <v>0</v>
      </c>
      <c r="F43" s="26">
        <v>0</v>
      </c>
      <c r="G43" s="26">
        <v>0</v>
      </c>
      <c r="H43" s="26">
        <v>0</v>
      </c>
      <c r="I43" s="26">
        <v>0</v>
      </c>
      <c r="J43" s="26">
        <v>0</v>
      </c>
      <c r="K43" s="26">
        <v>0</v>
      </c>
      <c r="L43" s="27">
        <v>0</v>
      </c>
      <c r="M43" s="27">
        <v>0</v>
      </c>
      <c r="N43" s="28">
        <v>0</v>
      </c>
      <c r="O43" s="26">
        <v>0</v>
      </c>
      <c r="P43" s="26">
        <v>0</v>
      </c>
      <c r="Q43" s="33">
        <v>0</v>
      </c>
      <c r="R43" s="34">
        <v>0</v>
      </c>
      <c r="S43" s="34">
        <v>0</v>
      </c>
      <c r="T43" s="20">
        <v>0</v>
      </c>
      <c r="U43" s="21" t="s">
        <v>24</v>
      </c>
      <c r="V43" s="22">
        <f>IFERROR(RAW[[#This Row],[ACTUAL GROSS]]/RAW[[#This Row],[CONVERTED]],0)</f>
        <v>0</v>
      </c>
      <c r="W43" s="22">
        <f>IFERROR(RAW[[#This Row],[SALES]]/RAW[[#This Row],[HOURLY PAY]],0)</f>
        <v>0</v>
      </c>
    </row>
    <row r="44" spans="1:23" x14ac:dyDescent="0.35">
      <c r="A44" s="23">
        <v>45112</v>
      </c>
      <c r="B44" s="24" t="s">
        <v>21</v>
      </c>
      <c r="C44" s="25" t="s">
        <v>32</v>
      </c>
      <c r="D44" s="14" t="s">
        <v>23</v>
      </c>
      <c r="E44" s="26">
        <v>0</v>
      </c>
      <c r="F44" s="26">
        <v>0</v>
      </c>
      <c r="G44" s="26">
        <v>0</v>
      </c>
      <c r="H44" s="26">
        <v>0</v>
      </c>
      <c r="I44" s="26">
        <v>0</v>
      </c>
      <c r="J44" s="26">
        <v>0</v>
      </c>
      <c r="K44" s="26">
        <v>0</v>
      </c>
      <c r="L44" s="27">
        <v>0</v>
      </c>
      <c r="M44" s="27">
        <v>0</v>
      </c>
      <c r="N44" s="28">
        <v>0</v>
      </c>
      <c r="O44" s="29">
        <v>0</v>
      </c>
      <c r="P44" s="29">
        <v>0</v>
      </c>
      <c r="Q44" s="30">
        <v>0</v>
      </c>
      <c r="R44" s="20">
        <v>0</v>
      </c>
      <c r="S44" s="20">
        <v>0</v>
      </c>
      <c r="T44" s="20">
        <v>0</v>
      </c>
      <c r="U44" s="21" t="s">
        <v>24</v>
      </c>
      <c r="V44" s="22">
        <f>IFERROR(RAW[[#This Row],[ACTUAL GROSS]]/RAW[[#This Row],[CONVERTED]],0)</f>
        <v>0</v>
      </c>
      <c r="W44" s="22">
        <f>IFERROR(RAW[[#This Row],[SALES]]/RAW[[#This Row],[HOURLY PAY]],0)</f>
        <v>0</v>
      </c>
    </row>
    <row r="45" spans="1:23" x14ac:dyDescent="0.35">
      <c r="A45" s="23">
        <v>45112</v>
      </c>
      <c r="B45" s="24" t="s">
        <v>25</v>
      </c>
      <c r="C45" s="25" t="s">
        <v>32</v>
      </c>
      <c r="D45" s="14" t="s">
        <v>23</v>
      </c>
      <c r="E45" s="26">
        <v>1227.5</v>
      </c>
      <c r="F45" s="26">
        <v>245.04</v>
      </c>
      <c r="G45" s="26">
        <v>0</v>
      </c>
      <c r="H45" s="26">
        <v>49.1</v>
      </c>
      <c r="I45" s="26">
        <v>4.1166719999999994</v>
      </c>
      <c r="J45" s="26">
        <v>0</v>
      </c>
      <c r="K45" s="26">
        <v>191.823328</v>
      </c>
      <c r="L45" s="27">
        <v>5</v>
      </c>
      <c r="M45" s="27">
        <v>42</v>
      </c>
      <c r="N45" s="28">
        <v>5.7</v>
      </c>
      <c r="O45" s="26">
        <v>12.141</v>
      </c>
      <c r="P45" s="26">
        <v>203.96432799999999</v>
      </c>
      <c r="Q45" s="33">
        <v>203.96432799999999</v>
      </c>
      <c r="R45" s="34">
        <v>1</v>
      </c>
      <c r="S45" s="34">
        <v>0</v>
      </c>
      <c r="T45" s="20">
        <v>0</v>
      </c>
      <c r="U45" s="21" t="s">
        <v>24</v>
      </c>
      <c r="V45" s="22">
        <f>IFERROR(RAW[[#This Row],[ACTUAL GROSS]]/RAW[[#This Row],[CONVERTED]],0)</f>
        <v>35.783215438596493</v>
      </c>
      <c r="W45" s="22">
        <f>IFERROR(RAW[[#This Row],[SALES]]/RAW[[#This Row],[HOURLY PAY]],0)</f>
        <v>101.10369821266782</v>
      </c>
    </row>
    <row r="46" spans="1:23" x14ac:dyDescent="0.35">
      <c r="A46" s="23">
        <v>45113</v>
      </c>
      <c r="B46" s="24" t="s">
        <v>21</v>
      </c>
      <c r="C46" s="25" t="s">
        <v>32</v>
      </c>
      <c r="D46" s="14" t="s">
        <v>26</v>
      </c>
      <c r="E46" s="26">
        <v>0</v>
      </c>
      <c r="F46" s="26">
        <v>0</v>
      </c>
      <c r="G46" s="26">
        <v>0</v>
      </c>
      <c r="H46" s="26">
        <v>0</v>
      </c>
      <c r="I46" s="26">
        <v>0</v>
      </c>
      <c r="J46" s="26">
        <v>0</v>
      </c>
      <c r="K46" s="26">
        <v>0</v>
      </c>
      <c r="L46" s="27">
        <v>0</v>
      </c>
      <c r="M46" s="27">
        <v>0</v>
      </c>
      <c r="N46" s="28">
        <v>0</v>
      </c>
      <c r="O46" s="26">
        <v>0</v>
      </c>
      <c r="P46" s="26">
        <v>0</v>
      </c>
      <c r="Q46" s="33">
        <v>0</v>
      </c>
      <c r="R46" s="34">
        <v>0</v>
      </c>
      <c r="S46" s="34">
        <v>0</v>
      </c>
      <c r="T46" s="20">
        <v>0</v>
      </c>
      <c r="U46" s="21" t="s">
        <v>24</v>
      </c>
      <c r="V46" s="22">
        <f>IFERROR(RAW[[#This Row],[ACTUAL GROSS]]/RAW[[#This Row],[CONVERTED]],0)</f>
        <v>0</v>
      </c>
      <c r="W46" s="22">
        <f>IFERROR(RAW[[#This Row],[SALES]]/RAW[[#This Row],[HOURLY PAY]],0)</f>
        <v>0</v>
      </c>
    </row>
    <row r="47" spans="1:23" x14ac:dyDescent="0.35">
      <c r="A47" s="23">
        <v>45113</v>
      </c>
      <c r="B47" s="24" t="s">
        <v>25</v>
      </c>
      <c r="C47" s="25" t="s">
        <v>32</v>
      </c>
      <c r="D47" s="14" t="s">
        <v>26</v>
      </c>
      <c r="E47" s="26">
        <v>1315.5</v>
      </c>
      <c r="F47" s="26">
        <v>167.42</v>
      </c>
      <c r="G47" s="26">
        <v>67</v>
      </c>
      <c r="H47" s="26">
        <v>52.620000000000005</v>
      </c>
      <c r="I47" s="26">
        <v>2.8126559999999996</v>
      </c>
      <c r="J47" s="26">
        <v>12</v>
      </c>
      <c r="K47" s="26">
        <v>111.98734399999998</v>
      </c>
      <c r="L47" s="27">
        <v>5</v>
      </c>
      <c r="M47" s="27">
        <v>55</v>
      </c>
      <c r="N47" s="28">
        <v>5.916666666666667</v>
      </c>
      <c r="O47" s="26">
        <v>12.602499999999999</v>
      </c>
      <c r="P47" s="26">
        <v>136.58984399999997</v>
      </c>
      <c r="Q47" s="33">
        <v>191.58984399999997</v>
      </c>
      <c r="R47" s="34">
        <v>1</v>
      </c>
      <c r="S47" s="34">
        <v>0</v>
      </c>
      <c r="T47" s="20">
        <v>0</v>
      </c>
      <c r="U47" s="21" t="s">
        <v>24</v>
      </c>
      <c r="V47" s="22">
        <f>IFERROR(RAW[[#This Row],[ACTUAL GROSS]]/RAW[[#This Row],[CONVERTED]],0)</f>
        <v>32.381382084507038</v>
      </c>
      <c r="W47" s="22">
        <f>IFERROR(RAW[[#This Row],[SALES]]/RAW[[#This Row],[HOURLY PAY]],0)</f>
        <v>104.38405078357469</v>
      </c>
    </row>
    <row r="48" spans="1:23" x14ac:dyDescent="0.35">
      <c r="A48" s="23">
        <v>45114</v>
      </c>
      <c r="B48" s="24" t="s">
        <v>21</v>
      </c>
      <c r="C48" s="25" t="s">
        <v>32</v>
      </c>
      <c r="D48" s="14" t="s">
        <v>27</v>
      </c>
      <c r="E48" s="26">
        <v>0</v>
      </c>
      <c r="F48" s="26">
        <v>0</v>
      </c>
      <c r="G48" s="26">
        <v>0</v>
      </c>
      <c r="H48" s="26">
        <v>0</v>
      </c>
      <c r="I48" s="26">
        <v>0</v>
      </c>
      <c r="J48" s="26">
        <v>0</v>
      </c>
      <c r="K48" s="26">
        <v>0</v>
      </c>
      <c r="L48" s="27">
        <v>0</v>
      </c>
      <c r="M48" s="27">
        <v>0</v>
      </c>
      <c r="N48" s="28">
        <v>0</v>
      </c>
      <c r="O48" s="26">
        <v>0</v>
      </c>
      <c r="P48" s="26">
        <v>0</v>
      </c>
      <c r="Q48" s="33">
        <v>0</v>
      </c>
      <c r="R48" s="34">
        <v>0</v>
      </c>
      <c r="S48" s="34">
        <v>0</v>
      </c>
      <c r="T48" s="20">
        <v>0</v>
      </c>
      <c r="U48" s="21" t="s">
        <v>24</v>
      </c>
      <c r="V48" s="22">
        <f>IFERROR(RAW[[#This Row],[ACTUAL GROSS]]/RAW[[#This Row],[CONVERTED]],0)</f>
        <v>0</v>
      </c>
      <c r="W48" s="22">
        <f>IFERROR(RAW[[#This Row],[SALES]]/RAW[[#This Row],[HOURLY PAY]],0)</f>
        <v>0</v>
      </c>
    </row>
    <row r="49" spans="1:23" x14ac:dyDescent="0.35">
      <c r="A49" s="23">
        <v>45114</v>
      </c>
      <c r="B49" s="24" t="s">
        <v>25</v>
      </c>
      <c r="C49" s="25" t="s">
        <v>32</v>
      </c>
      <c r="D49" s="14" t="s">
        <v>27</v>
      </c>
      <c r="E49" s="26">
        <v>1166.5</v>
      </c>
      <c r="F49" s="26">
        <v>197.87</v>
      </c>
      <c r="G49" s="26">
        <v>8</v>
      </c>
      <c r="H49" s="26">
        <v>46.660000000000004</v>
      </c>
      <c r="I49" s="26">
        <v>3.3242159999999998</v>
      </c>
      <c r="J49" s="26">
        <v>0.8</v>
      </c>
      <c r="K49" s="26">
        <v>147.885784</v>
      </c>
      <c r="L49" s="27">
        <v>5</v>
      </c>
      <c r="M49" s="27">
        <v>40</v>
      </c>
      <c r="N49" s="28">
        <v>5.666666666666667</v>
      </c>
      <c r="O49" s="26">
        <v>12.07</v>
      </c>
      <c r="P49" s="26">
        <v>160.75578400000001</v>
      </c>
      <c r="Q49" s="33">
        <v>167.95578399999999</v>
      </c>
      <c r="R49" s="34">
        <v>1</v>
      </c>
      <c r="S49" s="34">
        <v>0</v>
      </c>
      <c r="T49" s="20">
        <v>0</v>
      </c>
      <c r="U49" s="21" t="s">
        <v>24</v>
      </c>
      <c r="V49" s="22">
        <f>IFERROR(RAW[[#This Row],[ACTUAL GROSS]]/RAW[[#This Row],[CONVERTED]],0)</f>
        <v>29.639255999999996</v>
      </c>
      <c r="W49" s="22">
        <f>IFERROR(RAW[[#This Row],[SALES]]/RAW[[#This Row],[HOURLY PAY]],0)</f>
        <v>96.644573322286661</v>
      </c>
    </row>
    <row r="50" spans="1:23" x14ac:dyDescent="0.35">
      <c r="A50" s="23">
        <v>45115</v>
      </c>
      <c r="B50" s="24" t="s">
        <v>21</v>
      </c>
      <c r="C50" s="25" t="s">
        <v>32</v>
      </c>
      <c r="D50" s="14" t="s">
        <v>28</v>
      </c>
      <c r="E50" s="26">
        <v>0</v>
      </c>
      <c r="F50" s="26">
        <v>0</v>
      </c>
      <c r="G50" s="26">
        <v>0</v>
      </c>
      <c r="H50" s="26">
        <v>0</v>
      </c>
      <c r="I50" s="26">
        <v>0</v>
      </c>
      <c r="J50" s="26">
        <v>0</v>
      </c>
      <c r="K50" s="26">
        <v>0</v>
      </c>
      <c r="L50" s="27">
        <v>0</v>
      </c>
      <c r="M50" s="27">
        <v>0</v>
      </c>
      <c r="N50" s="28">
        <v>0</v>
      </c>
      <c r="O50" s="26">
        <v>0</v>
      </c>
      <c r="P50" s="26">
        <v>0</v>
      </c>
      <c r="Q50" s="33">
        <v>0</v>
      </c>
      <c r="R50" s="34">
        <v>0</v>
      </c>
      <c r="S50" s="34">
        <v>0</v>
      </c>
      <c r="T50" s="20">
        <v>0</v>
      </c>
      <c r="U50" s="21" t="s">
        <v>24</v>
      </c>
      <c r="V50" s="22">
        <f>IFERROR(RAW[[#This Row],[ACTUAL GROSS]]/RAW[[#This Row],[CONVERTED]],0)</f>
        <v>0</v>
      </c>
      <c r="W50" s="22">
        <f>IFERROR(RAW[[#This Row],[SALES]]/RAW[[#This Row],[HOURLY PAY]],0)</f>
        <v>0</v>
      </c>
    </row>
    <row r="51" spans="1:23" x14ac:dyDescent="0.35">
      <c r="A51" s="23">
        <v>45115</v>
      </c>
      <c r="B51" s="24" t="s">
        <v>25</v>
      </c>
      <c r="C51" s="25" t="s">
        <v>32</v>
      </c>
      <c r="D51" s="14" t="s">
        <v>28</v>
      </c>
      <c r="E51" s="26">
        <v>1261</v>
      </c>
      <c r="F51" s="26">
        <v>282.10000000000002</v>
      </c>
      <c r="G51" s="26">
        <v>0</v>
      </c>
      <c r="H51" s="26">
        <v>50.44</v>
      </c>
      <c r="I51" s="26">
        <v>4.7392799999999999</v>
      </c>
      <c r="J51" s="26">
        <v>0</v>
      </c>
      <c r="K51" s="26">
        <v>226.92072000000002</v>
      </c>
      <c r="L51" s="27">
        <v>5</v>
      </c>
      <c r="M51" s="27">
        <v>31</v>
      </c>
      <c r="N51" s="28">
        <v>5.5166666666666666</v>
      </c>
      <c r="O51" s="26">
        <v>11.750499999999999</v>
      </c>
      <c r="P51" s="26">
        <v>238.67122000000001</v>
      </c>
      <c r="Q51" s="33">
        <v>238.67122000000001</v>
      </c>
      <c r="R51" s="34">
        <v>1</v>
      </c>
      <c r="S51" s="34">
        <v>0</v>
      </c>
      <c r="T51" s="20">
        <v>0</v>
      </c>
      <c r="U51" s="21" t="s">
        <v>24</v>
      </c>
      <c r="V51" s="22">
        <f>IFERROR(RAW[[#This Row],[ACTUAL GROSS]]/RAW[[#This Row],[CONVERTED]],0)</f>
        <v>43.263665256797587</v>
      </c>
      <c r="W51" s="22">
        <f>IFERROR(RAW[[#This Row],[SALES]]/RAW[[#This Row],[HOURLY PAY]],0)</f>
        <v>107.31458235819754</v>
      </c>
    </row>
    <row r="52" spans="1:23" x14ac:dyDescent="0.35">
      <c r="A52" s="23">
        <v>45116</v>
      </c>
      <c r="B52" s="24" t="s">
        <v>21</v>
      </c>
      <c r="C52" s="25" t="s">
        <v>32</v>
      </c>
      <c r="D52" s="14" t="s">
        <v>29</v>
      </c>
      <c r="E52" s="26">
        <v>0</v>
      </c>
      <c r="F52" s="26">
        <v>0</v>
      </c>
      <c r="G52" s="26">
        <v>0</v>
      </c>
      <c r="H52" s="26">
        <v>0</v>
      </c>
      <c r="I52" s="26">
        <v>0</v>
      </c>
      <c r="J52" s="26">
        <v>0</v>
      </c>
      <c r="K52" s="26">
        <v>0</v>
      </c>
      <c r="L52" s="27">
        <v>0</v>
      </c>
      <c r="M52" s="27">
        <v>0</v>
      </c>
      <c r="N52" s="28">
        <v>0</v>
      </c>
      <c r="O52" s="26">
        <v>0</v>
      </c>
      <c r="P52" s="26">
        <v>0</v>
      </c>
      <c r="Q52" s="33">
        <v>0</v>
      </c>
      <c r="R52" s="34">
        <v>0</v>
      </c>
      <c r="S52" s="34">
        <v>0</v>
      </c>
      <c r="T52" s="20">
        <v>0</v>
      </c>
      <c r="U52" s="21" t="s">
        <v>24</v>
      </c>
      <c r="V52" s="22">
        <f>IFERROR(RAW[[#This Row],[ACTUAL GROSS]]/RAW[[#This Row],[CONVERTED]],0)</f>
        <v>0</v>
      </c>
      <c r="W52" s="22">
        <f>IFERROR(RAW[[#This Row],[SALES]]/RAW[[#This Row],[HOURLY PAY]],0)</f>
        <v>0</v>
      </c>
    </row>
    <row r="53" spans="1:23" x14ac:dyDescent="0.35">
      <c r="A53" s="23">
        <v>45116</v>
      </c>
      <c r="B53" s="24" t="s">
        <v>25</v>
      </c>
      <c r="C53" s="25" t="s">
        <v>32</v>
      </c>
      <c r="D53" s="14" t="s">
        <v>29</v>
      </c>
      <c r="E53" s="26">
        <v>0</v>
      </c>
      <c r="F53" s="26">
        <v>0</v>
      </c>
      <c r="G53" s="26">
        <v>0</v>
      </c>
      <c r="H53" s="26">
        <v>0</v>
      </c>
      <c r="I53" s="26">
        <v>0</v>
      </c>
      <c r="J53" s="26">
        <v>0</v>
      </c>
      <c r="K53" s="26">
        <v>0</v>
      </c>
      <c r="L53" s="27">
        <v>0</v>
      </c>
      <c r="M53" s="27">
        <v>0</v>
      </c>
      <c r="N53" s="28">
        <v>0</v>
      </c>
      <c r="O53" s="26">
        <v>0</v>
      </c>
      <c r="P53" s="26">
        <v>0</v>
      </c>
      <c r="Q53" s="33">
        <v>0</v>
      </c>
      <c r="R53" s="34">
        <v>0</v>
      </c>
      <c r="S53" s="34">
        <v>0</v>
      </c>
      <c r="T53" s="20">
        <v>0</v>
      </c>
      <c r="U53" s="21" t="s">
        <v>24</v>
      </c>
      <c r="V53" s="22">
        <f>IFERROR(RAW[[#This Row],[ACTUAL GROSS]]/RAW[[#This Row],[CONVERTED]],0)</f>
        <v>0</v>
      </c>
      <c r="W53" s="22">
        <f>IFERROR(RAW[[#This Row],[SALES]]/RAW[[#This Row],[HOURLY PAY]],0)</f>
        <v>0</v>
      </c>
    </row>
    <row r="54" spans="1:23" x14ac:dyDescent="0.35">
      <c r="A54" s="23">
        <v>45117</v>
      </c>
      <c r="B54" s="24" t="s">
        <v>21</v>
      </c>
      <c r="C54" s="25" t="s">
        <v>32</v>
      </c>
      <c r="D54" s="14" t="s">
        <v>30</v>
      </c>
      <c r="E54" s="26">
        <v>0</v>
      </c>
      <c r="F54" s="26">
        <v>0</v>
      </c>
      <c r="G54" s="26">
        <v>0</v>
      </c>
      <c r="H54" s="26">
        <v>0</v>
      </c>
      <c r="I54" s="26">
        <v>0</v>
      </c>
      <c r="J54" s="26">
        <v>0</v>
      </c>
      <c r="K54" s="26">
        <v>0</v>
      </c>
      <c r="L54" s="27">
        <v>0</v>
      </c>
      <c r="M54" s="27">
        <v>0</v>
      </c>
      <c r="N54" s="28">
        <v>0</v>
      </c>
      <c r="O54" s="26">
        <v>0</v>
      </c>
      <c r="P54" s="26">
        <v>0</v>
      </c>
      <c r="Q54" s="33">
        <v>0</v>
      </c>
      <c r="R54" s="34">
        <v>0</v>
      </c>
      <c r="S54" s="34">
        <v>0</v>
      </c>
      <c r="T54" s="20">
        <v>0</v>
      </c>
      <c r="U54" s="21" t="s">
        <v>24</v>
      </c>
      <c r="V54" s="22">
        <f>IFERROR(RAW[[#This Row],[ACTUAL GROSS]]/RAW[[#This Row],[CONVERTED]],0)</f>
        <v>0</v>
      </c>
      <c r="W54" s="22">
        <f>IFERROR(RAW[[#This Row],[SALES]]/RAW[[#This Row],[HOURLY PAY]],0)</f>
        <v>0</v>
      </c>
    </row>
    <row r="55" spans="1:23" x14ac:dyDescent="0.35">
      <c r="A55" s="23">
        <v>45117</v>
      </c>
      <c r="B55" s="24" t="s">
        <v>25</v>
      </c>
      <c r="C55" s="25" t="s">
        <v>32</v>
      </c>
      <c r="D55" s="14" t="s">
        <v>30</v>
      </c>
      <c r="E55" s="26">
        <v>1123</v>
      </c>
      <c r="F55" s="26">
        <v>208.44</v>
      </c>
      <c r="G55" s="26">
        <v>20</v>
      </c>
      <c r="H55" s="26">
        <v>44.92</v>
      </c>
      <c r="I55" s="26">
        <v>3.5017919999999996</v>
      </c>
      <c r="J55" s="26">
        <v>0</v>
      </c>
      <c r="K55" s="26">
        <v>160.01820799999999</v>
      </c>
      <c r="L55" s="27">
        <v>4</v>
      </c>
      <c r="M55" s="27">
        <v>57</v>
      </c>
      <c r="N55" s="28">
        <v>4.95</v>
      </c>
      <c r="O55" s="26">
        <v>10.5435</v>
      </c>
      <c r="P55" s="26">
        <v>170.56170799999998</v>
      </c>
      <c r="Q55" s="33">
        <v>190.56170799999998</v>
      </c>
      <c r="R55" s="34">
        <v>1</v>
      </c>
      <c r="S55" s="34">
        <v>0</v>
      </c>
      <c r="T55" s="20">
        <v>0</v>
      </c>
      <c r="U55" s="21" t="s">
        <v>24</v>
      </c>
      <c r="V55" s="22">
        <f>IFERROR(RAW[[#This Row],[ACTUAL GROSS]]/RAW[[#This Row],[CONVERTED]],0)</f>
        <v>38.497314747474739</v>
      </c>
      <c r="W55" s="22">
        <f>IFERROR(RAW[[#This Row],[SALES]]/RAW[[#This Row],[HOURLY PAY]],0)</f>
        <v>106.51112059562765</v>
      </c>
    </row>
    <row r="56" spans="1:23" x14ac:dyDescent="0.35">
      <c r="A56" s="23">
        <v>45118</v>
      </c>
      <c r="B56" s="24" t="s">
        <v>21</v>
      </c>
      <c r="C56" s="25" t="s">
        <v>32</v>
      </c>
      <c r="D56" s="14" t="s">
        <v>31</v>
      </c>
      <c r="E56" s="26">
        <v>0</v>
      </c>
      <c r="F56" s="26">
        <v>0</v>
      </c>
      <c r="G56" s="26">
        <v>0</v>
      </c>
      <c r="H56" s="26">
        <v>0</v>
      </c>
      <c r="I56" s="26">
        <v>0</v>
      </c>
      <c r="J56" s="26">
        <v>0</v>
      </c>
      <c r="K56" s="26">
        <v>0</v>
      </c>
      <c r="L56" s="27">
        <v>0</v>
      </c>
      <c r="M56" s="27">
        <v>0</v>
      </c>
      <c r="N56" s="28">
        <v>0</v>
      </c>
      <c r="O56" s="26">
        <v>0</v>
      </c>
      <c r="P56" s="26">
        <v>0</v>
      </c>
      <c r="Q56" s="33">
        <v>0</v>
      </c>
      <c r="R56" s="34">
        <v>0</v>
      </c>
      <c r="S56" s="34">
        <v>0</v>
      </c>
      <c r="T56" s="20">
        <v>0</v>
      </c>
      <c r="U56" s="21" t="s">
        <v>24</v>
      </c>
      <c r="V56" s="22">
        <f>IFERROR(RAW[[#This Row],[ACTUAL GROSS]]/RAW[[#This Row],[CONVERTED]],0)</f>
        <v>0</v>
      </c>
      <c r="W56" s="22">
        <f>IFERROR(RAW[[#This Row],[SALES]]/RAW[[#This Row],[HOURLY PAY]],0)</f>
        <v>0</v>
      </c>
    </row>
    <row r="57" spans="1:23" x14ac:dyDescent="0.35">
      <c r="A57" s="23">
        <v>45118</v>
      </c>
      <c r="B57" s="24" t="s">
        <v>25</v>
      </c>
      <c r="C57" s="25" t="s">
        <v>32</v>
      </c>
      <c r="D57" s="14" t="s">
        <v>31</v>
      </c>
      <c r="E57" s="26">
        <v>1161</v>
      </c>
      <c r="F57" s="26">
        <v>182.64</v>
      </c>
      <c r="G57" s="26">
        <v>33</v>
      </c>
      <c r="H57" s="26">
        <v>46.44</v>
      </c>
      <c r="I57" s="26">
        <v>3.0683519999999995</v>
      </c>
      <c r="J57" s="26">
        <v>5.5</v>
      </c>
      <c r="K57" s="26">
        <v>133.13164799999998</v>
      </c>
      <c r="L57" s="27">
        <v>4</v>
      </c>
      <c r="M57" s="27">
        <v>33</v>
      </c>
      <c r="N57" s="28">
        <v>4.55</v>
      </c>
      <c r="O57" s="26">
        <v>9.6914999999999996</v>
      </c>
      <c r="P57" s="26">
        <v>148.32314799999997</v>
      </c>
      <c r="Q57" s="33">
        <v>175.82314799999997</v>
      </c>
      <c r="R57" s="34">
        <v>1</v>
      </c>
      <c r="S57" s="34">
        <v>0</v>
      </c>
      <c r="T57" s="20">
        <v>0</v>
      </c>
      <c r="U57" s="21" t="s">
        <v>24</v>
      </c>
      <c r="V57" s="22">
        <f>IFERROR(RAW[[#This Row],[ACTUAL GROSS]]/RAW[[#This Row],[CONVERTED]],0)</f>
        <v>38.642450109890106</v>
      </c>
      <c r="W57" s="22">
        <f>IFERROR(RAW[[#This Row],[SALES]]/RAW[[#This Row],[HOURLY PAY]],0)</f>
        <v>119.79569726048599</v>
      </c>
    </row>
    <row r="58" spans="1:23" x14ac:dyDescent="0.35">
      <c r="A58" s="23">
        <v>45119</v>
      </c>
      <c r="B58" s="24" t="s">
        <v>21</v>
      </c>
      <c r="C58" s="25" t="s">
        <v>32</v>
      </c>
      <c r="D58" s="14" t="s">
        <v>23</v>
      </c>
      <c r="E58" s="26">
        <v>0</v>
      </c>
      <c r="F58" s="26">
        <v>0</v>
      </c>
      <c r="G58" s="26">
        <v>0</v>
      </c>
      <c r="H58" s="26">
        <v>0</v>
      </c>
      <c r="I58" s="26">
        <v>0</v>
      </c>
      <c r="J58" s="26">
        <v>0</v>
      </c>
      <c r="K58" s="26">
        <v>0</v>
      </c>
      <c r="L58" s="27">
        <v>0</v>
      </c>
      <c r="M58" s="27">
        <v>0</v>
      </c>
      <c r="N58" s="28">
        <v>0</v>
      </c>
      <c r="O58" s="29">
        <v>0</v>
      </c>
      <c r="P58" s="29">
        <v>0</v>
      </c>
      <c r="Q58" s="30">
        <v>0</v>
      </c>
      <c r="R58" s="20">
        <v>0</v>
      </c>
      <c r="S58" s="34">
        <v>0</v>
      </c>
      <c r="T58" s="20">
        <v>0</v>
      </c>
      <c r="U58" s="21" t="s">
        <v>24</v>
      </c>
      <c r="V58" s="22">
        <f>IFERROR(RAW[[#This Row],[ACTUAL GROSS]]/RAW[[#This Row],[CONVERTED]],0)</f>
        <v>0</v>
      </c>
      <c r="W58" s="22">
        <f>IFERROR(RAW[[#This Row],[SALES]]/RAW[[#This Row],[HOURLY PAY]],0)</f>
        <v>0</v>
      </c>
    </row>
    <row r="59" spans="1:23" x14ac:dyDescent="0.35">
      <c r="A59" s="23">
        <v>45119</v>
      </c>
      <c r="B59" s="24" t="s">
        <v>25</v>
      </c>
      <c r="C59" s="25" t="s">
        <v>32</v>
      </c>
      <c r="D59" s="14" t="s">
        <v>23</v>
      </c>
      <c r="E59" s="26">
        <v>836.5</v>
      </c>
      <c r="F59" s="26">
        <v>174.55</v>
      </c>
      <c r="G59" s="26">
        <v>0</v>
      </c>
      <c r="H59" s="26">
        <v>33.46</v>
      </c>
      <c r="I59" s="26">
        <v>2.9324400000000002</v>
      </c>
      <c r="J59" s="26">
        <v>0</v>
      </c>
      <c r="K59" s="26">
        <v>138.15756000000002</v>
      </c>
      <c r="L59" s="27">
        <v>4</v>
      </c>
      <c r="M59" s="27">
        <v>20</v>
      </c>
      <c r="N59" s="28">
        <v>4.333333333333333</v>
      </c>
      <c r="O59" s="26">
        <v>9.2299999999999986</v>
      </c>
      <c r="P59" s="26">
        <v>147.38756000000001</v>
      </c>
      <c r="Q59" s="33">
        <v>147.38756000000001</v>
      </c>
      <c r="R59" s="34">
        <v>1</v>
      </c>
      <c r="S59" s="34">
        <v>0</v>
      </c>
      <c r="T59" s="20">
        <v>0</v>
      </c>
      <c r="U59" s="21" t="s">
        <v>24</v>
      </c>
      <c r="V59" s="22">
        <f>IFERROR(RAW[[#This Row],[ACTUAL GROSS]]/RAW[[#This Row],[CONVERTED]],0)</f>
        <v>34.012513846153851</v>
      </c>
      <c r="W59" s="22">
        <f>IFERROR(RAW[[#This Row],[SALES]]/RAW[[#This Row],[HOURLY PAY]],0)</f>
        <v>90.628385698808245</v>
      </c>
    </row>
    <row r="60" spans="1:23" x14ac:dyDescent="0.35">
      <c r="A60" s="23">
        <v>45120</v>
      </c>
      <c r="B60" s="24" t="s">
        <v>21</v>
      </c>
      <c r="C60" s="25" t="s">
        <v>32</v>
      </c>
      <c r="D60" s="14" t="s">
        <v>26</v>
      </c>
      <c r="E60" s="26">
        <v>0</v>
      </c>
      <c r="F60" s="26">
        <v>0</v>
      </c>
      <c r="G60" s="26">
        <v>0</v>
      </c>
      <c r="H60" s="26">
        <v>0</v>
      </c>
      <c r="I60" s="26">
        <v>0</v>
      </c>
      <c r="J60" s="26">
        <v>0</v>
      </c>
      <c r="K60" s="26">
        <v>0</v>
      </c>
      <c r="L60" s="27">
        <v>0</v>
      </c>
      <c r="M60" s="27">
        <v>0</v>
      </c>
      <c r="N60" s="28">
        <v>0</v>
      </c>
      <c r="O60" s="26">
        <v>0</v>
      </c>
      <c r="P60" s="26">
        <v>0</v>
      </c>
      <c r="Q60" s="33">
        <v>0</v>
      </c>
      <c r="R60" s="34">
        <v>0</v>
      </c>
      <c r="S60" s="34">
        <v>0</v>
      </c>
      <c r="T60" s="20">
        <v>0</v>
      </c>
      <c r="U60" s="21" t="s">
        <v>24</v>
      </c>
      <c r="V60" s="22">
        <f>IFERROR(RAW[[#This Row],[ACTUAL GROSS]]/RAW[[#This Row],[CONVERTED]],0)</f>
        <v>0</v>
      </c>
      <c r="W60" s="22">
        <f>IFERROR(RAW[[#This Row],[SALES]]/RAW[[#This Row],[HOURLY PAY]],0)</f>
        <v>0</v>
      </c>
    </row>
    <row r="61" spans="1:23" x14ac:dyDescent="0.35">
      <c r="A61" s="23">
        <v>45120</v>
      </c>
      <c r="B61" s="24" t="s">
        <v>25</v>
      </c>
      <c r="C61" s="25" t="s">
        <v>32</v>
      </c>
      <c r="D61" s="14" t="s">
        <v>26</v>
      </c>
      <c r="E61" s="26">
        <v>0</v>
      </c>
      <c r="F61" s="26">
        <v>0</v>
      </c>
      <c r="G61" s="26">
        <v>0</v>
      </c>
      <c r="H61" s="26">
        <v>0</v>
      </c>
      <c r="I61" s="26">
        <v>0</v>
      </c>
      <c r="J61" s="26">
        <v>0</v>
      </c>
      <c r="K61" s="26">
        <v>0</v>
      </c>
      <c r="L61" s="27">
        <v>0</v>
      </c>
      <c r="M61" s="27">
        <v>0</v>
      </c>
      <c r="N61" s="28">
        <v>0</v>
      </c>
      <c r="O61" s="26">
        <v>0</v>
      </c>
      <c r="P61" s="26">
        <v>0</v>
      </c>
      <c r="Q61" s="33">
        <v>0</v>
      </c>
      <c r="R61" s="34">
        <v>0</v>
      </c>
      <c r="S61" s="34">
        <v>0</v>
      </c>
      <c r="T61" s="20">
        <v>0</v>
      </c>
      <c r="U61" s="21" t="s">
        <v>24</v>
      </c>
      <c r="V61" s="22">
        <f>IFERROR(RAW[[#This Row],[ACTUAL GROSS]]/RAW[[#This Row],[CONVERTED]],0)</f>
        <v>0</v>
      </c>
      <c r="W61" s="22">
        <f>IFERROR(RAW[[#This Row],[SALES]]/RAW[[#This Row],[HOURLY PAY]],0)</f>
        <v>0</v>
      </c>
    </row>
    <row r="62" spans="1:23" x14ac:dyDescent="0.35">
      <c r="A62" s="23">
        <v>45121</v>
      </c>
      <c r="B62" s="24" t="s">
        <v>21</v>
      </c>
      <c r="C62" s="25" t="s">
        <v>32</v>
      </c>
      <c r="D62" s="14" t="s">
        <v>27</v>
      </c>
      <c r="E62" s="26">
        <v>0</v>
      </c>
      <c r="F62" s="26">
        <v>0</v>
      </c>
      <c r="G62" s="26">
        <v>0</v>
      </c>
      <c r="H62" s="26">
        <v>0</v>
      </c>
      <c r="I62" s="26">
        <v>0</v>
      </c>
      <c r="J62" s="26">
        <v>0</v>
      </c>
      <c r="K62" s="26">
        <v>0</v>
      </c>
      <c r="L62" s="27">
        <v>0</v>
      </c>
      <c r="M62" s="27">
        <v>0</v>
      </c>
      <c r="N62" s="28">
        <v>0</v>
      </c>
      <c r="O62" s="26">
        <v>0</v>
      </c>
      <c r="P62" s="26">
        <v>0</v>
      </c>
      <c r="Q62" s="33">
        <v>0</v>
      </c>
      <c r="R62" s="34">
        <v>0</v>
      </c>
      <c r="S62" s="34">
        <v>0</v>
      </c>
      <c r="T62" s="20">
        <v>0</v>
      </c>
      <c r="U62" s="21" t="s">
        <v>24</v>
      </c>
      <c r="V62" s="22">
        <f>IFERROR(RAW[[#This Row],[ACTUAL GROSS]]/RAW[[#This Row],[CONVERTED]],0)</f>
        <v>0</v>
      </c>
      <c r="W62" s="22">
        <f>IFERROR(RAW[[#This Row],[SALES]]/RAW[[#This Row],[HOURLY PAY]],0)</f>
        <v>0</v>
      </c>
    </row>
    <row r="63" spans="1:23" x14ac:dyDescent="0.35">
      <c r="A63" s="23">
        <v>45121</v>
      </c>
      <c r="B63" s="24" t="s">
        <v>25</v>
      </c>
      <c r="C63" s="25" t="s">
        <v>32</v>
      </c>
      <c r="D63" s="14" t="s">
        <v>27</v>
      </c>
      <c r="E63" s="26">
        <v>1286</v>
      </c>
      <c r="F63" s="26">
        <v>136.79</v>
      </c>
      <c r="G63" s="26">
        <v>110</v>
      </c>
      <c r="H63" s="26">
        <v>51.44</v>
      </c>
      <c r="I63" s="26">
        <v>2.2980719999999999</v>
      </c>
      <c r="J63" s="26">
        <v>44.5</v>
      </c>
      <c r="K63" s="26">
        <v>83.051928000000004</v>
      </c>
      <c r="L63" s="27">
        <v>4</v>
      </c>
      <c r="M63" s="27">
        <v>47</v>
      </c>
      <c r="N63" s="28">
        <v>4.7833333333333332</v>
      </c>
      <c r="O63" s="26">
        <v>10.188499999999999</v>
      </c>
      <c r="P63" s="26">
        <v>137.74042800000001</v>
      </c>
      <c r="Q63" s="33">
        <v>203.24042800000001</v>
      </c>
      <c r="R63" s="34">
        <v>1</v>
      </c>
      <c r="S63" s="34">
        <v>0</v>
      </c>
      <c r="T63" s="20">
        <v>0</v>
      </c>
      <c r="U63" s="21" t="s">
        <v>24</v>
      </c>
      <c r="V63" s="22">
        <f>IFERROR(RAW[[#This Row],[ACTUAL GROSS]]/RAW[[#This Row],[CONVERTED]],0)</f>
        <v>42.489288083623698</v>
      </c>
      <c r="W63" s="22">
        <f>IFERROR(RAW[[#This Row],[SALES]]/RAW[[#This Row],[HOURLY PAY]],0)</f>
        <v>126.22073906855769</v>
      </c>
    </row>
    <row r="64" spans="1:23" x14ac:dyDescent="0.35">
      <c r="A64" s="23">
        <v>45122</v>
      </c>
      <c r="B64" s="24" t="s">
        <v>21</v>
      </c>
      <c r="C64" s="25" t="s">
        <v>32</v>
      </c>
      <c r="D64" s="14" t="s">
        <v>28</v>
      </c>
      <c r="E64" s="26">
        <v>0</v>
      </c>
      <c r="F64" s="26">
        <v>0</v>
      </c>
      <c r="G64" s="26">
        <v>0</v>
      </c>
      <c r="H64" s="26">
        <v>0</v>
      </c>
      <c r="I64" s="26">
        <v>0</v>
      </c>
      <c r="J64" s="26">
        <v>0</v>
      </c>
      <c r="K64" s="26">
        <v>0</v>
      </c>
      <c r="L64" s="27">
        <v>0</v>
      </c>
      <c r="M64" s="27">
        <v>0</v>
      </c>
      <c r="N64" s="28">
        <v>0</v>
      </c>
      <c r="O64" s="26">
        <v>0</v>
      </c>
      <c r="P64" s="26">
        <v>0</v>
      </c>
      <c r="Q64" s="33">
        <v>0</v>
      </c>
      <c r="R64" s="34">
        <v>0</v>
      </c>
      <c r="S64" s="34">
        <v>0</v>
      </c>
      <c r="T64" s="20">
        <v>0</v>
      </c>
      <c r="U64" s="21" t="s">
        <v>24</v>
      </c>
      <c r="V64" s="22">
        <f>IFERROR(RAW[[#This Row],[ACTUAL GROSS]]/RAW[[#This Row],[CONVERTED]],0)</f>
        <v>0</v>
      </c>
      <c r="W64" s="22">
        <f>IFERROR(RAW[[#This Row],[SALES]]/RAW[[#This Row],[HOURLY PAY]],0)</f>
        <v>0</v>
      </c>
    </row>
    <row r="65" spans="1:23" x14ac:dyDescent="0.35">
      <c r="A65" s="23">
        <v>45122</v>
      </c>
      <c r="B65" s="24" t="s">
        <v>25</v>
      </c>
      <c r="C65" s="25" t="s">
        <v>32</v>
      </c>
      <c r="D65" s="14" t="s">
        <v>28</v>
      </c>
      <c r="E65" s="26">
        <v>764.5</v>
      </c>
      <c r="F65" s="26">
        <v>132.41999999999999</v>
      </c>
      <c r="G65" s="26">
        <v>8</v>
      </c>
      <c r="H65" s="26">
        <v>30.580000000000002</v>
      </c>
      <c r="I65" s="26">
        <v>2.2246559999999995</v>
      </c>
      <c r="J65" s="26">
        <v>3.5</v>
      </c>
      <c r="K65" s="26">
        <v>99.615343999999993</v>
      </c>
      <c r="L65" s="27">
        <v>4</v>
      </c>
      <c r="M65" s="27">
        <v>18</v>
      </c>
      <c r="N65" s="28">
        <v>4.3</v>
      </c>
      <c r="O65" s="26">
        <v>9.1589999999999989</v>
      </c>
      <c r="P65" s="26">
        <v>112.27434399999999</v>
      </c>
      <c r="Q65" s="33">
        <v>116.77434399999999</v>
      </c>
      <c r="R65" s="34">
        <v>1</v>
      </c>
      <c r="S65" s="34">
        <v>0</v>
      </c>
      <c r="T65" s="20">
        <v>0</v>
      </c>
      <c r="U65" s="21" t="s">
        <v>24</v>
      </c>
      <c r="V65" s="22">
        <f>IFERROR(RAW[[#This Row],[ACTUAL GROSS]]/RAW[[#This Row],[CONVERTED]],0)</f>
        <v>27.15682418604651</v>
      </c>
      <c r="W65" s="22">
        <f>IFERROR(RAW[[#This Row],[SALES]]/RAW[[#This Row],[HOURLY PAY]],0)</f>
        <v>83.469811114750527</v>
      </c>
    </row>
    <row r="66" spans="1:23" x14ac:dyDescent="0.35">
      <c r="A66" s="23">
        <v>45123</v>
      </c>
      <c r="B66" s="24" t="s">
        <v>21</v>
      </c>
      <c r="C66" s="25" t="s">
        <v>32</v>
      </c>
      <c r="D66" s="14" t="s">
        <v>29</v>
      </c>
      <c r="E66" s="26">
        <v>0</v>
      </c>
      <c r="F66" s="26">
        <v>0</v>
      </c>
      <c r="G66" s="26">
        <v>0</v>
      </c>
      <c r="H66" s="26">
        <v>0</v>
      </c>
      <c r="I66" s="26">
        <v>0</v>
      </c>
      <c r="J66" s="26">
        <v>0</v>
      </c>
      <c r="K66" s="26">
        <v>0</v>
      </c>
      <c r="L66" s="27">
        <v>0</v>
      </c>
      <c r="M66" s="27">
        <v>0</v>
      </c>
      <c r="N66" s="28">
        <v>0</v>
      </c>
      <c r="O66" s="26">
        <v>0</v>
      </c>
      <c r="P66" s="26">
        <v>0</v>
      </c>
      <c r="Q66" s="33">
        <v>0</v>
      </c>
      <c r="R66" s="34">
        <v>0</v>
      </c>
      <c r="S66" s="34">
        <v>0</v>
      </c>
      <c r="T66" s="20">
        <v>0</v>
      </c>
      <c r="U66" s="21" t="s">
        <v>24</v>
      </c>
      <c r="V66" s="22">
        <f>IFERROR(RAW[[#This Row],[ACTUAL GROSS]]/RAW[[#This Row],[CONVERTED]],0)</f>
        <v>0</v>
      </c>
      <c r="W66" s="22">
        <f>IFERROR(RAW[[#This Row],[SALES]]/RAW[[#This Row],[HOURLY PAY]],0)</f>
        <v>0</v>
      </c>
    </row>
    <row r="67" spans="1:23" x14ac:dyDescent="0.35">
      <c r="A67" s="23">
        <v>45123</v>
      </c>
      <c r="B67" s="24" t="s">
        <v>25</v>
      </c>
      <c r="C67" s="25" t="s">
        <v>32</v>
      </c>
      <c r="D67" s="14" t="s">
        <v>29</v>
      </c>
      <c r="E67" s="26">
        <v>0</v>
      </c>
      <c r="F67" s="26">
        <v>0</v>
      </c>
      <c r="G67" s="26">
        <v>0</v>
      </c>
      <c r="H67" s="26">
        <v>0</v>
      </c>
      <c r="I67" s="26">
        <v>0</v>
      </c>
      <c r="J67" s="26">
        <v>0</v>
      </c>
      <c r="K67" s="26">
        <v>0</v>
      </c>
      <c r="L67" s="27">
        <v>0</v>
      </c>
      <c r="M67" s="27">
        <v>0</v>
      </c>
      <c r="N67" s="28">
        <v>0</v>
      </c>
      <c r="O67" s="26">
        <v>0</v>
      </c>
      <c r="P67" s="26">
        <v>0</v>
      </c>
      <c r="Q67" s="33">
        <v>0</v>
      </c>
      <c r="R67" s="34">
        <v>0</v>
      </c>
      <c r="S67" s="34">
        <v>0</v>
      </c>
      <c r="T67" s="20">
        <v>0</v>
      </c>
      <c r="U67" s="21" t="s">
        <v>24</v>
      </c>
      <c r="V67" s="22">
        <f>IFERROR(RAW[[#This Row],[ACTUAL GROSS]]/RAW[[#This Row],[CONVERTED]],0)</f>
        <v>0</v>
      </c>
      <c r="W67" s="22">
        <f>IFERROR(RAW[[#This Row],[SALES]]/RAW[[#This Row],[HOURLY PAY]],0)</f>
        <v>0</v>
      </c>
    </row>
    <row r="68" spans="1:23" x14ac:dyDescent="0.35">
      <c r="A68" s="23">
        <v>45124</v>
      </c>
      <c r="B68" s="24" t="s">
        <v>21</v>
      </c>
      <c r="C68" s="25" t="s">
        <v>32</v>
      </c>
      <c r="D68" s="14" t="s">
        <v>30</v>
      </c>
      <c r="E68" s="26">
        <v>0</v>
      </c>
      <c r="F68" s="26">
        <v>0</v>
      </c>
      <c r="G68" s="26">
        <v>0</v>
      </c>
      <c r="H68" s="26">
        <v>0</v>
      </c>
      <c r="I68" s="26">
        <v>0</v>
      </c>
      <c r="J68" s="26">
        <v>0</v>
      </c>
      <c r="K68" s="26">
        <v>0</v>
      </c>
      <c r="L68" s="27">
        <v>0</v>
      </c>
      <c r="M68" s="27">
        <v>0</v>
      </c>
      <c r="N68" s="28">
        <v>0</v>
      </c>
      <c r="O68" s="26">
        <v>0</v>
      </c>
      <c r="P68" s="26">
        <v>0</v>
      </c>
      <c r="Q68" s="33">
        <v>0</v>
      </c>
      <c r="R68" s="34">
        <v>0</v>
      </c>
      <c r="S68" s="34">
        <v>0</v>
      </c>
      <c r="T68" s="20">
        <v>0</v>
      </c>
      <c r="U68" s="21" t="s">
        <v>24</v>
      </c>
      <c r="V68" s="22">
        <f>IFERROR(RAW[[#This Row],[ACTUAL GROSS]]/RAW[[#This Row],[CONVERTED]],0)</f>
        <v>0</v>
      </c>
      <c r="W68" s="22">
        <f>IFERROR(RAW[[#This Row],[SALES]]/RAW[[#This Row],[HOURLY PAY]],0)</f>
        <v>0</v>
      </c>
    </row>
    <row r="69" spans="1:23" x14ac:dyDescent="0.35">
      <c r="A69" s="23">
        <v>45124</v>
      </c>
      <c r="B69" s="24" t="s">
        <v>25</v>
      </c>
      <c r="C69" s="25" t="s">
        <v>32</v>
      </c>
      <c r="D69" s="14" t="s">
        <v>30</v>
      </c>
      <c r="E69" s="26">
        <v>0</v>
      </c>
      <c r="F69" s="26">
        <v>0</v>
      </c>
      <c r="G69" s="26">
        <v>0</v>
      </c>
      <c r="H69" s="26">
        <v>0</v>
      </c>
      <c r="I69" s="26">
        <v>0</v>
      </c>
      <c r="J69" s="26">
        <v>0</v>
      </c>
      <c r="K69" s="26">
        <v>0</v>
      </c>
      <c r="L69" s="27">
        <v>0</v>
      </c>
      <c r="M69" s="27">
        <v>0</v>
      </c>
      <c r="N69" s="28">
        <v>0</v>
      </c>
      <c r="O69" s="26">
        <v>0</v>
      </c>
      <c r="P69" s="26">
        <v>0</v>
      </c>
      <c r="Q69" s="33">
        <v>0</v>
      </c>
      <c r="R69" s="34">
        <v>0</v>
      </c>
      <c r="S69" s="34">
        <v>0</v>
      </c>
      <c r="T69" s="20">
        <v>0</v>
      </c>
      <c r="U69" s="21" t="s">
        <v>24</v>
      </c>
      <c r="V69" s="22">
        <f>IFERROR(RAW[[#This Row],[ACTUAL GROSS]]/RAW[[#This Row],[CONVERTED]],0)</f>
        <v>0</v>
      </c>
      <c r="W69" s="22">
        <f>IFERROR(RAW[[#This Row],[SALES]]/RAW[[#This Row],[HOURLY PAY]],0)</f>
        <v>0</v>
      </c>
    </row>
    <row r="70" spans="1:23" x14ac:dyDescent="0.35">
      <c r="A70" s="23">
        <v>45125</v>
      </c>
      <c r="B70" s="24" t="s">
        <v>21</v>
      </c>
      <c r="C70" s="25" t="s">
        <v>32</v>
      </c>
      <c r="D70" s="14" t="s">
        <v>31</v>
      </c>
      <c r="E70" s="26">
        <v>0</v>
      </c>
      <c r="F70" s="26">
        <v>0</v>
      </c>
      <c r="G70" s="26">
        <v>0</v>
      </c>
      <c r="H70" s="26">
        <v>0</v>
      </c>
      <c r="I70" s="26">
        <v>0</v>
      </c>
      <c r="J70" s="26">
        <v>0</v>
      </c>
      <c r="K70" s="26">
        <v>0</v>
      </c>
      <c r="L70" s="27">
        <v>0</v>
      </c>
      <c r="M70" s="27">
        <v>0</v>
      </c>
      <c r="N70" s="28">
        <v>0</v>
      </c>
      <c r="O70" s="26">
        <v>0</v>
      </c>
      <c r="P70" s="26">
        <v>0</v>
      </c>
      <c r="Q70" s="33">
        <v>0</v>
      </c>
      <c r="R70" s="34">
        <v>0</v>
      </c>
      <c r="S70" s="34">
        <v>0</v>
      </c>
      <c r="T70" s="20">
        <v>0</v>
      </c>
      <c r="U70" s="21" t="s">
        <v>24</v>
      </c>
      <c r="V70" s="22">
        <f>IFERROR(RAW[[#This Row],[ACTUAL GROSS]]/RAW[[#This Row],[CONVERTED]],0)</f>
        <v>0</v>
      </c>
      <c r="W70" s="22">
        <f>IFERROR(RAW[[#This Row],[SALES]]/RAW[[#This Row],[HOURLY PAY]],0)</f>
        <v>0</v>
      </c>
    </row>
    <row r="71" spans="1:23" x14ac:dyDescent="0.35">
      <c r="A71" s="23">
        <v>45125</v>
      </c>
      <c r="B71" s="24" t="s">
        <v>25</v>
      </c>
      <c r="C71" s="25" t="s">
        <v>32</v>
      </c>
      <c r="D71" s="14" t="s">
        <v>31</v>
      </c>
      <c r="E71" s="26">
        <v>662</v>
      </c>
      <c r="F71" s="26">
        <v>82.85</v>
      </c>
      <c r="G71" s="26">
        <v>61</v>
      </c>
      <c r="H71" s="26">
        <v>26.48</v>
      </c>
      <c r="I71" s="26">
        <v>1.3918799999999998</v>
      </c>
      <c r="J71" s="26">
        <v>25.5</v>
      </c>
      <c r="K71" s="26">
        <v>54.97811999999999</v>
      </c>
      <c r="L71" s="27">
        <v>4</v>
      </c>
      <c r="M71" s="27">
        <v>13</v>
      </c>
      <c r="N71" s="28">
        <v>4.2166666666666668</v>
      </c>
      <c r="O71" s="26">
        <v>8.9815000000000005</v>
      </c>
      <c r="P71" s="26">
        <v>89.459619999999987</v>
      </c>
      <c r="Q71" s="33">
        <v>124.95961999999999</v>
      </c>
      <c r="R71" s="34">
        <v>1</v>
      </c>
      <c r="S71" s="34">
        <v>0</v>
      </c>
      <c r="T71" s="20">
        <v>0</v>
      </c>
      <c r="U71" s="21" t="s">
        <v>24</v>
      </c>
      <c r="V71" s="22">
        <f>IFERROR(RAW[[#This Row],[ACTUAL GROSS]]/RAW[[#This Row],[CONVERTED]],0)</f>
        <v>29.634692490118574</v>
      </c>
      <c r="W71" s="22">
        <f>IFERROR(RAW[[#This Row],[SALES]]/RAW[[#This Row],[HOURLY PAY]],0)</f>
        <v>73.707064521516443</v>
      </c>
    </row>
    <row r="72" spans="1:23" x14ac:dyDescent="0.35">
      <c r="A72" s="23">
        <v>45126</v>
      </c>
      <c r="B72" s="24" t="s">
        <v>21</v>
      </c>
      <c r="C72" s="25" t="s">
        <v>32</v>
      </c>
      <c r="D72" s="14" t="s">
        <v>23</v>
      </c>
      <c r="E72" s="26">
        <v>0</v>
      </c>
      <c r="F72" s="26">
        <v>0</v>
      </c>
      <c r="G72" s="26">
        <v>0</v>
      </c>
      <c r="H72" s="26">
        <v>0</v>
      </c>
      <c r="I72" s="26">
        <v>0</v>
      </c>
      <c r="J72" s="26">
        <v>0</v>
      </c>
      <c r="K72" s="26">
        <v>0</v>
      </c>
      <c r="L72" s="27">
        <v>0</v>
      </c>
      <c r="M72" s="27">
        <v>0</v>
      </c>
      <c r="N72" s="28">
        <v>0</v>
      </c>
      <c r="O72" s="29">
        <v>0</v>
      </c>
      <c r="P72" s="29">
        <v>0</v>
      </c>
      <c r="Q72" s="30">
        <v>0</v>
      </c>
      <c r="R72" s="20">
        <v>0</v>
      </c>
      <c r="S72" s="34">
        <v>0</v>
      </c>
      <c r="T72" s="20">
        <v>0</v>
      </c>
      <c r="U72" s="21" t="s">
        <v>24</v>
      </c>
      <c r="V72" s="22">
        <f>IFERROR(RAW[[#This Row],[ACTUAL GROSS]]/RAW[[#This Row],[CONVERTED]],0)</f>
        <v>0</v>
      </c>
      <c r="W72" s="22">
        <f>IFERROR(RAW[[#This Row],[SALES]]/RAW[[#This Row],[HOURLY PAY]],0)</f>
        <v>0</v>
      </c>
    </row>
    <row r="73" spans="1:23" x14ac:dyDescent="0.35">
      <c r="A73" s="23">
        <v>45126</v>
      </c>
      <c r="B73" s="24" t="s">
        <v>25</v>
      </c>
      <c r="C73" s="25" t="s">
        <v>32</v>
      </c>
      <c r="D73" s="14" t="s">
        <v>23</v>
      </c>
      <c r="E73" s="26">
        <v>892</v>
      </c>
      <c r="F73" s="26">
        <v>156.91</v>
      </c>
      <c r="G73" s="26">
        <v>37</v>
      </c>
      <c r="H73" s="26">
        <v>35.68</v>
      </c>
      <c r="I73" s="26">
        <v>2.636088</v>
      </c>
      <c r="J73" s="26">
        <v>13.69</v>
      </c>
      <c r="K73" s="26">
        <v>118.59391199999999</v>
      </c>
      <c r="L73" s="27">
        <v>4</v>
      </c>
      <c r="M73" s="27">
        <v>51</v>
      </c>
      <c r="N73" s="28">
        <v>4.8499999999999996</v>
      </c>
      <c r="O73" s="26">
        <v>10.330499999999999</v>
      </c>
      <c r="P73" s="26">
        <v>142.61441199999999</v>
      </c>
      <c r="Q73" s="33">
        <v>165.92441199999999</v>
      </c>
      <c r="R73" s="34">
        <v>1</v>
      </c>
      <c r="S73" s="34">
        <v>0</v>
      </c>
      <c r="T73" s="20">
        <v>0</v>
      </c>
      <c r="U73" s="21" t="s">
        <v>24</v>
      </c>
      <c r="V73" s="22">
        <f>IFERROR(RAW[[#This Row],[ACTUAL GROSS]]/RAW[[#This Row],[CONVERTED]],0)</f>
        <v>34.211218969072164</v>
      </c>
      <c r="W73" s="22">
        <f>IFERROR(RAW[[#This Row],[SALES]]/RAW[[#This Row],[HOURLY PAY]],0)</f>
        <v>86.346256231547372</v>
      </c>
    </row>
    <row r="74" spans="1:23" x14ac:dyDescent="0.35">
      <c r="A74" s="23">
        <v>45127</v>
      </c>
      <c r="B74" s="24" t="s">
        <v>21</v>
      </c>
      <c r="C74" s="25" t="s">
        <v>32</v>
      </c>
      <c r="D74" s="14" t="s">
        <v>26</v>
      </c>
      <c r="E74" s="26">
        <v>0</v>
      </c>
      <c r="F74" s="26">
        <v>0</v>
      </c>
      <c r="G74" s="26">
        <v>0</v>
      </c>
      <c r="H74" s="26">
        <v>0</v>
      </c>
      <c r="I74" s="26">
        <v>0</v>
      </c>
      <c r="J74" s="26">
        <v>0</v>
      </c>
      <c r="K74" s="26">
        <v>0</v>
      </c>
      <c r="L74" s="27">
        <v>0</v>
      </c>
      <c r="M74" s="27">
        <v>0</v>
      </c>
      <c r="N74" s="28">
        <v>0</v>
      </c>
      <c r="O74" s="26">
        <v>0</v>
      </c>
      <c r="P74" s="26">
        <v>0</v>
      </c>
      <c r="Q74" s="33">
        <v>0</v>
      </c>
      <c r="R74" s="34">
        <v>0</v>
      </c>
      <c r="S74" s="34">
        <v>0</v>
      </c>
      <c r="T74" s="20">
        <v>0</v>
      </c>
      <c r="U74" s="21" t="s">
        <v>24</v>
      </c>
      <c r="V74" s="22">
        <f>IFERROR(RAW[[#This Row],[ACTUAL GROSS]]/RAW[[#This Row],[CONVERTED]],0)</f>
        <v>0</v>
      </c>
      <c r="W74" s="22">
        <f>IFERROR(RAW[[#This Row],[SALES]]/RAW[[#This Row],[HOURLY PAY]],0)</f>
        <v>0</v>
      </c>
    </row>
    <row r="75" spans="1:23" x14ac:dyDescent="0.35">
      <c r="A75" s="23">
        <v>45127</v>
      </c>
      <c r="B75" s="24" t="s">
        <v>25</v>
      </c>
      <c r="C75" s="25" t="s">
        <v>32</v>
      </c>
      <c r="D75" s="14" t="s">
        <v>26</v>
      </c>
      <c r="E75" s="26">
        <v>0</v>
      </c>
      <c r="F75" s="26">
        <v>0</v>
      </c>
      <c r="G75" s="26">
        <v>0</v>
      </c>
      <c r="H75" s="26">
        <v>0</v>
      </c>
      <c r="I75" s="26">
        <v>0</v>
      </c>
      <c r="J75" s="26">
        <v>0</v>
      </c>
      <c r="K75" s="26">
        <v>0</v>
      </c>
      <c r="L75" s="27">
        <v>0</v>
      </c>
      <c r="M75" s="27">
        <v>0</v>
      </c>
      <c r="N75" s="28">
        <v>0</v>
      </c>
      <c r="O75" s="26">
        <v>0</v>
      </c>
      <c r="P75" s="26">
        <v>0</v>
      </c>
      <c r="Q75" s="33">
        <v>0</v>
      </c>
      <c r="R75" s="34">
        <v>0</v>
      </c>
      <c r="S75" s="34">
        <v>0</v>
      </c>
      <c r="T75" s="20">
        <v>0</v>
      </c>
      <c r="U75" s="21" t="s">
        <v>24</v>
      </c>
      <c r="V75" s="22">
        <f>IFERROR(RAW[[#This Row],[ACTUAL GROSS]]/RAW[[#This Row],[CONVERTED]],0)</f>
        <v>0</v>
      </c>
      <c r="W75" s="22">
        <f>IFERROR(RAW[[#This Row],[SALES]]/RAW[[#This Row],[HOURLY PAY]],0)</f>
        <v>0</v>
      </c>
    </row>
    <row r="76" spans="1:23" x14ac:dyDescent="0.35">
      <c r="A76" s="23">
        <v>45128</v>
      </c>
      <c r="B76" s="24" t="s">
        <v>21</v>
      </c>
      <c r="C76" s="25" t="s">
        <v>32</v>
      </c>
      <c r="D76" s="14" t="s">
        <v>27</v>
      </c>
      <c r="E76" s="26">
        <v>0</v>
      </c>
      <c r="F76" s="26">
        <v>0</v>
      </c>
      <c r="G76" s="26">
        <v>0</v>
      </c>
      <c r="H76" s="26">
        <v>0</v>
      </c>
      <c r="I76" s="26">
        <v>0</v>
      </c>
      <c r="J76" s="26">
        <v>0</v>
      </c>
      <c r="K76" s="26">
        <v>0</v>
      </c>
      <c r="L76" s="27">
        <v>0</v>
      </c>
      <c r="M76" s="27">
        <v>0</v>
      </c>
      <c r="N76" s="28">
        <v>0</v>
      </c>
      <c r="O76" s="26">
        <v>0</v>
      </c>
      <c r="P76" s="26">
        <v>0</v>
      </c>
      <c r="Q76" s="33">
        <v>0</v>
      </c>
      <c r="R76" s="34">
        <v>0</v>
      </c>
      <c r="S76" s="34">
        <v>0</v>
      </c>
      <c r="T76" s="20">
        <v>0</v>
      </c>
      <c r="U76" s="21" t="s">
        <v>24</v>
      </c>
      <c r="V76" s="22">
        <f>IFERROR(RAW[[#This Row],[ACTUAL GROSS]]/RAW[[#This Row],[CONVERTED]],0)</f>
        <v>0</v>
      </c>
      <c r="W76" s="22">
        <f>IFERROR(RAW[[#This Row],[SALES]]/RAW[[#This Row],[HOURLY PAY]],0)</f>
        <v>0</v>
      </c>
    </row>
    <row r="77" spans="1:23" x14ac:dyDescent="0.35">
      <c r="A77" s="23">
        <v>45128</v>
      </c>
      <c r="B77" s="24" t="s">
        <v>25</v>
      </c>
      <c r="C77" s="25" t="s">
        <v>32</v>
      </c>
      <c r="D77" s="14" t="s">
        <v>27</v>
      </c>
      <c r="E77" s="26">
        <v>1455</v>
      </c>
      <c r="F77" s="26">
        <v>259.8</v>
      </c>
      <c r="G77" s="26">
        <v>32</v>
      </c>
      <c r="H77" s="26">
        <v>58.2</v>
      </c>
      <c r="I77" s="26">
        <v>4.3646399999999996</v>
      </c>
      <c r="J77" s="26">
        <v>4.5</v>
      </c>
      <c r="K77" s="26">
        <v>197.23536000000001</v>
      </c>
      <c r="L77" s="27">
        <v>5</v>
      </c>
      <c r="M77" s="27">
        <v>58</v>
      </c>
      <c r="N77" s="28">
        <v>5.9666666666666668</v>
      </c>
      <c r="O77" s="26">
        <v>12.709</v>
      </c>
      <c r="P77" s="26">
        <v>214.44436000000002</v>
      </c>
      <c r="Q77" s="33">
        <v>241.94436000000002</v>
      </c>
      <c r="R77" s="34">
        <v>1</v>
      </c>
      <c r="S77" s="34">
        <v>0</v>
      </c>
      <c r="T77" s="20">
        <v>0</v>
      </c>
      <c r="U77" s="21" t="s">
        <v>24</v>
      </c>
      <c r="V77" s="22">
        <f>IFERROR(RAW[[#This Row],[ACTUAL GROSS]]/RAW[[#This Row],[CONVERTED]],0)</f>
        <v>40.54933407821229</v>
      </c>
      <c r="W77" s="22">
        <f>IFERROR(RAW[[#This Row],[SALES]]/RAW[[#This Row],[HOURLY PAY]],0)</f>
        <v>114.48579746636243</v>
      </c>
    </row>
    <row r="78" spans="1:23" x14ac:dyDescent="0.35">
      <c r="A78" s="23">
        <v>45129</v>
      </c>
      <c r="B78" s="24" t="s">
        <v>21</v>
      </c>
      <c r="C78" s="25" t="s">
        <v>32</v>
      </c>
      <c r="D78" s="14" t="s">
        <v>28</v>
      </c>
      <c r="E78" s="26">
        <v>0</v>
      </c>
      <c r="F78" s="26">
        <v>0</v>
      </c>
      <c r="G78" s="26">
        <v>0</v>
      </c>
      <c r="H78" s="26">
        <v>0</v>
      </c>
      <c r="I78" s="26">
        <v>0</v>
      </c>
      <c r="J78" s="26">
        <v>0</v>
      </c>
      <c r="K78" s="26">
        <v>0</v>
      </c>
      <c r="L78" s="27">
        <v>0</v>
      </c>
      <c r="M78" s="27">
        <v>0</v>
      </c>
      <c r="N78" s="28">
        <v>0</v>
      </c>
      <c r="O78" s="26">
        <v>0</v>
      </c>
      <c r="P78" s="26">
        <v>0</v>
      </c>
      <c r="Q78" s="33">
        <v>0</v>
      </c>
      <c r="R78" s="34">
        <v>0</v>
      </c>
      <c r="S78" s="34">
        <v>0</v>
      </c>
      <c r="T78" s="20">
        <v>0</v>
      </c>
      <c r="U78" s="21" t="s">
        <v>24</v>
      </c>
      <c r="V78" s="22">
        <f>IFERROR(RAW[[#This Row],[ACTUAL GROSS]]/RAW[[#This Row],[CONVERTED]],0)</f>
        <v>0</v>
      </c>
      <c r="W78" s="22">
        <f>IFERROR(RAW[[#This Row],[SALES]]/RAW[[#This Row],[HOURLY PAY]],0)</f>
        <v>0</v>
      </c>
    </row>
    <row r="79" spans="1:23" x14ac:dyDescent="0.35">
      <c r="A79" s="23">
        <v>45129</v>
      </c>
      <c r="B79" s="24" t="s">
        <v>25</v>
      </c>
      <c r="C79" s="25" t="s">
        <v>32</v>
      </c>
      <c r="D79" s="14" t="s">
        <v>28</v>
      </c>
      <c r="E79" s="26">
        <v>1817.5</v>
      </c>
      <c r="F79" s="26">
        <v>317.69</v>
      </c>
      <c r="G79" s="26">
        <v>81</v>
      </c>
      <c r="H79" s="26">
        <v>72.7</v>
      </c>
      <c r="I79" s="26">
        <v>5.3371919999999999</v>
      </c>
      <c r="J79" s="26">
        <v>23.5</v>
      </c>
      <c r="K79" s="26">
        <v>239.65280799999999</v>
      </c>
      <c r="L79" s="27">
        <v>6</v>
      </c>
      <c r="M79" s="27">
        <v>7</v>
      </c>
      <c r="N79" s="28">
        <v>6.1166666666666663</v>
      </c>
      <c r="O79" s="26">
        <v>13.028499999999999</v>
      </c>
      <c r="P79" s="26">
        <v>276.181308</v>
      </c>
      <c r="Q79" s="33">
        <v>333.681308</v>
      </c>
      <c r="R79" s="34">
        <v>1</v>
      </c>
      <c r="S79" s="34">
        <v>0</v>
      </c>
      <c r="T79" s="20">
        <v>0</v>
      </c>
      <c r="U79" s="21" t="s">
        <v>24</v>
      </c>
      <c r="V79" s="22">
        <f>IFERROR(RAW[[#This Row],[ACTUAL GROSS]]/RAW[[#This Row],[CONVERTED]],0)</f>
        <v>54.552802397820166</v>
      </c>
      <c r="W79" s="22">
        <f>IFERROR(RAW[[#This Row],[SALES]]/RAW[[#This Row],[HOURLY PAY]],0)</f>
        <v>139.50186130406416</v>
      </c>
    </row>
    <row r="80" spans="1:23" x14ac:dyDescent="0.35">
      <c r="A80" s="23">
        <v>45130</v>
      </c>
      <c r="B80" s="24" t="s">
        <v>21</v>
      </c>
      <c r="C80" s="25" t="s">
        <v>32</v>
      </c>
      <c r="D80" s="14" t="s">
        <v>29</v>
      </c>
      <c r="E80" s="26">
        <v>0</v>
      </c>
      <c r="F80" s="26">
        <v>0</v>
      </c>
      <c r="G80" s="26">
        <v>0</v>
      </c>
      <c r="H80" s="26">
        <v>0</v>
      </c>
      <c r="I80" s="26">
        <v>0</v>
      </c>
      <c r="J80" s="26">
        <v>0</v>
      </c>
      <c r="K80" s="26">
        <v>0</v>
      </c>
      <c r="L80" s="27">
        <v>0</v>
      </c>
      <c r="M80" s="27">
        <v>0</v>
      </c>
      <c r="N80" s="28">
        <v>0</v>
      </c>
      <c r="O80" s="26">
        <v>0</v>
      </c>
      <c r="P80" s="26">
        <v>0</v>
      </c>
      <c r="Q80" s="33">
        <v>0</v>
      </c>
      <c r="R80" s="34">
        <v>0</v>
      </c>
      <c r="S80" s="34">
        <v>0</v>
      </c>
      <c r="T80" s="20">
        <v>0</v>
      </c>
      <c r="U80" s="21" t="s">
        <v>24</v>
      </c>
      <c r="V80" s="22">
        <f>IFERROR(RAW[[#This Row],[ACTUAL GROSS]]/RAW[[#This Row],[CONVERTED]],0)</f>
        <v>0</v>
      </c>
      <c r="W80" s="22">
        <f>IFERROR(RAW[[#This Row],[SALES]]/RAW[[#This Row],[HOURLY PAY]],0)</f>
        <v>0</v>
      </c>
    </row>
    <row r="81" spans="1:35" x14ac:dyDescent="0.35">
      <c r="A81" s="23">
        <v>45130</v>
      </c>
      <c r="B81" s="24" t="s">
        <v>25</v>
      </c>
      <c r="C81" s="25" t="s">
        <v>32</v>
      </c>
      <c r="D81" s="14" t="s">
        <v>29</v>
      </c>
      <c r="E81" s="26">
        <v>0</v>
      </c>
      <c r="F81" s="26">
        <v>0</v>
      </c>
      <c r="G81" s="26">
        <v>0</v>
      </c>
      <c r="H81" s="26">
        <v>0</v>
      </c>
      <c r="I81" s="26">
        <v>0</v>
      </c>
      <c r="J81" s="26">
        <v>0</v>
      </c>
      <c r="K81" s="26">
        <v>0</v>
      </c>
      <c r="L81" s="27">
        <v>0</v>
      </c>
      <c r="M81" s="27">
        <v>0</v>
      </c>
      <c r="N81" s="28">
        <v>0</v>
      </c>
      <c r="O81" s="26">
        <v>0</v>
      </c>
      <c r="P81" s="26">
        <v>0</v>
      </c>
      <c r="Q81" s="33">
        <v>0</v>
      </c>
      <c r="R81" s="34">
        <v>0</v>
      </c>
      <c r="S81" s="34">
        <v>0</v>
      </c>
      <c r="T81" s="20">
        <v>0</v>
      </c>
      <c r="U81" s="21" t="s">
        <v>24</v>
      </c>
      <c r="V81" s="22">
        <f>IFERROR(RAW[[#This Row],[ACTUAL GROSS]]/RAW[[#This Row],[CONVERTED]],0)</f>
        <v>0</v>
      </c>
      <c r="W81" s="22">
        <f>IFERROR(RAW[[#This Row],[SALES]]/RAW[[#This Row],[HOURLY PAY]],0)</f>
        <v>0</v>
      </c>
    </row>
    <row r="82" spans="1:35" x14ac:dyDescent="0.35">
      <c r="A82" s="23">
        <v>45131</v>
      </c>
      <c r="B82" s="24" t="s">
        <v>21</v>
      </c>
      <c r="C82" s="25" t="s">
        <v>32</v>
      </c>
      <c r="D82" s="14" t="s">
        <v>30</v>
      </c>
      <c r="E82" s="26">
        <v>0</v>
      </c>
      <c r="F82" s="26">
        <v>0</v>
      </c>
      <c r="G82" s="26">
        <v>0</v>
      </c>
      <c r="H82" s="26">
        <v>0</v>
      </c>
      <c r="I82" s="26">
        <v>0</v>
      </c>
      <c r="J82" s="26">
        <v>0</v>
      </c>
      <c r="K82" s="26">
        <v>0</v>
      </c>
      <c r="L82" s="27">
        <v>0</v>
      </c>
      <c r="M82" s="27">
        <v>0</v>
      </c>
      <c r="N82" s="28">
        <v>0</v>
      </c>
      <c r="O82" s="26">
        <v>0</v>
      </c>
      <c r="P82" s="26">
        <v>0</v>
      </c>
      <c r="Q82" s="33">
        <v>0</v>
      </c>
      <c r="R82" s="34">
        <v>0</v>
      </c>
      <c r="S82" s="34">
        <v>0</v>
      </c>
      <c r="T82" s="20">
        <v>0</v>
      </c>
      <c r="U82" s="21" t="s">
        <v>24</v>
      </c>
      <c r="V82" s="22">
        <f>IFERROR(RAW[[#This Row],[ACTUAL GROSS]]/RAW[[#This Row],[CONVERTED]],0)</f>
        <v>0</v>
      </c>
      <c r="W82" s="22">
        <f>IFERROR(RAW[[#This Row],[SALES]]/RAW[[#This Row],[HOURLY PAY]],0)</f>
        <v>0</v>
      </c>
    </row>
    <row r="83" spans="1:35" x14ac:dyDescent="0.35">
      <c r="A83" s="23">
        <v>45131</v>
      </c>
      <c r="B83" s="24" t="s">
        <v>25</v>
      </c>
      <c r="C83" s="25" t="s">
        <v>32</v>
      </c>
      <c r="D83" s="14" t="s">
        <v>30</v>
      </c>
      <c r="E83" s="26">
        <v>1036</v>
      </c>
      <c r="F83" s="26">
        <v>179.85</v>
      </c>
      <c r="G83" s="26">
        <v>25</v>
      </c>
      <c r="H83" s="26">
        <v>41.44</v>
      </c>
      <c r="I83" s="26">
        <v>3.0214799999999995</v>
      </c>
      <c r="J83" s="26">
        <v>8.9600000000000009</v>
      </c>
      <c r="K83" s="26">
        <v>135.38852</v>
      </c>
      <c r="L83" s="27">
        <v>4</v>
      </c>
      <c r="M83" s="27">
        <v>31</v>
      </c>
      <c r="N83" s="28">
        <v>4.5166666666666666</v>
      </c>
      <c r="O83" s="26">
        <v>9.6204999999999998</v>
      </c>
      <c r="P83" s="26">
        <v>153.96902</v>
      </c>
      <c r="Q83" s="33">
        <v>170.00901999999999</v>
      </c>
      <c r="R83" s="34">
        <v>1</v>
      </c>
      <c r="S83" s="34">
        <v>0</v>
      </c>
      <c r="T83" s="20">
        <v>0</v>
      </c>
      <c r="U83" s="21" t="s">
        <v>24</v>
      </c>
      <c r="V83" s="22">
        <f>IFERROR(RAW[[#This Row],[ACTUAL GROSS]]/RAW[[#This Row],[CONVERTED]],0)</f>
        <v>37.640373431734318</v>
      </c>
      <c r="W83" s="22">
        <f>IFERROR(RAW[[#This Row],[SALES]]/RAW[[#This Row],[HOURLY PAY]],0)</f>
        <v>107.6867106699236</v>
      </c>
    </row>
    <row r="84" spans="1:35" x14ac:dyDescent="0.35">
      <c r="A84" s="23">
        <v>45132</v>
      </c>
      <c r="B84" s="24" t="s">
        <v>21</v>
      </c>
      <c r="C84" s="25" t="s">
        <v>32</v>
      </c>
      <c r="D84" s="14" t="s">
        <v>31</v>
      </c>
      <c r="E84" s="26">
        <v>0</v>
      </c>
      <c r="F84" s="26">
        <v>0</v>
      </c>
      <c r="G84" s="26">
        <v>0</v>
      </c>
      <c r="H84" s="26">
        <v>0</v>
      </c>
      <c r="I84" s="26">
        <v>0</v>
      </c>
      <c r="J84" s="26">
        <v>0</v>
      </c>
      <c r="K84" s="26">
        <v>0</v>
      </c>
      <c r="L84" s="27">
        <v>0</v>
      </c>
      <c r="M84" s="27">
        <v>0</v>
      </c>
      <c r="N84" s="28">
        <v>0</v>
      </c>
      <c r="O84" s="26">
        <v>0</v>
      </c>
      <c r="P84" s="26">
        <v>0</v>
      </c>
      <c r="Q84" s="33">
        <v>0</v>
      </c>
      <c r="R84" s="34">
        <v>0</v>
      </c>
      <c r="S84" s="34">
        <v>0</v>
      </c>
      <c r="T84" s="20">
        <v>0</v>
      </c>
      <c r="U84" s="21" t="s">
        <v>24</v>
      </c>
      <c r="V84" s="22">
        <f>IFERROR(RAW[[#This Row],[ACTUAL GROSS]]/RAW[[#This Row],[CONVERTED]],0)</f>
        <v>0</v>
      </c>
      <c r="W84" s="22">
        <f>IFERROR(RAW[[#This Row],[SALES]]/RAW[[#This Row],[HOURLY PAY]],0)</f>
        <v>0</v>
      </c>
    </row>
    <row r="85" spans="1:35" x14ac:dyDescent="0.35">
      <c r="A85" s="23">
        <v>45132</v>
      </c>
      <c r="B85" s="24" t="s">
        <v>25</v>
      </c>
      <c r="C85" s="25" t="s">
        <v>32</v>
      </c>
      <c r="D85" s="14" t="s">
        <v>31</v>
      </c>
      <c r="E85" s="26">
        <v>967</v>
      </c>
      <c r="F85" s="26">
        <v>170.5</v>
      </c>
      <c r="G85" s="26">
        <v>12</v>
      </c>
      <c r="H85" s="26">
        <v>38.68</v>
      </c>
      <c r="I85" s="26">
        <v>2.8643999999999998</v>
      </c>
      <c r="J85" s="26">
        <v>4.5</v>
      </c>
      <c r="K85" s="26">
        <v>128.9556</v>
      </c>
      <c r="L85" s="27">
        <v>4</v>
      </c>
      <c r="M85" s="27">
        <v>46</v>
      </c>
      <c r="N85" s="28">
        <v>4.7666666666666666</v>
      </c>
      <c r="O85" s="26">
        <v>10.152999999999999</v>
      </c>
      <c r="P85" s="26">
        <v>143.6086</v>
      </c>
      <c r="Q85" s="33">
        <v>151.1086</v>
      </c>
      <c r="R85" s="34">
        <v>1</v>
      </c>
      <c r="S85" s="34">
        <v>0</v>
      </c>
      <c r="T85" s="20">
        <v>0</v>
      </c>
      <c r="U85" s="21" t="s">
        <v>24</v>
      </c>
      <c r="V85" s="22">
        <f>IFERROR(RAW[[#This Row],[ACTUAL GROSS]]/RAW[[#This Row],[CONVERTED]],0)</f>
        <v>31.701104895104894</v>
      </c>
      <c r="W85" s="22">
        <f>IFERROR(RAW[[#This Row],[SALES]]/RAW[[#This Row],[HOURLY PAY]],0)</f>
        <v>95.242785383630462</v>
      </c>
    </row>
    <row r="86" spans="1:35" x14ac:dyDescent="0.35">
      <c r="A86" s="23">
        <v>45133</v>
      </c>
      <c r="B86" s="24" t="s">
        <v>21</v>
      </c>
      <c r="C86" s="25" t="s">
        <v>32</v>
      </c>
      <c r="D86" s="14" t="s">
        <v>23</v>
      </c>
      <c r="E86" s="26">
        <v>0</v>
      </c>
      <c r="F86" s="26">
        <v>0</v>
      </c>
      <c r="G86" s="26">
        <v>0</v>
      </c>
      <c r="H86" s="26">
        <v>0</v>
      </c>
      <c r="I86" s="26">
        <v>0</v>
      </c>
      <c r="J86" s="26">
        <v>0</v>
      </c>
      <c r="K86" s="26">
        <v>0</v>
      </c>
      <c r="L86" s="27">
        <v>0</v>
      </c>
      <c r="M86" s="27">
        <v>0</v>
      </c>
      <c r="N86" s="28">
        <v>0</v>
      </c>
      <c r="O86" s="29">
        <v>0</v>
      </c>
      <c r="P86" s="29">
        <v>0</v>
      </c>
      <c r="Q86" s="30">
        <v>0</v>
      </c>
      <c r="R86" s="20">
        <v>0</v>
      </c>
      <c r="S86" s="34">
        <v>0</v>
      </c>
      <c r="T86" s="20">
        <v>0</v>
      </c>
      <c r="U86" s="21" t="s">
        <v>24</v>
      </c>
      <c r="V86" s="22">
        <f>IFERROR(RAW[[#This Row],[ACTUAL GROSS]]/RAW[[#This Row],[CONVERTED]],0)</f>
        <v>0</v>
      </c>
      <c r="W86" s="22">
        <f>IFERROR(RAW[[#This Row],[SALES]]/RAW[[#This Row],[HOURLY PAY]],0)</f>
        <v>0</v>
      </c>
    </row>
    <row r="87" spans="1:35" x14ac:dyDescent="0.35">
      <c r="A87" s="23">
        <v>45133</v>
      </c>
      <c r="B87" s="24" t="s">
        <v>25</v>
      </c>
      <c r="C87" s="25" t="s">
        <v>32</v>
      </c>
      <c r="D87" s="14" t="s">
        <v>23</v>
      </c>
      <c r="E87" s="26">
        <v>997</v>
      </c>
      <c r="F87" s="26">
        <v>217.43</v>
      </c>
      <c r="G87" s="26">
        <v>0</v>
      </c>
      <c r="H87" s="26">
        <v>39.880000000000003</v>
      </c>
      <c r="I87" s="26">
        <v>3.6528239999999998</v>
      </c>
      <c r="J87" s="26">
        <v>0</v>
      </c>
      <c r="K87" s="26">
        <v>173.897176</v>
      </c>
      <c r="L87" s="27">
        <v>5</v>
      </c>
      <c r="M87" s="27">
        <v>16</v>
      </c>
      <c r="N87" s="28">
        <v>5.2666666666666666</v>
      </c>
      <c r="O87" s="26">
        <v>11.218</v>
      </c>
      <c r="P87" s="26">
        <v>185.11517599999999</v>
      </c>
      <c r="Q87" s="33">
        <v>185.11517599999999</v>
      </c>
      <c r="R87" s="34">
        <v>1</v>
      </c>
      <c r="S87" s="34">
        <v>0</v>
      </c>
      <c r="T87" s="20">
        <v>0</v>
      </c>
      <c r="U87" s="21" t="s">
        <v>24</v>
      </c>
      <c r="V87" s="22">
        <f>IFERROR(RAW[[#This Row],[ACTUAL GROSS]]/RAW[[#This Row],[CONVERTED]],0)</f>
        <v>35.148451139240507</v>
      </c>
      <c r="W87" s="22">
        <f>IFERROR(RAW[[#This Row],[SALES]]/RAW[[#This Row],[HOURLY PAY]],0)</f>
        <v>88.875022285612403</v>
      </c>
    </row>
    <row r="88" spans="1:35" x14ac:dyDescent="0.35">
      <c r="A88" s="23">
        <v>45134</v>
      </c>
      <c r="B88" s="24" t="s">
        <v>21</v>
      </c>
      <c r="C88" s="25" t="s">
        <v>32</v>
      </c>
      <c r="D88" s="14" t="s">
        <v>26</v>
      </c>
      <c r="E88" s="26">
        <v>0</v>
      </c>
      <c r="F88" s="26">
        <v>0</v>
      </c>
      <c r="G88" s="26">
        <v>0</v>
      </c>
      <c r="H88" s="26">
        <v>0</v>
      </c>
      <c r="I88" s="26">
        <v>0</v>
      </c>
      <c r="J88" s="26">
        <v>0</v>
      </c>
      <c r="K88" s="26">
        <v>0</v>
      </c>
      <c r="L88" s="27">
        <v>0</v>
      </c>
      <c r="M88" s="27">
        <v>0</v>
      </c>
      <c r="N88" s="28">
        <v>0</v>
      </c>
      <c r="O88" s="26">
        <v>0</v>
      </c>
      <c r="P88" s="26">
        <v>0</v>
      </c>
      <c r="Q88" s="33">
        <v>0</v>
      </c>
      <c r="R88" s="34">
        <v>0</v>
      </c>
      <c r="S88" s="34">
        <v>0</v>
      </c>
      <c r="T88" s="20">
        <v>0</v>
      </c>
      <c r="U88" s="21" t="s">
        <v>24</v>
      </c>
      <c r="V88" s="22">
        <f>IFERROR(RAW[[#This Row],[ACTUAL GROSS]]/RAW[[#This Row],[CONVERTED]],0)</f>
        <v>0</v>
      </c>
      <c r="W88" s="22">
        <f>IFERROR(RAW[[#This Row],[SALES]]/RAW[[#This Row],[HOURLY PAY]],0)</f>
        <v>0</v>
      </c>
    </row>
    <row r="89" spans="1:35" x14ac:dyDescent="0.35">
      <c r="A89" s="23">
        <v>45134</v>
      </c>
      <c r="B89" s="24" t="s">
        <v>25</v>
      </c>
      <c r="C89" s="25" t="s">
        <v>32</v>
      </c>
      <c r="D89" s="14" t="s">
        <v>26</v>
      </c>
      <c r="E89" s="26">
        <v>0</v>
      </c>
      <c r="F89" s="26">
        <v>0</v>
      </c>
      <c r="G89" s="26">
        <v>0</v>
      </c>
      <c r="H89" s="26">
        <v>0</v>
      </c>
      <c r="I89" s="26">
        <v>0</v>
      </c>
      <c r="J89" s="26">
        <v>0</v>
      </c>
      <c r="K89" s="26">
        <v>0</v>
      </c>
      <c r="L89" s="27">
        <v>0</v>
      </c>
      <c r="M89" s="27">
        <v>0</v>
      </c>
      <c r="N89" s="28">
        <v>0</v>
      </c>
      <c r="O89" s="26">
        <v>0</v>
      </c>
      <c r="P89" s="26">
        <v>0</v>
      </c>
      <c r="Q89" s="33">
        <v>0</v>
      </c>
      <c r="R89" s="34">
        <v>0</v>
      </c>
      <c r="S89" s="34">
        <v>0</v>
      </c>
      <c r="T89" s="20">
        <v>0</v>
      </c>
      <c r="U89" s="21" t="s">
        <v>24</v>
      </c>
      <c r="V89" s="22">
        <f>IFERROR(RAW[[#This Row],[ACTUAL GROSS]]/RAW[[#This Row],[CONVERTED]],0)</f>
        <v>0</v>
      </c>
      <c r="W89" s="22">
        <f>IFERROR(RAW[[#This Row],[SALES]]/RAW[[#This Row],[HOURLY PAY]],0)</f>
        <v>0</v>
      </c>
    </row>
    <row r="90" spans="1:35" x14ac:dyDescent="0.35">
      <c r="A90" s="23">
        <v>45135</v>
      </c>
      <c r="B90" s="24" t="s">
        <v>21</v>
      </c>
      <c r="C90" s="25" t="s">
        <v>32</v>
      </c>
      <c r="D90" s="14" t="s">
        <v>27</v>
      </c>
      <c r="E90" s="26">
        <v>0</v>
      </c>
      <c r="F90" s="26">
        <v>0</v>
      </c>
      <c r="G90" s="26">
        <v>0</v>
      </c>
      <c r="H90" s="26">
        <v>0</v>
      </c>
      <c r="I90" s="26">
        <v>0</v>
      </c>
      <c r="J90" s="26">
        <v>0</v>
      </c>
      <c r="K90" s="26">
        <v>0</v>
      </c>
      <c r="L90" s="27">
        <v>0</v>
      </c>
      <c r="M90" s="27">
        <v>0</v>
      </c>
      <c r="N90" s="28">
        <v>0</v>
      </c>
      <c r="O90" s="26">
        <v>0</v>
      </c>
      <c r="P90" s="26">
        <v>0</v>
      </c>
      <c r="Q90" s="33">
        <v>0</v>
      </c>
      <c r="R90" s="34">
        <v>0</v>
      </c>
      <c r="S90" s="34">
        <v>0</v>
      </c>
      <c r="T90" s="20">
        <v>0</v>
      </c>
      <c r="U90" s="21" t="s">
        <v>24</v>
      </c>
      <c r="V90" s="22">
        <f>IFERROR(RAW[[#This Row],[ACTUAL GROSS]]/RAW[[#This Row],[CONVERTED]],0)</f>
        <v>0</v>
      </c>
      <c r="W90" s="22">
        <f>IFERROR(RAW[[#This Row],[SALES]]/RAW[[#This Row],[HOURLY PAY]],0)</f>
        <v>0</v>
      </c>
    </row>
    <row r="91" spans="1:35" x14ac:dyDescent="0.35">
      <c r="A91" s="23">
        <v>45135</v>
      </c>
      <c r="B91" s="24" t="s">
        <v>25</v>
      </c>
      <c r="C91" s="25" t="s">
        <v>32</v>
      </c>
      <c r="D91" s="14" t="s">
        <v>27</v>
      </c>
      <c r="E91" s="26">
        <v>1281.51</v>
      </c>
      <c r="F91" s="26">
        <v>232.63</v>
      </c>
      <c r="G91" s="26">
        <v>50</v>
      </c>
      <c r="H91" s="26">
        <v>51.260400000000004</v>
      </c>
      <c r="I91" s="26">
        <v>3.9081839999999999</v>
      </c>
      <c r="J91" s="26">
        <v>11</v>
      </c>
      <c r="K91" s="26">
        <v>177.46141599999999</v>
      </c>
      <c r="L91" s="27">
        <v>5</v>
      </c>
      <c r="M91" s="27">
        <v>11</v>
      </c>
      <c r="N91" s="28">
        <v>5.1833333333333336</v>
      </c>
      <c r="O91" s="26">
        <v>11.0405</v>
      </c>
      <c r="P91" s="26">
        <v>199.50191599999999</v>
      </c>
      <c r="Q91" s="33">
        <v>238.50191599999999</v>
      </c>
      <c r="R91" s="34">
        <v>1</v>
      </c>
      <c r="S91" s="34">
        <v>0</v>
      </c>
      <c r="T91" s="20">
        <v>0</v>
      </c>
      <c r="U91" s="21" t="s">
        <v>24</v>
      </c>
      <c r="V91" s="22">
        <f>IFERROR(RAW[[#This Row],[ACTUAL GROSS]]/RAW[[#This Row],[CONVERTED]],0)</f>
        <v>46.013231382636654</v>
      </c>
      <c r="W91" s="22">
        <f>IFERROR(RAW[[#This Row],[SALES]]/RAW[[#This Row],[HOURLY PAY]],0)</f>
        <v>116.07354739368688</v>
      </c>
    </row>
    <row r="92" spans="1:35" x14ac:dyDescent="0.35">
      <c r="A92" s="23">
        <v>45136</v>
      </c>
      <c r="B92" s="24" t="s">
        <v>21</v>
      </c>
      <c r="C92" s="25" t="s">
        <v>32</v>
      </c>
      <c r="D92" s="14" t="s">
        <v>28</v>
      </c>
      <c r="E92" s="26">
        <v>0</v>
      </c>
      <c r="F92" s="26">
        <v>0</v>
      </c>
      <c r="G92" s="26">
        <v>0</v>
      </c>
      <c r="H92" s="26">
        <v>0</v>
      </c>
      <c r="I92" s="26">
        <v>0</v>
      </c>
      <c r="J92" s="26">
        <v>0</v>
      </c>
      <c r="K92" s="26">
        <v>0</v>
      </c>
      <c r="L92" s="27">
        <v>0</v>
      </c>
      <c r="M92" s="27">
        <v>0</v>
      </c>
      <c r="N92" s="28">
        <v>0</v>
      </c>
      <c r="O92" s="26">
        <v>0</v>
      </c>
      <c r="P92" s="26">
        <v>0</v>
      </c>
      <c r="Q92" s="33">
        <v>0</v>
      </c>
      <c r="R92" s="34">
        <v>0</v>
      </c>
      <c r="S92" s="34">
        <v>0</v>
      </c>
      <c r="T92" s="20">
        <v>0</v>
      </c>
      <c r="U92" s="21" t="s">
        <v>24</v>
      </c>
      <c r="V92" s="22">
        <f>IFERROR(RAW[[#This Row],[ACTUAL GROSS]]/RAW[[#This Row],[CONVERTED]],0)</f>
        <v>0</v>
      </c>
      <c r="W92" s="22">
        <f>IFERROR(RAW[[#This Row],[SALES]]/RAW[[#This Row],[HOURLY PAY]],0)</f>
        <v>0</v>
      </c>
    </row>
    <row r="93" spans="1:35" x14ac:dyDescent="0.35">
      <c r="A93" s="23">
        <v>45136</v>
      </c>
      <c r="B93" s="24" t="s">
        <v>25</v>
      </c>
      <c r="C93" s="25" t="s">
        <v>32</v>
      </c>
      <c r="D93" s="14" t="s">
        <v>28</v>
      </c>
      <c r="E93" s="26">
        <v>1011.49</v>
      </c>
      <c r="F93" s="26">
        <v>206.97</v>
      </c>
      <c r="G93" s="26">
        <v>0</v>
      </c>
      <c r="H93" s="26">
        <v>40.459600000000002</v>
      </c>
      <c r="I93" s="26">
        <v>3.477096</v>
      </c>
      <c r="J93" s="26">
        <v>0</v>
      </c>
      <c r="K93" s="26">
        <v>163.03330399999999</v>
      </c>
      <c r="L93" s="27">
        <v>4</v>
      </c>
      <c r="M93" s="27">
        <v>27</v>
      </c>
      <c r="N93" s="28">
        <v>4.45</v>
      </c>
      <c r="O93" s="26">
        <v>9.4785000000000004</v>
      </c>
      <c r="P93" s="26">
        <v>172.51180399999998</v>
      </c>
      <c r="Q93" s="33">
        <v>172.51180399999998</v>
      </c>
      <c r="R93" s="34">
        <v>1</v>
      </c>
      <c r="S93" s="34">
        <v>0</v>
      </c>
      <c r="T93" s="20">
        <v>0</v>
      </c>
      <c r="U93" s="21" t="s">
        <v>24</v>
      </c>
      <c r="V93" s="22">
        <f>IFERROR(RAW[[#This Row],[ACTUAL GROSS]]/RAW[[#This Row],[CONVERTED]],0)</f>
        <v>38.766697528089885</v>
      </c>
      <c r="W93" s="22">
        <f>IFERROR(RAW[[#This Row],[SALES]]/RAW[[#This Row],[HOURLY PAY]],0)</f>
        <v>106.71414253310122</v>
      </c>
    </row>
    <row r="94" spans="1:35" s="38" customFormat="1" x14ac:dyDescent="0.35">
      <c r="A94" s="23">
        <v>45137</v>
      </c>
      <c r="B94" s="24" t="s">
        <v>21</v>
      </c>
      <c r="C94" s="25" t="s">
        <v>32</v>
      </c>
      <c r="D94" s="14" t="s">
        <v>29</v>
      </c>
      <c r="E94" s="26">
        <v>804</v>
      </c>
      <c r="F94" s="26">
        <v>122.2</v>
      </c>
      <c r="G94" s="26">
        <v>30</v>
      </c>
      <c r="H94" s="26">
        <v>32.160000000000004</v>
      </c>
      <c r="I94" s="26">
        <v>2.0529600000000001</v>
      </c>
      <c r="J94" s="26">
        <v>13</v>
      </c>
      <c r="K94" s="26">
        <v>87.987040000000007</v>
      </c>
      <c r="L94" s="27">
        <v>5</v>
      </c>
      <c r="M94" s="27">
        <v>28</v>
      </c>
      <c r="N94" s="28">
        <v>5.4666666666666668</v>
      </c>
      <c r="O94" s="26">
        <v>11.644</v>
      </c>
      <c r="P94" s="26">
        <v>112.63104000000001</v>
      </c>
      <c r="Q94" s="33">
        <v>129.63104000000001</v>
      </c>
      <c r="R94" s="34">
        <v>1</v>
      </c>
      <c r="S94" s="34">
        <v>1</v>
      </c>
      <c r="T94" s="20">
        <v>0</v>
      </c>
      <c r="U94" s="21" t="s">
        <v>24</v>
      </c>
      <c r="V94" s="22">
        <f>IFERROR(RAW[[#This Row],[ACTUAL GROSS]]/RAW[[#This Row],[CONVERTED]],0)</f>
        <v>23.71299512195122</v>
      </c>
      <c r="W94" s="22">
        <f>IFERROR(RAW[[#This Row],[SALES]]/RAW[[#This Row],[HOURLY PAY]],0)</f>
        <v>69.048436963242878</v>
      </c>
      <c r="X94" s="37"/>
      <c r="Y94" s="37"/>
      <c r="Z94" s="37"/>
      <c r="AA94" s="37"/>
      <c r="AB94" s="37"/>
      <c r="AC94" s="37"/>
      <c r="AD94" s="37"/>
      <c r="AE94" s="37"/>
      <c r="AF94" s="37"/>
      <c r="AG94" s="37"/>
      <c r="AH94" s="37"/>
      <c r="AI94" s="37"/>
    </row>
    <row r="95" spans="1:35" x14ac:dyDescent="0.35">
      <c r="A95" s="23">
        <v>45137</v>
      </c>
      <c r="B95" s="24" t="s">
        <v>25</v>
      </c>
      <c r="C95" s="25" t="s">
        <v>32</v>
      </c>
      <c r="D95" s="14" t="s">
        <v>29</v>
      </c>
      <c r="E95" s="26">
        <v>0</v>
      </c>
      <c r="F95" s="26">
        <v>0</v>
      </c>
      <c r="G95" s="26">
        <v>0</v>
      </c>
      <c r="H95" s="26">
        <v>0</v>
      </c>
      <c r="I95" s="26">
        <v>0</v>
      </c>
      <c r="J95" s="26">
        <v>0</v>
      </c>
      <c r="K95" s="26">
        <v>0</v>
      </c>
      <c r="L95" s="27">
        <v>0</v>
      </c>
      <c r="M95" s="27">
        <v>0</v>
      </c>
      <c r="N95" s="28">
        <v>0</v>
      </c>
      <c r="O95" s="26">
        <v>0</v>
      </c>
      <c r="P95" s="26">
        <v>0</v>
      </c>
      <c r="Q95" s="33">
        <v>0</v>
      </c>
      <c r="R95" s="34">
        <v>0</v>
      </c>
      <c r="S95" s="34">
        <v>0</v>
      </c>
      <c r="T95" s="20">
        <v>0</v>
      </c>
      <c r="U95" s="21" t="s">
        <v>24</v>
      </c>
      <c r="V95" s="22">
        <f>IFERROR(RAW[[#This Row],[ACTUAL GROSS]]/RAW[[#This Row],[CONVERTED]],0)</f>
        <v>0</v>
      </c>
      <c r="W95" s="22">
        <f>IFERROR(RAW[[#This Row],[SALES]]/RAW[[#This Row],[HOURLY PAY]],0)</f>
        <v>0</v>
      </c>
      <c r="X95" s="37"/>
      <c r="Y95" s="37"/>
      <c r="Z95" s="37"/>
      <c r="AA95" s="37"/>
      <c r="AB95" s="37"/>
      <c r="AC95" s="37"/>
      <c r="AD95" s="37"/>
      <c r="AE95" s="37"/>
      <c r="AF95" s="37"/>
      <c r="AG95" s="37"/>
      <c r="AH95" s="37"/>
      <c r="AI95" s="37"/>
    </row>
    <row r="96" spans="1:35" x14ac:dyDescent="0.35">
      <c r="A96" s="23">
        <v>45138</v>
      </c>
      <c r="B96" s="24" t="s">
        <v>21</v>
      </c>
      <c r="C96" s="25" t="s">
        <v>32</v>
      </c>
      <c r="D96" s="14" t="s">
        <v>30</v>
      </c>
      <c r="E96" s="26">
        <v>0</v>
      </c>
      <c r="F96" s="26">
        <v>0</v>
      </c>
      <c r="G96" s="26">
        <v>0</v>
      </c>
      <c r="H96" s="26">
        <v>0</v>
      </c>
      <c r="I96" s="26">
        <v>0</v>
      </c>
      <c r="J96" s="26">
        <v>0</v>
      </c>
      <c r="K96" s="26">
        <v>0</v>
      </c>
      <c r="L96" s="27">
        <v>0</v>
      </c>
      <c r="M96" s="27">
        <v>0</v>
      </c>
      <c r="N96" s="28">
        <v>0</v>
      </c>
      <c r="O96" s="26">
        <v>0</v>
      </c>
      <c r="P96" s="26">
        <v>0</v>
      </c>
      <c r="Q96" s="33">
        <v>0</v>
      </c>
      <c r="R96" s="34">
        <v>0</v>
      </c>
      <c r="S96" s="34">
        <v>0</v>
      </c>
      <c r="T96" s="20">
        <v>0</v>
      </c>
      <c r="U96" s="21" t="s">
        <v>24</v>
      </c>
      <c r="V96" s="22">
        <f>IFERROR(RAW[[#This Row],[ACTUAL GROSS]]/RAW[[#This Row],[CONVERTED]],0)</f>
        <v>0</v>
      </c>
      <c r="W96" s="22">
        <f>IFERROR(RAW[[#This Row],[SALES]]/RAW[[#This Row],[HOURLY PAY]],0)</f>
        <v>0</v>
      </c>
      <c r="X96" s="37"/>
      <c r="Y96" s="37"/>
      <c r="Z96" s="37"/>
      <c r="AA96" s="37"/>
      <c r="AB96" s="37"/>
      <c r="AC96" s="37"/>
      <c r="AD96" s="37"/>
      <c r="AE96" s="37"/>
      <c r="AF96" s="37"/>
      <c r="AG96" s="37"/>
      <c r="AH96" s="37"/>
      <c r="AI96" s="37"/>
    </row>
    <row r="97" spans="1:35" x14ac:dyDescent="0.35">
      <c r="A97" s="23">
        <v>45138</v>
      </c>
      <c r="B97" s="24" t="s">
        <v>25</v>
      </c>
      <c r="C97" s="25" t="s">
        <v>32</v>
      </c>
      <c r="D97" s="14" t="s">
        <v>30</v>
      </c>
      <c r="E97" s="26">
        <v>1304.5</v>
      </c>
      <c r="F97" s="26">
        <v>253.7</v>
      </c>
      <c r="G97" s="26">
        <v>0</v>
      </c>
      <c r="H97" s="26">
        <v>52.18</v>
      </c>
      <c r="I97" s="26">
        <v>4.2621599999999997</v>
      </c>
      <c r="J97" s="26">
        <v>0</v>
      </c>
      <c r="K97" s="26">
        <v>197.25783999999999</v>
      </c>
      <c r="L97" s="27">
        <v>4</v>
      </c>
      <c r="M97" s="27">
        <v>23</v>
      </c>
      <c r="N97" s="28">
        <v>4.3833333333333337</v>
      </c>
      <c r="O97" s="26">
        <v>9.3365000000000009</v>
      </c>
      <c r="P97" s="26">
        <v>206.59433999999999</v>
      </c>
      <c r="Q97" s="33">
        <v>206.59433999999999</v>
      </c>
      <c r="R97" s="34">
        <v>1</v>
      </c>
      <c r="S97" s="34">
        <v>0</v>
      </c>
      <c r="T97" s="20">
        <v>0</v>
      </c>
      <c r="U97" s="21" t="s">
        <v>24</v>
      </c>
      <c r="V97" s="22">
        <f>IFERROR(RAW[[#This Row],[ACTUAL GROSS]]/RAW[[#This Row],[CONVERTED]],0)</f>
        <v>47.131788593155889</v>
      </c>
      <c r="W97" s="22">
        <f>IFERROR(RAW[[#This Row],[SALES]]/RAW[[#This Row],[HOURLY PAY]],0)</f>
        <v>139.72045198950354</v>
      </c>
      <c r="X97" s="37"/>
      <c r="Y97" s="37"/>
      <c r="Z97" s="37"/>
      <c r="AA97" s="37"/>
      <c r="AB97" s="37"/>
      <c r="AC97" s="37"/>
      <c r="AD97" s="37"/>
      <c r="AE97" s="37"/>
      <c r="AF97" s="37"/>
      <c r="AG97" s="37"/>
      <c r="AH97" s="37"/>
      <c r="AI97" s="37"/>
    </row>
    <row r="98" spans="1:35" x14ac:dyDescent="0.35">
      <c r="A98" s="23">
        <v>45139</v>
      </c>
      <c r="B98" s="24" t="s">
        <v>21</v>
      </c>
      <c r="C98" s="25" t="s">
        <v>33</v>
      </c>
      <c r="D98" s="14" t="s">
        <v>31</v>
      </c>
      <c r="E98" s="26">
        <v>0</v>
      </c>
      <c r="F98" s="26">
        <v>0</v>
      </c>
      <c r="G98" s="26">
        <v>0</v>
      </c>
      <c r="H98" s="26">
        <v>0</v>
      </c>
      <c r="I98" s="26">
        <v>0</v>
      </c>
      <c r="J98" s="26">
        <v>0</v>
      </c>
      <c r="K98" s="26">
        <v>0</v>
      </c>
      <c r="L98" s="27">
        <v>0</v>
      </c>
      <c r="M98" s="27">
        <v>0</v>
      </c>
      <c r="N98" s="28">
        <v>0</v>
      </c>
      <c r="O98" s="26">
        <v>0</v>
      </c>
      <c r="P98" s="26">
        <v>0</v>
      </c>
      <c r="Q98" s="33">
        <v>0</v>
      </c>
      <c r="R98" s="34">
        <v>0</v>
      </c>
      <c r="S98" s="34">
        <v>0</v>
      </c>
      <c r="T98" s="20">
        <v>0</v>
      </c>
      <c r="U98" s="21" t="s">
        <v>24</v>
      </c>
      <c r="V98" s="22">
        <f>IFERROR(RAW[[#This Row],[ACTUAL GROSS]]/RAW[[#This Row],[CONVERTED]],0)</f>
        <v>0</v>
      </c>
      <c r="W98" s="22">
        <f>IFERROR(RAW[[#This Row],[SALES]]/RAW[[#This Row],[HOURLY PAY]],0)</f>
        <v>0</v>
      </c>
      <c r="X98" s="37"/>
      <c r="Y98" s="37"/>
      <c r="Z98" s="37"/>
      <c r="AA98" s="37"/>
      <c r="AB98" s="37"/>
      <c r="AC98" s="37"/>
      <c r="AD98" s="37"/>
      <c r="AE98" s="37"/>
      <c r="AF98" s="37"/>
      <c r="AG98" s="37"/>
      <c r="AH98" s="37"/>
      <c r="AI98" s="37"/>
    </row>
    <row r="99" spans="1:35" x14ac:dyDescent="0.35">
      <c r="A99" s="23">
        <v>45139</v>
      </c>
      <c r="B99" s="24" t="s">
        <v>25</v>
      </c>
      <c r="C99" s="25" t="s">
        <v>33</v>
      </c>
      <c r="D99" s="14" t="s">
        <v>31</v>
      </c>
      <c r="E99" s="26">
        <v>706.5</v>
      </c>
      <c r="F99" s="26">
        <v>147.30000000000001</v>
      </c>
      <c r="G99" s="26">
        <v>10</v>
      </c>
      <c r="H99" s="26">
        <v>28.26</v>
      </c>
      <c r="I99" s="26">
        <v>2.47464</v>
      </c>
      <c r="J99" s="26">
        <v>0</v>
      </c>
      <c r="K99" s="26">
        <v>116.56536000000001</v>
      </c>
      <c r="L99" s="27">
        <v>5</v>
      </c>
      <c r="M99" s="27">
        <v>26</v>
      </c>
      <c r="N99" s="28">
        <v>5.4333333333333336</v>
      </c>
      <c r="O99" s="26">
        <v>11.573</v>
      </c>
      <c r="P99" s="26">
        <v>128.13836000000001</v>
      </c>
      <c r="Q99" s="33">
        <v>138.13836000000001</v>
      </c>
      <c r="R99" s="34">
        <v>1</v>
      </c>
      <c r="S99" s="34">
        <v>0</v>
      </c>
      <c r="T99" s="20">
        <v>0</v>
      </c>
      <c r="U99" s="21" t="s">
        <v>24</v>
      </c>
      <c r="V99" s="22">
        <f>IFERROR(RAW[[#This Row],[ACTUAL GROSS]]/RAW[[#This Row],[CONVERTED]],0)</f>
        <v>25.424238036809815</v>
      </c>
      <c r="W99" s="22">
        <f>IFERROR(RAW[[#This Row],[SALES]]/RAW[[#This Row],[HOURLY PAY]],0)</f>
        <v>61.04726518620928</v>
      </c>
      <c r="X99" s="37"/>
      <c r="Y99" s="37"/>
      <c r="Z99" s="37"/>
      <c r="AA99" s="37"/>
      <c r="AB99" s="37"/>
      <c r="AC99" s="37"/>
      <c r="AD99" s="37"/>
      <c r="AE99" s="37"/>
      <c r="AF99" s="37"/>
      <c r="AG99" s="37"/>
      <c r="AH99" s="37"/>
      <c r="AI99" s="37"/>
    </row>
    <row r="100" spans="1:35" s="39" customFormat="1" x14ac:dyDescent="0.35">
      <c r="A100" s="23">
        <v>45140</v>
      </c>
      <c r="B100" s="24" t="s">
        <v>21</v>
      </c>
      <c r="C100" s="25" t="s">
        <v>33</v>
      </c>
      <c r="D100" s="14" t="s">
        <v>23</v>
      </c>
      <c r="E100" s="26">
        <v>763</v>
      </c>
      <c r="F100" s="26">
        <v>139.63</v>
      </c>
      <c r="G100" s="26">
        <v>0</v>
      </c>
      <c r="H100" s="26">
        <v>30.52</v>
      </c>
      <c r="I100" s="26">
        <v>2.3457839999999996</v>
      </c>
      <c r="J100" s="26">
        <v>0</v>
      </c>
      <c r="K100" s="26">
        <v>106.764216</v>
      </c>
      <c r="L100" s="27">
        <v>3</v>
      </c>
      <c r="M100" s="27">
        <v>35</v>
      </c>
      <c r="N100" s="28">
        <v>3.5833333333333335</v>
      </c>
      <c r="O100" s="29">
        <v>7.6325000000000003</v>
      </c>
      <c r="P100" s="29">
        <v>114.396716</v>
      </c>
      <c r="Q100" s="30">
        <v>114.396716</v>
      </c>
      <c r="R100" s="20">
        <v>1</v>
      </c>
      <c r="S100" s="34">
        <v>1</v>
      </c>
      <c r="T100" s="20">
        <v>0</v>
      </c>
      <c r="U100" s="21" t="s">
        <v>34</v>
      </c>
      <c r="V100" s="22">
        <f>IFERROR(RAW[[#This Row],[ACTUAL GROSS]]/RAW[[#This Row],[CONVERTED]],0)</f>
        <v>31.924664930232556</v>
      </c>
      <c r="W100" s="22">
        <f>IFERROR(RAW[[#This Row],[SALES]]/RAW[[#This Row],[HOURLY PAY]],0)</f>
        <v>99.967245332459868</v>
      </c>
      <c r="X100" s="37"/>
      <c r="Y100" s="37"/>
      <c r="Z100" s="37"/>
      <c r="AA100" s="37"/>
      <c r="AB100" s="37"/>
      <c r="AC100" s="37"/>
      <c r="AD100" s="37"/>
      <c r="AE100" s="37"/>
      <c r="AF100" s="37"/>
      <c r="AG100" s="37"/>
      <c r="AH100" s="37"/>
      <c r="AI100" s="37"/>
    </row>
    <row r="101" spans="1:35" s="40" customFormat="1" x14ac:dyDescent="0.35">
      <c r="A101" s="23">
        <v>45140</v>
      </c>
      <c r="B101" s="24" t="s">
        <v>25</v>
      </c>
      <c r="C101" s="25" t="s">
        <v>33</v>
      </c>
      <c r="D101" s="14" t="s">
        <v>23</v>
      </c>
      <c r="E101" s="26">
        <v>477</v>
      </c>
      <c r="F101" s="26">
        <v>108</v>
      </c>
      <c r="G101" s="26">
        <v>0</v>
      </c>
      <c r="H101" s="26">
        <v>19.080000000000002</v>
      </c>
      <c r="I101" s="26">
        <v>1.8143999999999998</v>
      </c>
      <c r="J101" s="26">
        <v>0</v>
      </c>
      <c r="K101" s="26">
        <v>87.105599999999995</v>
      </c>
      <c r="L101" s="27">
        <v>3</v>
      </c>
      <c r="M101" s="27">
        <v>30</v>
      </c>
      <c r="N101" s="28">
        <v>3.5</v>
      </c>
      <c r="O101" s="26">
        <v>7.4550000000000001</v>
      </c>
      <c r="P101" s="26">
        <v>94.560599999999994</v>
      </c>
      <c r="Q101" s="33">
        <v>94.560599999999994</v>
      </c>
      <c r="R101" s="34">
        <v>1</v>
      </c>
      <c r="S101" s="34">
        <v>0</v>
      </c>
      <c r="T101" s="20">
        <v>1</v>
      </c>
      <c r="U101" s="21" t="s">
        <v>34</v>
      </c>
      <c r="V101" s="22">
        <f>IFERROR(RAW[[#This Row],[ACTUAL GROSS]]/RAW[[#This Row],[CONVERTED]],0)</f>
        <v>27.017314285714285</v>
      </c>
      <c r="W101" s="22">
        <f>IFERROR(RAW[[#This Row],[SALES]]/RAW[[#This Row],[HOURLY PAY]],0)</f>
        <v>63.983903420523141</v>
      </c>
      <c r="X101" s="37"/>
      <c r="Y101" s="37"/>
      <c r="Z101" s="37"/>
      <c r="AA101" s="37"/>
      <c r="AB101" s="37"/>
      <c r="AC101" s="37"/>
      <c r="AD101" s="37"/>
      <c r="AE101" s="37"/>
      <c r="AF101" s="37"/>
      <c r="AG101" s="37"/>
      <c r="AH101" s="37"/>
      <c r="AI101" s="37"/>
    </row>
    <row r="102" spans="1:35" x14ac:dyDescent="0.35">
      <c r="A102" s="23">
        <v>45141</v>
      </c>
      <c r="B102" s="24" t="s">
        <v>21</v>
      </c>
      <c r="C102" s="25" t="s">
        <v>33</v>
      </c>
      <c r="D102" s="14" t="s">
        <v>26</v>
      </c>
      <c r="E102" s="26">
        <v>0</v>
      </c>
      <c r="F102" s="26">
        <v>0</v>
      </c>
      <c r="G102" s="26">
        <v>0</v>
      </c>
      <c r="H102" s="26">
        <v>0</v>
      </c>
      <c r="I102" s="26">
        <v>0</v>
      </c>
      <c r="J102" s="26">
        <v>0</v>
      </c>
      <c r="K102" s="26">
        <v>0</v>
      </c>
      <c r="L102" s="27">
        <v>0</v>
      </c>
      <c r="M102" s="27">
        <v>0</v>
      </c>
      <c r="N102" s="28">
        <v>0</v>
      </c>
      <c r="O102" s="26">
        <v>0</v>
      </c>
      <c r="P102" s="26">
        <v>0</v>
      </c>
      <c r="Q102" s="33">
        <v>0</v>
      </c>
      <c r="R102" s="34">
        <v>0</v>
      </c>
      <c r="S102" s="34">
        <v>0</v>
      </c>
      <c r="T102" s="20">
        <v>0</v>
      </c>
      <c r="U102" s="21" t="s">
        <v>24</v>
      </c>
      <c r="V102" s="22">
        <f>IFERROR(RAW[[#This Row],[ACTUAL GROSS]]/RAW[[#This Row],[CONVERTED]],0)</f>
        <v>0</v>
      </c>
      <c r="W102" s="22">
        <f>IFERROR(RAW[[#This Row],[SALES]]/RAW[[#This Row],[HOURLY PAY]],0)</f>
        <v>0</v>
      </c>
      <c r="X102" s="37"/>
      <c r="Y102" s="37"/>
      <c r="Z102" s="37"/>
      <c r="AA102" s="37"/>
      <c r="AB102" s="37"/>
      <c r="AC102" s="37"/>
      <c r="AD102" s="37"/>
      <c r="AE102" s="37"/>
      <c r="AF102" s="37"/>
      <c r="AG102" s="37"/>
      <c r="AH102" s="37"/>
      <c r="AI102" s="37"/>
    </row>
    <row r="103" spans="1:35" x14ac:dyDescent="0.35">
      <c r="A103" s="23">
        <v>45141</v>
      </c>
      <c r="B103" s="24" t="s">
        <v>25</v>
      </c>
      <c r="C103" s="25" t="s">
        <v>33</v>
      </c>
      <c r="D103" s="14" t="s">
        <v>26</v>
      </c>
      <c r="E103" s="26">
        <v>0</v>
      </c>
      <c r="F103" s="26">
        <v>0</v>
      </c>
      <c r="G103" s="26">
        <v>0</v>
      </c>
      <c r="H103" s="26">
        <v>0</v>
      </c>
      <c r="I103" s="26">
        <v>0</v>
      </c>
      <c r="J103" s="26">
        <v>0</v>
      </c>
      <c r="K103" s="26">
        <v>0</v>
      </c>
      <c r="L103" s="27">
        <v>0</v>
      </c>
      <c r="M103" s="27">
        <v>0</v>
      </c>
      <c r="N103" s="28">
        <v>0</v>
      </c>
      <c r="O103" s="26">
        <v>0</v>
      </c>
      <c r="P103" s="26">
        <v>0</v>
      </c>
      <c r="Q103" s="33">
        <v>0</v>
      </c>
      <c r="R103" s="34">
        <v>0</v>
      </c>
      <c r="S103" s="34">
        <v>0</v>
      </c>
      <c r="T103" s="20">
        <v>0</v>
      </c>
      <c r="U103" s="21" t="s">
        <v>24</v>
      </c>
      <c r="V103" s="22">
        <f>IFERROR(RAW[[#This Row],[ACTUAL GROSS]]/RAW[[#This Row],[CONVERTED]],0)</f>
        <v>0</v>
      </c>
      <c r="W103" s="22">
        <f>IFERROR(RAW[[#This Row],[SALES]]/RAW[[#This Row],[HOURLY PAY]],0)</f>
        <v>0</v>
      </c>
    </row>
    <row r="104" spans="1:35" x14ac:dyDescent="0.35">
      <c r="A104" s="23">
        <v>45142</v>
      </c>
      <c r="B104" s="24" t="s">
        <v>21</v>
      </c>
      <c r="C104" s="25" t="s">
        <v>33</v>
      </c>
      <c r="D104" s="14" t="s">
        <v>27</v>
      </c>
      <c r="E104" s="26">
        <v>1016.33</v>
      </c>
      <c r="F104" s="26">
        <v>189.12</v>
      </c>
      <c r="G104" s="26">
        <v>7</v>
      </c>
      <c r="H104" s="26">
        <v>40.653200000000005</v>
      </c>
      <c r="I104" s="26">
        <v>3.177216</v>
      </c>
      <c r="J104" s="26">
        <v>0</v>
      </c>
      <c r="K104" s="26">
        <v>145.28958399999999</v>
      </c>
      <c r="L104" s="27">
        <v>4</v>
      </c>
      <c r="M104" s="27">
        <v>47</v>
      </c>
      <c r="N104" s="28">
        <v>4.7833333333333332</v>
      </c>
      <c r="O104" s="26">
        <v>10.188499999999999</v>
      </c>
      <c r="P104" s="26">
        <v>155.478084</v>
      </c>
      <c r="Q104" s="33">
        <v>162.478084</v>
      </c>
      <c r="R104" s="34">
        <v>1</v>
      </c>
      <c r="S104" s="34">
        <v>1</v>
      </c>
      <c r="T104" s="20">
        <v>0</v>
      </c>
      <c r="U104" s="21" t="s">
        <v>34</v>
      </c>
      <c r="V104" s="22">
        <f>IFERROR(RAW[[#This Row],[ACTUAL GROSS]]/RAW[[#This Row],[CONVERTED]],0)</f>
        <v>33.967543693379788</v>
      </c>
      <c r="W104" s="22">
        <f>IFERROR(RAW[[#This Row],[SALES]]/RAW[[#This Row],[HOURLY PAY]],0)</f>
        <v>99.752662315355551</v>
      </c>
    </row>
    <row r="105" spans="1:35" x14ac:dyDescent="0.35">
      <c r="A105" s="23">
        <v>45142</v>
      </c>
      <c r="B105" s="24" t="s">
        <v>25</v>
      </c>
      <c r="C105" s="25" t="s">
        <v>33</v>
      </c>
      <c r="D105" s="14" t="s">
        <v>27</v>
      </c>
      <c r="E105" s="26">
        <v>1194</v>
      </c>
      <c r="F105" s="26">
        <v>181.65</v>
      </c>
      <c r="G105" s="26">
        <v>40</v>
      </c>
      <c r="H105" s="26">
        <v>47.76</v>
      </c>
      <c r="I105" s="26">
        <v>3.05172</v>
      </c>
      <c r="J105" s="26">
        <v>22.5</v>
      </c>
      <c r="K105" s="26">
        <v>130.83828</v>
      </c>
      <c r="L105" s="27">
        <v>4</v>
      </c>
      <c r="M105" s="27">
        <v>37</v>
      </c>
      <c r="N105" s="28">
        <v>4.6166666666666663</v>
      </c>
      <c r="O105" s="26">
        <v>9.833499999999999</v>
      </c>
      <c r="P105" s="26">
        <v>163.17177999999998</v>
      </c>
      <c r="Q105" s="33">
        <v>180.67177999999998</v>
      </c>
      <c r="R105" s="34">
        <v>1</v>
      </c>
      <c r="S105" s="34">
        <v>0</v>
      </c>
      <c r="T105" s="20">
        <v>1</v>
      </c>
      <c r="U105" s="21" t="s">
        <v>34</v>
      </c>
      <c r="V105" s="22">
        <f>IFERROR(RAW[[#This Row],[ACTUAL GROSS]]/RAW[[#This Row],[CONVERTED]],0)</f>
        <v>39.134681588447656</v>
      </c>
      <c r="W105" s="22">
        <f>IFERROR(RAW[[#This Row],[SALES]]/RAW[[#This Row],[HOURLY PAY]],0)</f>
        <v>121.42167081913867</v>
      </c>
    </row>
    <row r="106" spans="1:35" x14ac:dyDescent="0.35">
      <c r="A106" s="23">
        <v>45143</v>
      </c>
      <c r="B106" s="24" t="s">
        <v>21</v>
      </c>
      <c r="C106" s="25" t="s">
        <v>33</v>
      </c>
      <c r="D106" s="14" t="s">
        <v>28</v>
      </c>
      <c r="E106" s="26">
        <v>0</v>
      </c>
      <c r="F106" s="26">
        <v>0</v>
      </c>
      <c r="G106" s="26">
        <v>0</v>
      </c>
      <c r="H106" s="26">
        <v>0</v>
      </c>
      <c r="I106" s="26">
        <v>0</v>
      </c>
      <c r="J106" s="26">
        <v>0</v>
      </c>
      <c r="K106" s="26">
        <v>0</v>
      </c>
      <c r="L106" s="27">
        <v>0</v>
      </c>
      <c r="M106" s="27">
        <v>0</v>
      </c>
      <c r="N106" s="28">
        <v>0</v>
      </c>
      <c r="O106" s="26">
        <v>0</v>
      </c>
      <c r="P106" s="26">
        <v>0</v>
      </c>
      <c r="Q106" s="33">
        <v>0</v>
      </c>
      <c r="R106" s="34">
        <v>0</v>
      </c>
      <c r="S106" s="34">
        <v>0</v>
      </c>
      <c r="T106" s="20">
        <v>0</v>
      </c>
      <c r="U106" s="21" t="s">
        <v>24</v>
      </c>
      <c r="V106" s="22">
        <f>IFERROR(RAW[[#This Row],[ACTUAL GROSS]]/RAW[[#This Row],[CONVERTED]],0)</f>
        <v>0</v>
      </c>
      <c r="W106" s="22">
        <f>IFERROR(RAW[[#This Row],[SALES]]/RAW[[#This Row],[HOURLY PAY]],0)</f>
        <v>0</v>
      </c>
    </row>
    <row r="107" spans="1:35" x14ac:dyDescent="0.35">
      <c r="A107" s="23">
        <v>45143</v>
      </c>
      <c r="B107" s="24" t="s">
        <v>25</v>
      </c>
      <c r="C107" s="25" t="s">
        <v>33</v>
      </c>
      <c r="D107" s="14" t="s">
        <v>28</v>
      </c>
      <c r="E107" s="26">
        <v>1669.5</v>
      </c>
      <c r="F107" s="26">
        <v>305.42</v>
      </c>
      <c r="G107" s="26">
        <v>20</v>
      </c>
      <c r="H107" s="26">
        <v>66.78</v>
      </c>
      <c r="I107" s="26">
        <v>5.1310560000000001</v>
      </c>
      <c r="J107" s="26">
        <v>6</v>
      </c>
      <c r="K107" s="26">
        <v>233.50894400000001</v>
      </c>
      <c r="L107" s="27">
        <v>6</v>
      </c>
      <c r="M107" s="27">
        <v>15</v>
      </c>
      <c r="N107" s="28">
        <v>6.25</v>
      </c>
      <c r="O107" s="26">
        <v>13.3125</v>
      </c>
      <c r="P107" s="26">
        <v>252.82144400000001</v>
      </c>
      <c r="Q107" s="33">
        <v>266.82144400000004</v>
      </c>
      <c r="R107" s="34">
        <v>1</v>
      </c>
      <c r="S107" s="34">
        <v>0</v>
      </c>
      <c r="T107" s="20">
        <v>0</v>
      </c>
      <c r="U107" s="21" t="s">
        <v>24</v>
      </c>
      <c r="V107" s="22">
        <f>IFERROR(RAW[[#This Row],[ACTUAL GROSS]]/RAW[[#This Row],[CONVERTED]],0)</f>
        <v>42.691431040000005</v>
      </c>
      <c r="W107" s="22">
        <f>IFERROR(RAW[[#This Row],[SALES]]/RAW[[#This Row],[HOURLY PAY]],0)</f>
        <v>125.40845070422536</v>
      </c>
    </row>
    <row r="108" spans="1:35" x14ac:dyDescent="0.35">
      <c r="A108" s="23">
        <v>45144</v>
      </c>
      <c r="B108" s="24" t="s">
        <v>21</v>
      </c>
      <c r="C108" s="25" t="s">
        <v>33</v>
      </c>
      <c r="D108" s="14" t="s">
        <v>29</v>
      </c>
      <c r="E108" s="26">
        <v>0</v>
      </c>
      <c r="F108" s="26">
        <v>0</v>
      </c>
      <c r="G108" s="26">
        <v>0</v>
      </c>
      <c r="H108" s="26">
        <v>0</v>
      </c>
      <c r="I108" s="26">
        <v>0</v>
      </c>
      <c r="J108" s="26">
        <v>0</v>
      </c>
      <c r="K108" s="26">
        <v>0</v>
      </c>
      <c r="L108" s="27">
        <v>0</v>
      </c>
      <c r="M108" s="27">
        <v>0</v>
      </c>
      <c r="N108" s="28">
        <v>0</v>
      </c>
      <c r="O108" s="26">
        <v>0</v>
      </c>
      <c r="P108" s="26">
        <v>0</v>
      </c>
      <c r="Q108" s="33">
        <v>0</v>
      </c>
      <c r="R108" s="34">
        <v>0</v>
      </c>
      <c r="S108" s="34">
        <v>0</v>
      </c>
      <c r="T108" s="20">
        <v>0</v>
      </c>
      <c r="U108" s="21" t="s">
        <v>24</v>
      </c>
      <c r="V108" s="22">
        <f>IFERROR(RAW[[#This Row],[ACTUAL GROSS]]/RAW[[#This Row],[CONVERTED]],0)</f>
        <v>0</v>
      </c>
      <c r="W108" s="22">
        <f>IFERROR(RAW[[#This Row],[SALES]]/RAW[[#This Row],[HOURLY PAY]],0)</f>
        <v>0</v>
      </c>
    </row>
    <row r="109" spans="1:35" x14ac:dyDescent="0.35">
      <c r="A109" s="23">
        <v>45144</v>
      </c>
      <c r="B109" s="24" t="s">
        <v>25</v>
      </c>
      <c r="C109" s="25" t="s">
        <v>33</v>
      </c>
      <c r="D109" s="14" t="s">
        <v>29</v>
      </c>
      <c r="E109" s="26">
        <v>0</v>
      </c>
      <c r="F109" s="26">
        <v>0</v>
      </c>
      <c r="G109" s="26">
        <v>0</v>
      </c>
      <c r="H109" s="26">
        <v>0</v>
      </c>
      <c r="I109" s="26">
        <v>0</v>
      </c>
      <c r="J109" s="26">
        <v>0</v>
      </c>
      <c r="K109" s="26">
        <v>0</v>
      </c>
      <c r="L109" s="27">
        <v>0</v>
      </c>
      <c r="M109" s="27">
        <v>0</v>
      </c>
      <c r="N109" s="28">
        <v>0</v>
      </c>
      <c r="O109" s="26">
        <v>0</v>
      </c>
      <c r="P109" s="26">
        <v>0</v>
      </c>
      <c r="Q109" s="33">
        <v>0</v>
      </c>
      <c r="R109" s="34">
        <v>0</v>
      </c>
      <c r="S109" s="34">
        <v>0</v>
      </c>
      <c r="T109" s="20">
        <v>0</v>
      </c>
      <c r="U109" s="21" t="s">
        <v>24</v>
      </c>
      <c r="V109" s="22">
        <f>IFERROR(RAW[[#This Row],[ACTUAL GROSS]]/RAW[[#This Row],[CONVERTED]],0)</f>
        <v>0</v>
      </c>
      <c r="W109" s="22">
        <f>IFERROR(RAW[[#This Row],[SALES]]/RAW[[#This Row],[HOURLY PAY]],0)</f>
        <v>0</v>
      </c>
    </row>
    <row r="110" spans="1:35" x14ac:dyDescent="0.35">
      <c r="A110" s="23">
        <v>45145</v>
      </c>
      <c r="B110" s="24" t="s">
        <v>21</v>
      </c>
      <c r="C110" s="25" t="s">
        <v>33</v>
      </c>
      <c r="D110" s="14" t="s">
        <v>30</v>
      </c>
      <c r="E110" s="26">
        <v>518.5</v>
      </c>
      <c r="F110" s="26">
        <v>99.91</v>
      </c>
      <c r="G110" s="26">
        <v>0</v>
      </c>
      <c r="H110" s="26">
        <v>20.740000000000002</v>
      </c>
      <c r="I110" s="26">
        <v>1.6784879999999998</v>
      </c>
      <c r="J110" s="26">
        <v>0</v>
      </c>
      <c r="K110" s="26">
        <v>77.491512</v>
      </c>
      <c r="L110" s="27">
        <v>3</v>
      </c>
      <c r="M110" s="27">
        <v>45</v>
      </c>
      <c r="N110" s="28">
        <v>3.75</v>
      </c>
      <c r="O110" s="26">
        <v>7.9874999999999998</v>
      </c>
      <c r="P110" s="26">
        <v>85.479011999999997</v>
      </c>
      <c r="Q110" s="33">
        <v>85.479011999999997</v>
      </c>
      <c r="R110" s="34">
        <v>1</v>
      </c>
      <c r="S110" s="34">
        <v>1</v>
      </c>
      <c r="T110" s="20">
        <v>0</v>
      </c>
      <c r="U110" s="21" t="s">
        <v>34</v>
      </c>
      <c r="V110" s="22">
        <f>IFERROR(RAW[[#This Row],[ACTUAL GROSS]]/RAW[[#This Row],[CONVERTED]],0)</f>
        <v>22.794403199999998</v>
      </c>
      <c r="W110" s="22">
        <f>IFERROR(RAW[[#This Row],[SALES]]/RAW[[#This Row],[HOURLY PAY]],0)</f>
        <v>64.913928012519563</v>
      </c>
    </row>
    <row r="111" spans="1:35" x14ac:dyDescent="0.35">
      <c r="A111" s="23">
        <v>45145</v>
      </c>
      <c r="B111" s="24" t="s">
        <v>25</v>
      </c>
      <c r="C111" s="25" t="s">
        <v>33</v>
      </c>
      <c r="D111" s="14" t="s">
        <v>30</v>
      </c>
      <c r="E111" s="26">
        <v>1184</v>
      </c>
      <c r="F111" s="26">
        <v>232.94</v>
      </c>
      <c r="G111" s="26">
        <v>10</v>
      </c>
      <c r="H111" s="26">
        <v>47.36</v>
      </c>
      <c r="I111" s="26">
        <v>3.9133919999999995</v>
      </c>
      <c r="J111" s="26">
        <v>0</v>
      </c>
      <c r="K111" s="26">
        <v>181.666608</v>
      </c>
      <c r="L111" s="27">
        <v>4</v>
      </c>
      <c r="M111" s="27">
        <v>37</v>
      </c>
      <c r="N111" s="28">
        <v>4.6166666666666663</v>
      </c>
      <c r="O111" s="26">
        <v>9.833499999999999</v>
      </c>
      <c r="P111" s="26">
        <v>191.50010799999998</v>
      </c>
      <c r="Q111" s="33">
        <v>201.50010799999998</v>
      </c>
      <c r="R111" s="34">
        <v>1</v>
      </c>
      <c r="S111" s="34">
        <v>0</v>
      </c>
      <c r="T111" s="20">
        <v>1</v>
      </c>
      <c r="U111" s="21" t="s">
        <v>34</v>
      </c>
      <c r="V111" s="22">
        <f>IFERROR(RAW[[#This Row],[ACTUAL GROSS]]/RAW[[#This Row],[CONVERTED]],0)</f>
        <v>43.646232779783396</v>
      </c>
      <c r="W111" s="22">
        <f>IFERROR(RAW[[#This Row],[SALES]]/RAW[[#This Row],[HOURLY PAY]],0)</f>
        <v>120.40473890273047</v>
      </c>
    </row>
    <row r="112" spans="1:35" x14ac:dyDescent="0.35">
      <c r="A112" s="23">
        <v>45146</v>
      </c>
      <c r="B112" s="24" t="s">
        <v>21</v>
      </c>
      <c r="C112" s="25" t="s">
        <v>33</v>
      </c>
      <c r="D112" s="14" t="s">
        <v>31</v>
      </c>
      <c r="E112" s="26">
        <v>697</v>
      </c>
      <c r="F112" s="26">
        <v>147.28</v>
      </c>
      <c r="G112" s="26">
        <v>0</v>
      </c>
      <c r="H112" s="26">
        <v>27.88</v>
      </c>
      <c r="I112" s="26">
        <v>2.4743040000000001</v>
      </c>
      <c r="J112" s="26">
        <v>0</v>
      </c>
      <c r="K112" s="26">
        <v>116.925696</v>
      </c>
      <c r="L112" s="27">
        <v>3</v>
      </c>
      <c r="M112" s="27">
        <v>52</v>
      </c>
      <c r="N112" s="28">
        <v>3.8666666666666667</v>
      </c>
      <c r="O112" s="26">
        <v>8.2359999999999989</v>
      </c>
      <c r="P112" s="26">
        <v>125.16169600000001</v>
      </c>
      <c r="Q112" s="33">
        <v>125.16169600000001</v>
      </c>
      <c r="R112" s="34">
        <v>1</v>
      </c>
      <c r="S112" s="34">
        <v>1</v>
      </c>
      <c r="T112" s="20">
        <v>0</v>
      </c>
      <c r="U112" s="21" t="s">
        <v>24</v>
      </c>
      <c r="V112" s="22">
        <f>IFERROR(RAW[[#This Row],[ACTUAL GROSS]]/RAW[[#This Row],[CONVERTED]],0)</f>
        <v>32.369404137931035</v>
      </c>
      <c r="W112" s="22">
        <f>IFERROR(RAW[[#This Row],[SALES]]/RAW[[#This Row],[HOURLY PAY]],0)</f>
        <v>84.628460417678497</v>
      </c>
    </row>
    <row r="113" spans="1:23" x14ac:dyDescent="0.35">
      <c r="A113" s="23">
        <v>45146</v>
      </c>
      <c r="B113" s="24" t="s">
        <v>25</v>
      </c>
      <c r="C113" s="25" t="s">
        <v>33</v>
      </c>
      <c r="D113" s="14" t="s">
        <v>31</v>
      </c>
      <c r="E113" s="26">
        <v>0</v>
      </c>
      <c r="F113" s="26">
        <v>0</v>
      </c>
      <c r="G113" s="26">
        <v>0</v>
      </c>
      <c r="H113" s="26">
        <v>0</v>
      </c>
      <c r="I113" s="26">
        <v>0</v>
      </c>
      <c r="J113" s="26">
        <v>0</v>
      </c>
      <c r="K113" s="26">
        <v>0</v>
      </c>
      <c r="L113" s="27">
        <v>0</v>
      </c>
      <c r="M113" s="27">
        <v>0</v>
      </c>
      <c r="N113" s="28">
        <v>0</v>
      </c>
      <c r="O113" s="26">
        <v>0</v>
      </c>
      <c r="P113" s="26">
        <v>0</v>
      </c>
      <c r="Q113" s="33">
        <v>0</v>
      </c>
      <c r="R113" s="34">
        <v>0</v>
      </c>
      <c r="S113" s="34">
        <v>0</v>
      </c>
      <c r="T113" s="20">
        <v>0</v>
      </c>
      <c r="U113" s="21" t="s">
        <v>24</v>
      </c>
      <c r="V113" s="22">
        <f>IFERROR(RAW[[#This Row],[ACTUAL GROSS]]/RAW[[#This Row],[CONVERTED]],0)</f>
        <v>0</v>
      </c>
      <c r="W113" s="22">
        <f>IFERROR(RAW[[#This Row],[SALES]]/RAW[[#This Row],[HOURLY PAY]],0)</f>
        <v>0</v>
      </c>
    </row>
    <row r="114" spans="1:23" x14ac:dyDescent="0.35">
      <c r="A114" s="23">
        <v>45147</v>
      </c>
      <c r="B114" s="24" t="s">
        <v>21</v>
      </c>
      <c r="C114" s="25" t="s">
        <v>33</v>
      </c>
      <c r="D114" s="14" t="s">
        <v>23</v>
      </c>
      <c r="E114" s="26">
        <v>0</v>
      </c>
      <c r="F114" s="26">
        <v>0</v>
      </c>
      <c r="G114" s="26">
        <v>0</v>
      </c>
      <c r="H114" s="26">
        <v>0</v>
      </c>
      <c r="I114" s="26">
        <v>0</v>
      </c>
      <c r="J114" s="26">
        <v>0</v>
      </c>
      <c r="K114" s="26">
        <v>0</v>
      </c>
      <c r="L114" s="27">
        <v>0</v>
      </c>
      <c r="M114" s="27">
        <v>0</v>
      </c>
      <c r="N114" s="28">
        <v>0</v>
      </c>
      <c r="O114" s="29">
        <v>0</v>
      </c>
      <c r="P114" s="29">
        <v>0</v>
      </c>
      <c r="Q114" s="30">
        <v>0</v>
      </c>
      <c r="R114" s="20">
        <v>0</v>
      </c>
      <c r="S114" s="34">
        <v>0</v>
      </c>
      <c r="T114" s="20">
        <v>0</v>
      </c>
      <c r="U114" s="21" t="s">
        <v>24</v>
      </c>
      <c r="V114" s="22">
        <f>IFERROR(RAW[[#This Row],[ACTUAL GROSS]]/RAW[[#This Row],[CONVERTED]],0)</f>
        <v>0</v>
      </c>
      <c r="W114" s="22">
        <f>IFERROR(RAW[[#This Row],[SALES]]/RAW[[#This Row],[HOURLY PAY]],0)</f>
        <v>0</v>
      </c>
    </row>
    <row r="115" spans="1:23" x14ac:dyDescent="0.35">
      <c r="A115" s="23">
        <v>45147</v>
      </c>
      <c r="B115" s="24" t="s">
        <v>25</v>
      </c>
      <c r="C115" s="25" t="s">
        <v>33</v>
      </c>
      <c r="D115" s="14" t="s">
        <v>23</v>
      </c>
      <c r="E115" s="26">
        <v>1060.27</v>
      </c>
      <c r="F115" s="26">
        <v>165.53</v>
      </c>
      <c r="G115" s="26">
        <v>0</v>
      </c>
      <c r="H115" s="26">
        <v>42.410800000000002</v>
      </c>
      <c r="I115" s="26">
        <v>2.780904</v>
      </c>
      <c r="J115" s="26">
        <v>0</v>
      </c>
      <c r="K115" s="26">
        <v>120.338296</v>
      </c>
      <c r="L115" s="27">
        <v>5</v>
      </c>
      <c r="M115" s="27">
        <v>54</v>
      </c>
      <c r="N115" s="28">
        <v>5.9</v>
      </c>
      <c r="O115" s="26">
        <v>12.567</v>
      </c>
      <c r="P115" s="26">
        <v>132.90529599999999</v>
      </c>
      <c r="Q115" s="33">
        <v>132.90529599999999</v>
      </c>
      <c r="R115" s="34">
        <v>1</v>
      </c>
      <c r="S115" s="34">
        <v>0</v>
      </c>
      <c r="T115" s="20">
        <v>0</v>
      </c>
      <c r="U115" s="21" t="s">
        <v>24</v>
      </c>
      <c r="V115" s="22">
        <f>IFERROR(RAW[[#This Row],[ACTUAL GROSS]]/RAW[[#This Row],[CONVERTED]],0)</f>
        <v>22.5263213559322</v>
      </c>
      <c r="W115" s="22">
        <f>IFERROR(RAW[[#This Row],[SALES]]/RAW[[#This Row],[HOURLY PAY]],0)</f>
        <v>84.369380122543163</v>
      </c>
    </row>
    <row r="116" spans="1:23" x14ac:dyDescent="0.35">
      <c r="A116" s="23">
        <v>45148</v>
      </c>
      <c r="B116" s="24" t="s">
        <v>21</v>
      </c>
      <c r="C116" s="25" t="s">
        <v>33</v>
      </c>
      <c r="D116" s="14" t="s">
        <v>26</v>
      </c>
      <c r="E116" s="26">
        <v>0</v>
      </c>
      <c r="F116" s="26">
        <v>0</v>
      </c>
      <c r="G116" s="26">
        <v>0</v>
      </c>
      <c r="H116" s="26">
        <v>0</v>
      </c>
      <c r="I116" s="26">
        <v>0</v>
      </c>
      <c r="J116" s="26">
        <v>0</v>
      </c>
      <c r="K116" s="26">
        <v>0</v>
      </c>
      <c r="L116" s="27">
        <v>0</v>
      </c>
      <c r="M116" s="27">
        <v>0</v>
      </c>
      <c r="N116" s="28">
        <v>0</v>
      </c>
      <c r="O116" s="26">
        <v>0</v>
      </c>
      <c r="P116" s="26">
        <v>0</v>
      </c>
      <c r="Q116" s="33">
        <v>0</v>
      </c>
      <c r="R116" s="34">
        <v>0</v>
      </c>
      <c r="S116" s="34">
        <v>0</v>
      </c>
      <c r="T116" s="20">
        <v>0</v>
      </c>
      <c r="U116" s="21" t="s">
        <v>24</v>
      </c>
      <c r="V116" s="22">
        <f>IFERROR(RAW[[#This Row],[ACTUAL GROSS]]/RAW[[#This Row],[CONVERTED]],0)</f>
        <v>0</v>
      </c>
      <c r="W116" s="22">
        <f>IFERROR(RAW[[#This Row],[SALES]]/RAW[[#This Row],[HOURLY PAY]],0)</f>
        <v>0</v>
      </c>
    </row>
    <row r="117" spans="1:23" x14ac:dyDescent="0.35">
      <c r="A117" s="23">
        <v>45148</v>
      </c>
      <c r="B117" s="24" t="s">
        <v>25</v>
      </c>
      <c r="C117" s="25" t="s">
        <v>33</v>
      </c>
      <c r="D117" s="14" t="s">
        <v>26</v>
      </c>
      <c r="E117" s="26">
        <v>0</v>
      </c>
      <c r="F117" s="26">
        <v>0</v>
      </c>
      <c r="G117" s="26">
        <v>0</v>
      </c>
      <c r="H117" s="26">
        <v>0</v>
      </c>
      <c r="I117" s="26">
        <v>0</v>
      </c>
      <c r="J117" s="26">
        <v>0</v>
      </c>
      <c r="K117" s="26">
        <v>0</v>
      </c>
      <c r="L117" s="27">
        <v>0</v>
      </c>
      <c r="M117" s="27">
        <v>0</v>
      </c>
      <c r="N117" s="28">
        <v>0</v>
      </c>
      <c r="O117" s="26">
        <v>0</v>
      </c>
      <c r="P117" s="26">
        <v>0</v>
      </c>
      <c r="Q117" s="33">
        <v>0</v>
      </c>
      <c r="R117" s="34">
        <v>0</v>
      </c>
      <c r="S117" s="34">
        <v>0</v>
      </c>
      <c r="T117" s="20">
        <v>0</v>
      </c>
      <c r="U117" s="21" t="s">
        <v>24</v>
      </c>
      <c r="V117" s="22">
        <f>IFERROR(RAW[[#This Row],[ACTUAL GROSS]]/RAW[[#This Row],[CONVERTED]],0)</f>
        <v>0</v>
      </c>
      <c r="W117" s="22">
        <f>IFERROR(RAW[[#This Row],[SALES]]/RAW[[#This Row],[HOURLY PAY]],0)</f>
        <v>0</v>
      </c>
    </row>
    <row r="118" spans="1:23" x14ac:dyDescent="0.35">
      <c r="A118" s="23">
        <v>45149</v>
      </c>
      <c r="B118" s="24" t="s">
        <v>21</v>
      </c>
      <c r="C118" s="25" t="s">
        <v>33</v>
      </c>
      <c r="D118" s="14" t="s">
        <v>27</v>
      </c>
      <c r="E118" s="26">
        <v>0</v>
      </c>
      <c r="F118" s="26">
        <v>0</v>
      </c>
      <c r="G118" s="26">
        <v>0</v>
      </c>
      <c r="H118" s="26">
        <v>0</v>
      </c>
      <c r="I118" s="26">
        <v>0</v>
      </c>
      <c r="J118" s="26">
        <v>0</v>
      </c>
      <c r="K118" s="26">
        <v>0</v>
      </c>
      <c r="L118" s="27">
        <v>0</v>
      </c>
      <c r="M118" s="27">
        <v>0</v>
      </c>
      <c r="N118" s="28">
        <v>0</v>
      </c>
      <c r="O118" s="26">
        <v>0</v>
      </c>
      <c r="P118" s="26">
        <v>0</v>
      </c>
      <c r="Q118" s="33">
        <v>0</v>
      </c>
      <c r="R118" s="34">
        <v>0</v>
      </c>
      <c r="S118" s="34">
        <v>0</v>
      </c>
      <c r="T118" s="20">
        <v>0</v>
      </c>
      <c r="U118" s="21" t="s">
        <v>24</v>
      </c>
      <c r="V118" s="22">
        <f>IFERROR(RAW[[#This Row],[ACTUAL GROSS]]/RAW[[#This Row],[CONVERTED]],0)</f>
        <v>0</v>
      </c>
      <c r="W118" s="22">
        <f>IFERROR(RAW[[#This Row],[SALES]]/RAW[[#This Row],[HOURLY PAY]],0)</f>
        <v>0</v>
      </c>
    </row>
    <row r="119" spans="1:23" x14ac:dyDescent="0.35">
      <c r="A119" s="23">
        <v>45149</v>
      </c>
      <c r="B119" s="24" t="s">
        <v>25</v>
      </c>
      <c r="C119" s="25" t="s">
        <v>33</v>
      </c>
      <c r="D119" s="14" t="s">
        <v>27</v>
      </c>
      <c r="E119" s="26">
        <v>1187</v>
      </c>
      <c r="F119" s="26">
        <v>209.3</v>
      </c>
      <c r="G119" s="26">
        <v>12</v>
      </c>
      <c r="H119" s="26">
        <v>47.480000000000004</v>
      </c>
      <c r="I119" s="26">
        <v>3.5162399999999998</v>
      </c>
      <c r="J119" s="26">
        <v>4.5</v>
      </c>
      <c r="K119" s="26">
        <v>158.30376000000001</v>
      </c>
      <c r="L119" s="27">
        <v>7</v>
      </c>
      <c r="M119" s="27">
        <v>9</v>
      </c>
      <c r="N119" s="28">
        <v>7.15</v>
      </c>
      <c r="O119" s="26">
        <v>15.2295</v>
      </c>
      <c r="P119" s="26">
        <v>178.03326000000001</v>
      </c>
      <c r="Q119" s="33">
        <v>185.53326000000001</v>
      </c>
      <c r="R119" s="34">
        <v>1</v>
      </c>
      <c r="S119" s="34">
        <v>0</v>
      </c>
      <c r="T119" s="20">
        <v>0</v>
      </c>
      <c r="U119" s="21" t="s">
        <v>24</v>
      </c>
      <c r="V119" s="22">
        <f>IFERROR(RAW[[#This Row],[ACTUAL GROSS]]/RAW[[#This Row],[CONVERTED]],0)</f>
        <v>25.948707692307693</v>
      </c>
      <c r="W119" s="22">
        <f>IFERROR(RAW[[#This Row],[SALES]]/RAW[[#This Row],[HOURLY PAY]],0)</f>
        <v>77.940838504218789</v>
      </c>
    </row>
    <row r="120" spans="1:23" x14ac:dyDescent="0.35">
      <c r="A120" s="23">
        <v>45150</v>
      </c>
      <c r="B120" s="24" t="s">
        <v>21</v>
      </c>
      <c r="C120" s="25" t="s">
        <v>33</v>
      </c>
      <c r="D120" s="14" t="s">
        <v>28</v>
      </c>
      <c r="E120" s="26">
        <v>0</v>
      </c>
      <c r="F120" s="26">
        <v>0</v>
      </c>
      <c r="G120" s="26">
        <v>0</v>
      </c>
      <c r="H120" s="26">
        <v>0</v>
      </c>
      <c r="I120" s="26">
        <v>0</v>
      </c>
      <c r="J120" s="26">
        <v>0</v>
      </c>
      <c r="K120" s="26">
        <v>0</v>
      </c>
      <c r="L120" s="27">
        <v>0</v>
      </c>
      <c r="M120" s="27">
        <v>0</v>
      </c>
      <c r="N120" s="28">
        <v>0</v>
      </c>
      <c r="O120" s="26">
        <v>0</v>
      </c>
      <c r="P120" s="26">
        <v>0</v>
      </c>
      <c r="Q120" s="33">
        <v>0</v>
      </c>
      <c r="R120" s="34">
        <v>0</v>
      </c>
      <c r="S120" s="34">
        <v>0</v>
      </c>
      <c r="T120" s="20">
        <v>0</v>
      </c>
      <c r="U120" s="21" t="s">
        <v>24</v>
      </c>
      <c r="V120" s="22">
        <f>IFERROR(RAW[[#This Row],[ACTUAL GROSS]]/RAW[[#This Row],[CONVERTED]],0)</f>
        <v>0</v>
      </c>
      <c r="W120" s="22">
        <f>IFERROR(RAW[[#This Row],[SALES]]/RAW[[#This Row],[HOURLY PAY]],0)</f>
        <v>0</v>
      </c>
    </row>
    <row r="121" spans="1:23" x14ac:dyDescent="0.35">
      <c r="A121" s="23">
        <v>45150</v>
      </c>
      <c r="B121" s="24" t="s">
        <v>25</v>
      </c>
      <c r="C121" s="25" t="s">
        <v>33</v>
      </c>
      <c r="D121" s="14" t="s">
        <v>28</v>
      </c>
      <c r="E121" s="26">
        <v>1928</v>
      </c>
      <c r="F121" s="26">
        <v>325.64</v>
      </c>
      <c r="G121" s="26">
        <v>49</v>
      </c>
      <c r="H121" s="26">
        <v>77.12</v>
      </c>
      <c r="I121" s="26">
        <v>5.4707519999999992</v>
      </c>
      <c r="J121" s="26">
        <v>7.7</v>
      </c>
      <c r="K121" s="26">
        <v>243.04924799999998</v>
      </c>
      <c r="L121" s="27">
        <v>7</v>
      </c>
      <c r="M121" s="27">
        <v>35</v>
      </c>
      <c r="N121" s="28">
        <v>7.583333333333333</v>
      </c>
      <c r="O121" s="26">
        <v>16.1525</v>
      </c>
      <c r="P121" s="26">
        <v>266.90174799999994</v>
      </c>
      <c r="Q121" s="33">
        <v>308.20174799999995</v>
      </c>
      <c r="R121" s="34">
        <v>1</v>
      </c>
      <c r="S121" s="34">
        <v>0</v>
      </c>
      <c r="T121" s="20">
        <v>0</v>
      </c>
      <c r="U121" s="21" t="s">
        <v>24</v>
      </c>
      <c r="V121" s="22">
        <f>IFERROR(RAW[[#This Row],[ACTUAL GROSS]]/RAW[[#This Row],[CONVERTED]],0)</f>
        <v>40.641988747252739</v>
      </c>
      <c r="W121" s="22">
        <f>IFERROR(RAW[[#This Row],[SALES]]/RAW[[#This Row],[HOURLY PAY]],0)</f>
        <v>119.36232781303204</v>
      </c>
    </row>
    <row r="122" spans="1:23" x14ac:dyDescent="0.35">
      <c r="A122" s="23">
        <v>45151</v>
      </c>
      <c r="B122" s="24" t="s">
        <v>21</v>
      </c>
      <c r="C122" s="25" t="s">
        <v>33</v>
      </c>
      <c r="D122" s="14" t="s">
        <v>29</v>
      </c>
      <c r="E122" s="26">
        <v>0</v>
      </c>
      <c r="F122" s="26">
        <v>0</v>
      </c>
      <c r="G122" s="26">
        <v>0</v>
      </c>
      <c r="H122" s="26">
        <v>0</v>
      </c>
      <c r="I122" s="26">
        <v>0</v>
      </c>
      <c r="J122" s="26">
        <v>0</v>
      </c>
      <c r="K122" s="26">
        <v>0</v>
      </c>
      <c r="L122" s="27">
        <v>0</v>
      </c>
      <c r="M122" s="27">
        <v>0</v>
      </c>
      <c r="N122" s="28">
        <v>0</v>
      </c>
      <c r="O122" s="26">
        <v>0</v>
      </c>
      <c r="P122" s="26">
        <v>0</v>
      </c>
      <c r="Q122" s="33">
        <v>0</v>
      </c>
      <c r="R122" s="34">
        <v>0</v>
      </c>
      <c r="S122" s="34">
        <v>0</v>
      </c>
      <c r="T122" s="20">
        <v>0</v>
      </c>
      <c r="U122" s="21" t="s">
        <v>24</v>
      </c>
      <c r="V122" s="22">
        <f>IFERROR(RAW[[#This Row],[ACTUAL GROSS]]/RAW[[#This Row],[CONVERTED]],0)</f>
        <v>0</v>
      </c>
      <c r="W122" s="22">
        <f>IFERROR(RAW[[#This Row],[SALES]]/RAW[[#This Row],[HOURLY PAY]],0)</f>
        <v>0</v>
      </c>
    </row>
    <row r="123" spans="1:23" x14ac:dyDescent="0.35">
      <c r="A123" s="23">
        <v>45151</v>
      </c>
      <c r="B123" s="24" t="s">
        <v>25</v>
      </c>
      <c r="C123" s="25" t="s">
        <v>33</v>
      </c>
      <c r="D123" s="14" t="s">
        <v>29</v>
      </c>
      <c r="E123" s="26">
        <v>0</v>
      </c>
      <c r="F123" s="26">
        <v>0</v>
      </c>
      <c r="G123" s="26">
        <v>0</v>
      </c>
      <c r="H123" s="26">
        <v>0</v>
      </c>
      <c r="I123" s="26">
        <v>0</v>
      </c>
      <c r="J123" s="26">
        <v>0</v>
      </c>
      <c r="K123" s="26">
        <v>0</v>
      </c>
      <c r="L123" s="27">
        <v>0</v>
      </c>
      <c r="M123" s="27">
        <v>0</v>
      </c>
      <c r="N123" s="28">
        <v>0</v>
      </c>
      <c r="O123" s="26">
        <v>0</v>
      </c>
      <c r="P123" s="26">
        <v>0</v>
      </c>
      <c r="Q123" s="33">
        <v>0</v>
      </c>
      <c r="R123" s="34">
        <v>0</v>
      </c>
      <c r="S123" s="34">
        <v>0</v>
      </c>
      <c r="T123" s="20">
        <v>0</v>
      </c>
      <c r="U123" s="21" t="s">
        <v>24</v>
      </c>
      <c r="V123" s="22">
        <f>IFERROR(RAW[[#This Row],[ACTUAL GROSS]]/RAW[[#This Row],[CONVERTED]],0)</f>
        <v>0</v>
      </c>
      <c r="W123" s="22">
        <f>IFERROR(RAW[[#This Row],[SALES]]/RAW[[#This Row],[HOURLY PAY]],0)</f>
        <v>0</v>
      </c>
    </row>
    <row r="124" spans="1:23" x14ac:dyDescent="0.35">
      <c r="A124" s="23">
        <v>45152</v>
      </c>
      <c r="B124" s="24" t="s">
        <v>21</v>
      </c>
      <c r="C124" s="25" t="s">
        <v>33</v>
      </c>
      <c r="D124" s="14" t="s">
        <v>30</v>
      </c>
      <c r="E124" s="26">
        <v>646.5</v>
      </c>
      <c r="F124" s="26">
        <v>97.06</v>
      </c>
      <c r="G124" s="26">
        <v>40</v>
      </c>
      <c r="H124" s="26">
        <v>25.86</v>
      </c>
      <c r="I124" s="26">
        <v>1.6306079999999998</v>
      </c>
      <c r="J124" s="26">
        <v>18</v>
      </c>
      <c r="K124" s="26">
        <v>69.569392000000008</v>
      </c>
      <c r="L124" s="27">
        <v>5</v>
      </c>
      <c r="M124" s="27">
        <v>23</v>
      </c>
      <c r="N124" s="28">
        <v>5.3833333333333337</v>
      </c>
      <c r="O124" s="26">
        <v>11.4665</v>
      </c>
      <c r="P124" s="26">
        <v>99.035892000000004</v>
      </c>
      <c r="Q124" s="33">
        <v>121.035892</v>
      </c>
      <c r="R124" s="34">
        <v>1</v>
      </c>
      <c r="S124" s="34">
        <v>1</v>
      </c>
      <c r="T124" s="20">
        <v>0</v>
      </c>
      <c r="U124" s="21" t="s">
        <v>24</v>
      </c>
      <c r="V124" s="22">
        <f>IFERROR(RAW[[#This Row],[ACTUAL GROSS]]/RAW[[#This Row],[CONVERTED]],0)</f>
        <v>22.483447430340558</v>
      </c>
      <c r="W124" s="22">
        <f>IFERROR(RAW[[#This Row],[SALES]]/RAW[[#This Row],[HOURLY PAY]],0)</f>
        <v>56.381633453974622</v>
      </c>
    </row>
    <row r="125" spans="1:23" x14ac:dyDescent="0.35">
      <c r="A125" s="23">
        <v>45152</v>
      </c>
      <c r="B125" s="24" t="s">
        <v>25</v>
      </c>
      <c r="C125" s="25" t="s">
        <v>33</v>
      </c>
      <c r="D125" s="14" t="s">
        <v>30</v>
      </c>
      <c r="E125" s="26">
        <v>0</v>
      </c>
      <c r="F125" s="26">
        <v>0</v>
      </c>
      <c r="G125" s="26">
        <v>0</v>
      </c>
      <c r="H125" s="26">
        <v>0</v>
      </c>
      <c r="I125" s="26">
        <v>0</v>
      </c>
      <c r="J125" s="26">
        <v>0</v>
      </c>
      <c r="K125" s="26">
        <v>0</v>
      </c>
      <c r="L125" s="27">
        <v>0</v>
      </c>
      <c r="M125" s="27">
        <v>0</v>
      </c>
      <c r="N125" s="28">
        <v>0</v>
      </c>
      <c r="O125" s="26">
        <v>0</v>
      </c>
      <c r="P125" s="26">
        <v>0</v>
      </c>
      <c r="Q125" s="33">
        <v>0</v>
      </c>
      <c r="R125" s="34">
        <v>0</v>
      </c>
      <c r="S125" s="34">
        <v>0</v>
      </c>
      <c r="T125" s="20">
        <v>0</v>
      </c>
      <c r="U125" s="21" t="s">
        <v>24</v>
      </c>
      <c r="V125" s="22">
        <f>IFERROR(RAW[[#This Row],[ACTUAL GROSS]]/RAW[[#This Row],[CONVERTED]],0)</f>
        <v>0</v>
      </c>
      <c r="W125" s="22">
        <f>IFERROR(RAW[[#This Row],[SALES]]/RAW[[#This Row],[HOURLY PAY]],0)</f>
        <v>0</v>
      </c>
    </row>
    <row r="126" spans="1:23" x14ac:dyDescent="0.35">
      <c r="A126" s="23">
        <v>45153</v>
      </c>
      <c r="B126" s="24" t="s">
        <v>21</v>
      </c>
      <c r="C126" s="25" t="s">
        <v>33</v>
      </c>
      <c r="D126" s="14" t="s">
        <v>31</v>
      </c>
      <c r="E126" s="26">
        <v>369</v>
      </c>
      <c r="F126" s="26">
        <v>35.29</v>
      </c>
      <c r="G126" s="26">
        <v>25</v>
      </c>
      <c r="H126" s="26">
        <v>14.76</v>
      </c>
      <c r="I126" s="26">
        <v>0.59287199999999995</v>
      </c>
      <c r="J126" s="26">
        <v>4.5</v>
      </c>
      <c r="K126" s="26">
        <v>19.937128000000001</v>
      </c>
      <c r="L126" s="27">
        <v>3</v>
      </c>
      <c r="M126" s="27">
        <v>19</v>
      </c>
      <c r="N126" s="28">
        <v>3.3166666666666669</v>
      </c>
      <c r="O126" s="26">
        <v>7.0644999999999998</v>
      </c>
      <c r="P126" s="26">
        <v>31.501628</v>
      </c>
      <c r="Q126" s="33">
        <v>52.001628000000004</v>
      </c>
      <c r="R126" s="34">
        <v>1</v>
      </c>
      <c r="S126" s="34">
        <v>1</v>
      </c>
      <c r="T126" s="20">
        <v>0</v>
      </c>
      <c r="U126" s="21" t="s">
        <v>34</v>
      </c>
      <c r="V126" s="22">
        <f>IFERROR(RAW[[#This Row],[ACTUAL GROSS]]/RAW[[#This Row],[CONVERTED]],0)</f>
        <v>15.678882814070352</v>
      </c>
      <c r="W126" s="22">
        <f>IFERROR(RAW[[#This Row],[SALES]]/RAW[[#This Row],[HOURLY PAY]],0)</f>
        <v>52.232995965744216</v>
      </c>
    </row>
    <row r="127" spans="1:23" x14ac:dyDescent="0.35">
      <c r="A127" s="23">
        <v>45153</v>
      </c>
      <c r="B127" s="24" t="s">
        <v>25</v>
      </c>
      <c r="C127" s="25" t="s">
        <v>33</v>
      </c>
      <c r="D127" s="14" t="s">
        <v>31</v>
      </c>
      <c r="E127" s="26">
        <v>652.5</v>
      </c>
      <c r="F127" s="26">
        <v>119.27</v>
      </c>
      <c r="G127" s="26">
        <v>0</v>
      </c>
      <c r="H127" s="26">
        <v>26.1</v>
      </c>
      <c r="I127" s="26">
        <v>2.003736</v>
      </c>
      <c r="J127" s="26">
        <v>0</v>
      </c>
      <c r="K127" s="26">
        <v>91.166263999999998</v>
      </c>
      <c r="L127" s="27">
        <v>4</v>
      </c>
      <c r="M127" s="27">
        <v>17</v>
      </c>
      <c r="N127" s="28">
        <v>4.2833333333333332</v>
      </c>
      <c r="O127" s="26">
        <v>9.1234999999999999</v>
      </c>
      <c r="P127" s="26">
        <v>100.28976399999999</v>
      </c>
      <c r="Q127" s="33">
        <v>100.28976399999999</v>
      </c>
      <c r="R127" s="34">
        <v>1</v>
      </c>
      <c r="S127" s="34">
        <v>0</v>
      </c>
      <c r="T127" s="20">
        <v>1</v>
      </c>
      <c r="U127" s="21" t="s">
        <v>34</v>
      </c>
      <c r="V127" s="22">
        <f>IFERROR(RAW[[#This Row],[ACTUAL GROSS]]/RAW[[#This Row],[CONVERTED]],0)</f>
        <v>23.413952684824903</v>
      </c>
      <c r="W127" s="22">
        <f>IFERROR(RAW[[#This Row],[SALES]]/RAW[[#This Row],[HOURLY PAY]],0)</f>
        <v>71.5186057982134</v>
      </c>
    </row>
    <row r="128" spans="1:23" x14ac:dyDescent="0.35">
      <c r="A128" s="23">
        <v>45154</v>
      </c>
      <c r="B128" s="24" t="s">
        <v>21</v>
      </c>
      <c r="C128" s="25" t="s">
        <v>33</v>
      </c>
      <c r="D128" s="14" t="s">
        <v>23</v>
      </c>
      <c r="E128" s="26">
        <v>728.5</v>
      </c>
      <c r="F128" s="26">
        <v>134.19</v>
      </c>
      <c r="G128" s="26">
        <v>23</v>
      </c>
      <c r="H128" s="26">
        <v>29.14</v>
      </c>
      <c r="I128" s="26">
        <v>2.2543919999999997</v>
      </c>
      <c r="J128" s="26">
        <v>7.3</v>
      </c>
      <c r="K128" s="26">
        <v>102.795608</v>
      </c>
      <c r="L128" s="27">
        <v>3</v>
      </c>
      <c r="M128" s="27">
        <v>46</v>
      </c>
      <c r="N128" s="28">
        <v>3.7666666666666666</v>
      </c>
      <c r="O128" s="29">
        <v>8.0229999999999997</v>
      </c>
      <c r="P128" s="29">
        <v>118.11860799999999</v>
      </c>
      <c r="Q128" s="30">
        <v>133.81860800000001</v>
      </c>
      <c r="R128" s="20">
        <v>1</v>
      </c>
      <c r="S128" s="34">
        <v>1</v>
      </c>
      <c r="T128" s="20">
        <v>0</v>
      </c>
      <c r="U128" s="21" t="s">
        <v>34</v>
      </c>
      <c r="V128" s="22">
        <f>IFERROR(RAW[[#This Row],[ACTUAL GROSS]]/RAW[[#This Row],[CONVERTED]],0)</f>
        <v>35.527064070796463</v>
      </c>
      <c r="W128" s="22">
        <f>IFERROR(RAW[[#This Row],[SALES]]/RAW[[#This Row],[HOURLY PAY]],0)</f>
        <v>90.801445843200796</v>
      </c>
    </row>
    <row r="129" spans="1:23" x14ac:dyDescent="0.35">
      <c r="A129" s="23">
        <v>45154</v>
      </c>
      <c r="B129" s="24" t="s">
        <v>25</v>
      </c>
      <c r="C129" s="25" t="s">
        <v>33</v>
      </c>
      <c r="D129" s="14" t="s">
        <v>23</v>
      </c>
      <c r="E129" s="26">
        <v>1652</v>
      </c>
      <c r="F129" s="26">
        <v>315.24</v>
      </c>
      <c r="G129" s="26">
        <v>36</v>
      </c>
      <c r="H129" s="26">
        <v>66.08</v>
      </c>
      <c r="I129" s="26">
        <v>5.2960319999999994</v>
      </c>
      <c r="J129" s="26">
        <v>13</v>
      </c>
      <c r="K129" s="26">
        <v>243.863968</v>
      </c>
      <c r="L129" s="27">
        <v>5</v>
      </c>
      <c r="M129" s="27">
        <v>57</v>
      </c>
      <c r="N129" s="28">
        <v>5.95</v>
      </c>
      <c r="O129" s="26">
        <v>12.673499999999999</v>
      </c>
      <c r="P129" s="26">
        <v>269.53746799999999</v>
      </c>
      <c r="Q129" s="33">
        <v>292.53746799999999</v>
      </c>
      <c r="R129" s="34">
        <v>1</v>
      </c>
      <c r="S129" s="34">
        <v>0</v>
      </c>
      <c r="T129" s="20">
        <v>1</v>
      </c>
      <c r="U129" s="21" t="s">
        <v>34</v>
      </c>
      <c r="V129" s="22">
        <f>IFERROR(RAW[[#This Row],[ACTUAL GROSS]]/RAW[[#This Row],[CONVERTED]],0)</f>
        <v>49.165961008403357</v>
      </c>
      <c r="W129" s="22">
        <f>IFERROR(RAW[[#This Row],[SALES]]/RAW[[#This Row],[HOURLY PAY]],0)</f>
        <v>130.35073184203259</v>
      </c>
    </row>
    <row r="130" spans="1:23" x14ac:dyDescent="0.35">
      <c r="A130" s="23">
        <v>45155</v>
      </c>
      <c r="B130" s="24" t="s">
        <v>21</v>
      </c>
      <c r="C130" s="25" t="s">
        <v>33</v>
      </c>
      <c r="D130" s="14" t="s">
        <v>26</v>
      </c>
      <c r="E130" s="26">
        <v>0</v>
      </c>
      <c r="F130" s="26">
        <v>0</v>
      </c>
      <c r="G130" s="26">
        <v>0</v>
      </c>
      <c r="H130" s="26">
        <v>0</v>
      </c>
      <c r="I130" s="26">
        <v>0</v>
      </c>
      <c r="J130" s="26">
        <v>0</v>
      </c>
      <c r="K130" s="26">
        <v>0</v>
      </c>
      <c r="L130" s="27">
        <v>0</v>
      </c>
      <c r="M130" s="27">
        <v>0</v>
      </c>
      <c r="N130" s="28">
        <v>0</v>
      </c>
      <c r="O130" s="26">
        <v>0</v>
      </c>
      <c r="P130" s="26">
        <v>0</v>
      </c>
      <c r="Q130" s="33">
        <v>0</v>
      </c>
      <c r="R130" s="34">
        <v>0</v>
      </c>
      <c r="S130" s="34">
        <v>0</v>
      </c>
      <c r="T130" s="20">
        <v>0</v>
      </c>
      <c r="U130" s="21" t="s">
        <v>24</v>
      </c>
      <c r="V130" s="22">
        <f>IFERROR(RAW[[#This Row],[ACTUAL GROSS]]/RAW[[#This Row],[CONVERTED]],0)</f>
        <v>0</v>
      </c>
      <c r="W130" s="22">
        <f>IFERROR(RAW[[#This Row],[SALES]]/RAW[[#This Row],[HOURLY PAY]],0)</f>
        <v>0</v>
      </c>
    </row>
    <row r="131" spans="1:23" x14ac:dyDescent="0.35">
      <c r="A131" s="23">
        <v>45155</v>
      </c>
      <c r="B131" s="24" t="s">
        <v>25</v>
      </c>
      <c r="C131" s="25" t="s">
        <v>33</v>
      </c>
      <c r="D131" s="14" t="s">
        <v>26</v>
      </c>
      <c r="E131" s="26">
        <v>0</v>
      </c>
      <c r="F131" s="26">
        <v>0</v>
      </c>
      <c r="G131" s="26">
        <v>0</v>
      </c>
      <c r="H131" s="26">
        <v>0</v>
      </c>
      <c r="I131" s="26">
        <v>0</v>
      </c>
      <c r="J131" s="26">
        <v>0</v>
      </c>
      <c r="K131" s="26">
        <v>0</v>
      </c>
      <c r="L131" s="27">
        <v>0</v>
      </c>
      <c r="M131" s="27">
        <v>0</v>
      </c>
      <c r="N131" s="28">
        <v>0</v>
      </c>
      <c r="O131" s="26">
        <v>0</v>
      </c>
      <c r="P131" s="26">
        <v>0</v>
      </c>
      <c r="Q131" s="33">
        <v>0</v>
      </c>
      <c r="R131" s="34">
        <v>0</v>
      </c>
      <c r="S131" s="34">
        <v>0</v>
      </c>
      <c r="T131" s="20">
        <v>0</v>
      </c>
      <c r="U131" s="21" t="s">
        <v>24</v>
      </c>
      <c r="V131" s="22">
        <f>IFERROR(RAW[[#This Row],[ACTUAL GROSS]]/RAW[[#This Row],[CONVERTED]],0)</f>
        <v>0</v>
      </c>
      <c r="W131" s="22">
        <f>IFERROR(RAW[[#This Row],[SALES]]/RAW[[#This Row],[HOURLY PAY]],0)</f>
        <v>0</v>
      </c>
    </row>
    <row r="132" spans="1:23" x14ac:dyDescent="0.35">
      <c r="A132" s="23">
        <v>45156</v>
      </c>
      <c r="B132" s="24" t="s">
        <v>21</v>
      </c>
      <c r="C132" s="25" t="s">
        <v>33</v>
      </c>
      <c r="D132" s="14" t="s">
        <v>27</v>
      </c>
      <c r="E132" s="26">
        <v>0</v>
      </c>
      <c r="F132" s="26">
        <v>0</v>
      </c>
      <c r="G132" s="26">
        <v>0</v>
      </c>
      <c r="H132" s="26">
        <v>0</v>
      </c>
      <c r="I132" s="26">
        <v>0</v>
      </c>
      <c r="J132" s="26">
        <v>0</v>
      </c>
      <c r="K132" s="26">
        <v>0</v>
      </c>
      <c r="L132" s="27">
        <v>0</v>
      </c>
      <c r="M132" s="27">
        <v>0</v>
      </c>
      <c r="N132" s="28">
        <v>0</v>
      </c>
      <c r="O132" s="26">
        <v>0</v>
      </c>
      <c r="P132" s="26">
        <v>0</v>
      </c>
      <c r="Q132" s="33">
        <v>0</v>
      </c>
      <c r="R132" s="34">
        <v>0</v>
      </c>
      <c r="S132" s="34">
        <v>0</v>
      </c>
      <c r="T132" s="20">
        <v>0</v>
      </c>
      <c r="U132" s="21" t="s">
        <v>24</v>
      </c>
      <c r="V132" s="22">
        <f>IFERROR(RAW[[#This Row],[ACTUAL GROSS]]/RAW[[#This Row],[CONVERTED]],0)</f>
        <v>0</v>
      </c>
      <c r="W132" s="22">
        <f>IFERROR(RAW[[#This Row],[SALES]]/RAW[[#This Row],[HOURLY PAY]],0)</f>
        <v>0</v>
      </c>
    </row>
    <row r="133" spans="1:23" x14ac:dyDescent="0.35">
      <c r="A133" s="23">
        <v>45156</v>
      </c>
      <c r="B133" s="24" t="s">
        <v>25</v>
      </c>
      <c r="C133" s="25" t="s">
        <v>33</v>
      </c>
      <c r="D133" s="14" t="s">
        <v>27</v>
      </c>
      <c r="E133" s="26">
        <v>1152.5</v>
      </c>
      <c r="F133" s="26">
        <v>218.77</v>
      </c>
      <c r="G133" s="26">
        <v>0</v>
      </c>
      <c r="H133" s="26">
        <v>46.1</v>
      </c>
      <c r="I133" s="26">
        <v>3.6753360000000002</v>
      </c>
      <c r="J133" s="26">
        <v>0</v>
      </c>
      <c r="K133" s="26">
        <v>168.994664</v>
      </c>
      <c r="L133" s="27">
        <v>5</v>
      </c>
      <c r="M133" s="27">
        <v>10</v>
      </c>
      <c r="N133" s="28">
        <v>5.166666666666667</v>
      </c>
      <c r="O133" s="26">
        <v>11.005000000000001</v>
      </c>
      <c r="P133" s="26">
        <v>179.999664</v>
      </c>
      <c r="Q133" s="33">
        <v>179.999664</v>
      </c>
      <c r="R133" s="34">
        <v>1</v>
      </c>
      <c r="S133" s="34">
        <v>0</v>
      </c>
      <c r="T133" s="20">
        <v>0</v>
      </c>
      <c r="U133" s="21" t="s">
        <v>24</v>
      </c>
      <c r="V133" s="22">
        <f>IFERROR(RAW[[#This Row],[ACTUAL GROSS]]/RAW[[#This Row],[CONVERTED]],0)</f>
        <v>34.838644645161288</v>
      </c>
      <c r="W133" s="22">
        <f>IFERROR(RAW[[#This Row],[SALES]]/RAW[[#This Row],[HOURLY PAY]],0)</f>
        <v>104.72512494320763</v>
      </c>
    </row>
    <row r="134" spans="1:23" x14ac:dyDescent="0.35">
      <c r="A134" s="23">
        <v>45157</v>
      </c>
      <c r="B134" s="24" t="s">
        <v>21</v>
      </c>
      <c r="C134" s="25" t="s">
        <v>33</v>
      </c>
      <c r="D134" s="14" t="s">
        <v>28</v>
      </c>
      <c r="E134" s="26">
        <v>0</v>
      </c>
      <c r="F134" s="26">
        <v>0</v>
      </c>
      <c r="G134" s="26">
        <v>0</v>
      </c>
      <c r="H134" s="26">
        <v>0</v>
      </c>
      <c r="I134" s="26">
        <v>0</v>
      </c>
      <c r="J134" s="26">
        <v>0</v>
      </c>
      <c r="K134" s="26">
        <v>0</v>
      </c>
      <c r="L134" s="27">
        <v>0</v>
      </c>
      <c r="M134" s="27">
        <v>0</v>
      </c>
      <c r="N134" s="28">
        <v>0</v>
      </c>
      <c r="O134" s="26">
        <v>0</v>
      </c>
      <c r="P134" s="26">
        <v>0</v>
      </c>
      <c r="Q134" s="33">
        <v>0</v>
      </c>
      <c r="R134" s="34">
        <v>0</v>
      </c>
      <c r="S134" s="34">
        <v>0</v>
      </c>
      <c r="T134" s="20">
        <v>0</v>
      </c>
      <c r="U134" s="21" t="s">
        <v>24</v>
      </c>
      <c r="V134" s="22">
        <f>IFERROR(RAW[[#This Row],[ACTUAL GROSS]]/RAW[[#This Row],[CONVERTED]],0)</f>
        <v>0</v>
      </c>
      <c r="W134" s="22">
        <f>IFERROR(RAW[[#This Row],[SALES]]/RAW[[#This Row],[HOURLY PAY]],0)</f>
        <v>0</v>
      </c>
    </row>
    <row r="135" spans="1:23" x14ac:dyDescent="0.35">
      <c r="A135" s="23">
        <v>45157</v>
      </c>
      <c r="B135" s="24" t="s">
        <v>25</v>
      </c>
      <c r="C135" s="25" t="s">
        <v>33</v>
      </c>
      <c r="D135" s="14" t="s">
        <v>28</v>
      </c>
      <c r="E135" s="26">
        <v>1761.5</v>
      </c>
      <c r="F135" s="26">
        <v>287.22000000000003</v>
      </c>
      <c r="G135" s="26">
        <v>91</v>
      </c>
      <c r="H135" s="26">
        <v>70.460000000000008</v>
      </c>
      <c r="I135" s="26">
        <v>4.8252959999999998</v>
      </c>
      <c r="J135" s="26">
        <v>11.5</v>
      </c>
      <c r="K135" s="26">
        <v>211.93470400000001</v>
      </c>
      <c r="L135" s="27">
        <v>6</v>
      </c>
      <c r="M135" s="27">
        <v>28</v>
      </c>
      <c r="N135" s="28">
        <v>6.4666666666666668</v>
      </c>
      <c r="O135" s="26">
        <v>13.773999999999999</v>
      </c>
      <c r="P135" s="26">
        <v>237.20870400000001</v>
      </c>
      <c r="Q135" s="33">
        <v>316.70870400000001</v>
      </c>
      <c r="R135" s="34">
        <v>1</v>
      </c>
      <c r="S135" s="34">
        <v>0</v>
      </c>
      <c r="T135" s="20">
        <v>0</v>
      </c>
      <c r="U135" s="21" t="s">
        <v>24</v>
      </c>
      <c r="V135" s="22">
        <f>IFERROR(RAW[[#This Row],[ACTUAL GROSS]]/RAW[[#This Row],[CONVERTED]],0)</f>
        <v>48.975572783505157</v>
      </c>
      <c r="W135" s="22">
        <f>IFERROR(RAW[[#This Row],[SALES]]/RAW[[#This Row],[HOURLY PAY]],0)</f>
        <v>127.8858719326267</v>
      </c>
    </row>
    <row r="136" spans="1:23" x14ac:dyDescent="0.35">
      <c r="A136" s="23">
        <v>45158</v>
      </c>
      <c r="B136" s="24" t="s">
        <v>21</v>
      </c>
      <c r="C136" s="25" t="s">
        <v>33</v>
      </c>
      <c r="D136" s="14" t="s">
        <v>29</v>
      </c>
      <c r="E136" s="26">
        <v>0</v>
      </c>
      <c r="F136" s="26">
        <v>0</v>
      </c>
      <c r="G136" s="26">
        <v>0</v>
      </c>
      <c r="H136" s="26">
        <v>0</v>
      </c>
      <c r="I136" s="26">
        <v>0</v>
      </c>
      <c r="J136" s="26">
        <v>0</v>
      </c>
      <c r="K136" s="26">
        <v>0</v>
      </c>
      <c r="L136" s="27">
        <v>0</v>
      </c>
      <c r="M136" s="27">
        <v>0</v>
      </c>
      <c r="N136" s="28">
        <v>0</v>
      </c>
      <c r="O136" s="26">
        <v>0</v>
      </c>
      <c r="P136" s="26">
        <v>0</v>
      </c>
      <c r="Q136" s="33">
        <v>0</v>
      </c>
      <c r="R136" s="34">
        <v>0</v>
      </c>
      <c r="S136" s="34">
        <v>0</v>
      </c>
      <c r="T136" s="20">
        <v>0</v>
      </c>
      <c r="U136" s="21" t="s">
        <v>24</v>
      </c>
      <c r="V136" s="22">
        <f>IFERROR(RAW[[#This Row],[ACTUAL GROSS]]/RAW[[#This Row],[CONVERTED]],0)</f>
        <v>0</v>
      </c>
      <c r="W136" s="22">
        <f>IFERROR(RAW[[#This Row],[SALES]]/RAW[[#This Row],[HOURLY PAY]],0)</f>
        <v>0</v>
      </c>
    </row>
    <row r="137" spans="1:23" x14ac:dyDescent="0.35">
      <c r="A137" s="23">
        <v>45158</v>
      </c>
      <c r="B137" s="24" t="s">
        <v>25</v>
      </c>
      <c r="C137" s="25" t="s">
        <v>33</v>
      </c>
      <c r="D137" s="14" t="s">
        <v>29</v>
      </c>
      <c r="E137" s="26">
        <v>0</v>
      </c>
      <c r="F137" s="26">
        <v>0</v>
      </c>
      <c r="G137" s="26">
        <v>0</v>
      </c>
      <c r="H137" s="26">
        <v>0</v>
      </c>
      <c r="I137" s="26">
        <v>0</v>
      </c>
      <c r="J137" s="26">
        <v>0</v>
      </c>
      <c r="K137" s="26">
        <v>0</v>
      </c>
      <c r="L137" s="27">
        <v>0</v>
      </c>
      <c r="M137" s="27">
        <v>0</v>
      </c>
      <c r="N137" s="28">
        <v>0</v>
      </c>
      <c r="O137" s="26">
        <v>0</v>
      </c>
      <c r="P137" s="26">
        <v>0</v>
      </c>
      <c r="Q137" s="33">
        <v>0</v>
      </c>
      <c r="R137" s="34">
        <v>0</v>
      </c>
      <c r="S137" s="34">
        <v>0</v>
      </c>
      <c r="T137" s="20">
        <v>0</v>
      </c>
      <c r="U137" s="21" t="s">
        <v>24</v>
      </c>
      <c r="V137" s="22">
        <f>IFERROR(RAW[[#This Row],[ACTUAL GROSS]]/RAW[[#This Row],[CONVERTED]],0)</f>
        <v>0</v>
      </c>
      <c r="W137" s="22">
        <f>IFERROR(RAW[[#This Row],[SALES]]/RAW[[#This Row],[HOURLY PAY]],0)</f>
        <v>0</v>
      </c>
    </row>
    <row r="138" spans="1:23" x14ac:dyDescent="0.35">
      <c r="A138" s="23">
        <v>45159</v>
      </c>
      <c r="B138" s="24" t="s">
        <v>21</v>
      </c>
      <c r="C138" s="25" t="s">
        <v>33</v>
      </c>
      <c r="D138" s="14" t="s">
        <v>30</v>
      </c>
      <c r="E138" s="26">
        <v>910</v>
      </c>
      <c r="F138" s="26">
        <v>178.12</v>
      </c>
      <c r="G138" s="26">
        <v>0</v>
      </c>
      <c r="H138" s="26">
        <v>36.4</v>
      </c>
      <c r="I138" s="26">
        <v>2.992416</v>
      </c>
      <c r="J138" s="26">
        <v>0</v>
      </c>
      <c r="K138" s="26">
        <v>138.72758400000001</v>
      </c>
      <c r="L138" s="27">
        <v>4</v>
      </c>
      <c r="M138" s="27">
        <v>47</v>
      </c>
      <c r="N138" s="28">
        <v>4.7833333333333332</v>
      </c>
      <c r="O138" s="26">
        <v>10.188499999999999</v>
      </c>
      <c r="P138" s="26">
        <v>148.91608400000001</v>
      </c>
      <c r="Q138" s="33">
        <v>148.91608400000001</v>
      </c>
      <c r="R138" s="34">
        <v>1</v>
      </c>
      <c r="S138" s="34">
        <v>1</v>
      </c>
      <c r="T138" s="20">
        <v>0</v>
      </c>
      <c r="U138" s="21" t="s">
        <v>24</v>
      </c>
      <c r="V138" s="22">
        <f>IFERROR(RAW[[#This Row],[ACTUAL GROSS]]/RAW[[#This Row],[CONVERTED]],0)</f>
        <v>31.132282369337982</v>
      </c>
      <c r="W138" s="22">
        <f>IFERROR(RAW[[#This Row],[SALES]]/RAW[[#This Row],[HOURLY PAY]],0)</f>
        <v>89.316386121607707</v>
      </c>
    </row>
    <row r="139" spans="1:23" x14ac:dyDescent="0.35">
      <c r="A139" s="23">
        <v>45159</v>
      </c>
      <c r="B139" s="24" t="s">
        <v>25</v>
      </c>
      <c r="C139" s="25" t="s">
        <v>33</v>
      </c>
      <c r="D139" s="14" t="s">
        <v>30</v>
      </c>
      <c r="E139" s="26">
        <v>0</v>
      </c>
      <c r="F139" s="26">
        <v>0</v>
      </c>
      <c r="G139" s="26">
        <v>0</v>
      </c>
      <c r="H139" s="26">
        <v>0</v>
      </c>
      <c r="I139" s="26">
        <v>0</v>
      </c>
      <c r="J139" s="26">
        <v>0</v>
      </c>
      <c r="K139" s="26">
        <v>0</v>
      </c>
      <c r="L139" s="27">
        <v>0</v>
      </c>
      <c r="M139" s="27">
        <v>0</v>
      </c>
      <c r="N139" s="28">
        <v>0</v>
      </c>
      <c r="O139" s="26">
        <v>0</v>
      </c>
      <c r="P139" s="26">
        <v>0</v>
      </c>
      <c r="Q139" s="33">
        <v>0</v>
      </c>
      <c r="R139" s="34">
        <v>0</v>
      </c>
      <c r="S139" s="34">
        <v>0</v>
      </c>
      <c r="T139" s="20">
        <v>0</v>
      </c>
      <c r="U139" s="21" t="s">
        <v>24</v>
      </c>
      <c r="V139" s="22">
        <f>IFERROR(RAW[[#This Row],[ACTUAL GROSS]]/RAW[[#This Row],[CONVERTED]],0)</f>
        <v>0</v>
      </c>
      <c r="W139" s="22">
        <f>IFERROR(RAW[[#This Row],[SALES]]/RAW[[#This Row],[HOURLY PAY]],0)</f>
        <v>0</v>
      </c>
    </row>
    <row r="140" spans="1:23" x14ac:dyDescent="0.35">
      <c r="A140" s="23">
        <v>45160</v>
      </c>
      <c r="B140" s="24" t="s">
        <v>21</v>
      </c>
      <c r="C140" s="25" t="s">
        <v>33</v>
      </c>
      <c r="D140" s="14" t="s">
        <v>31</v>
      </c>
      <c r="E140" s="26">
        <v>942</v>
      </c>
      <c r="F140" s="26">
        <v>182.94</v>
      </c>
      <c r="G140" s="26">
        <v>15</v>
      </c>
      <c r="H140" s="26">
        <v>37.68</v>
      </c>
      <c r="I140" s="26">
        <v>3.0733919999999997</v>
      </c>
      <c r="J140" s="26">
        <v>6</v>
      </c>
      <c r="K140" s="26">
        <v>142.18660800000001</v>
      </c>
      <c r="L140" s="27">
        <v>5</v>
      </c>
      <c r="M140" s="27">
        <v>34</v>
      </c>
      <c r="N140" s="28">
        <v>5.5666666666666664</v>
      </c>
      <c r="O140" s="26">
        <v>11.856999999999999</v>
      </c>
      <c r="P140" s="26">
        <v>160.04360800000001</v>
      </c>
      <c r="Q140" s="33">
        <v>169.04360800000001</v>
      </c>
      <c r="R140" s="34">
        <v>1</v>
      </c>
      <c r="S140" s="34">
        <v>1</v>
      </c>
      <c r="T140" s="20">
        <v>0</v>
      </c>
      <c r="U140" s="21" t="s">
        <v>34</v>
      </c>
      <c r="V140" s="22">
        <f>IFERROR(RAW[[#This Row],[ACTUAL GROSS]]/RAW[[#This Row],[CONVERTED]],0)</f>
        <v>30.367115209580842</v>
      </c>
      <c r="W140" s="22">
        <f>IFERROR(RAW[[#This Row],[SALES]]/RAW[[#This Row],[HOURLY PAY]],0)</f>
        <v>79.446740322172559</v>
      </c>
    </row>
    <row r="141" spans="1:23" x14ac:dyDescent="0.35">
      <c r="A141" s="23">
        <v>45160</v>
      </c>
      <c r="B141" s="24" t="s">
        <v>25</v>
      </c>
      <c r="C141" s="25" t="s">
        <v>33</v>
      </c>
      <c r="D141" s="14" t="s">
        <v>31</v>
      </c>
      <c r="E141" s="26">
        <v>405</v>
      </c>
      <c r="F141" s="26">
        <v>74.3</v>
      </c>
      <c r="G141" s="26">
        <v>0</v>
      </c>
      <c r="H141" s="26">
        <v>16.2</v>
      </c>
      <c r="I141" s="26">
        <v>1.2482399999999998</v>
      </c>
      <c r="J141" s="26">
        <v>0</v>
      </c>
      <c r="K141" s="26">
        <v>56.851759999999999</v>
      </c>
      <c r="L141" s="27">
        <v>3</v>
      </c>
      <c r="M141" s="27">
        <v>57</v>
      </c>
      <c r="N141" s="28">
        <v>3.95</v>
      </c>
      <c r="O141" s="26">
        <v>8.4134999999999991</v>
      </c>
      <c r="P141" s="26">
        <v>65.265259999999998</v>
      </c>
      <c r="Q141" s="33">
        <v>65.265259999999998</v>
      </c>
      <c r="R141" s="34">
        <v>1</v>
      </c>
      <c r="S141" s="34">
        <v>0</v>
      </c>
      <c r="T141" s="20">
        <v>1</v>
      </c>
      <c r="U141" s="21" t="s">
        <v>34</v>
      </c>
      <c r="V141" s="22">
        <f>IFERROR(RAW[[#This Row],[ACTUAL GROSS]]/RAW[[#This Row],[CONVERTED]],0)</f>
        <v>16.522850632911393</v>
      </c>
      <c r="W141" s="22">
        <f>IFERROR(RAW[[#This Row],[SALES]]/RAW[[#This Row],[HOURLY PAY]],0)</f>
        <v>48.136922802638622</v>
      </c>
    </row>
    <row r="142" spans="1:23" x14ac:dyDescent="0.35">
      <c r="A142" s="23">
        <v>45161</v>
      </c>
      <c r="B142" s="24" t="s">
        <v>21</v>
      </c>
      <c r="C142" s="25" t="s">
        <v>33</v>
      </c>
      <c r="D142" s="14" t="s">
        <v>23</v>
      </c>
      <c r="E142" s="26">
        <v>524</v>
      </c>
      <c r="F142" s="26">
        <v>97.55</v>
      </c>
      <c r="G142" s="26">
        <v>0</v>
      </c>
      <c r="H142" s="26">
        <v>20.96</v>
      </c>
      <c r="I142" s="26">
        <v>1.6388399999999999</v>
      </c>
      <c r="J142" s="26">
        <v>0</v>
      </c>
      <c r="K142" s="26">
        <v>74.951160000000002</v>
      </c>
      <c r="L142" s="27">
        <v>3</v>
      </c>
      <c r="M142" s="27">
        <v>27</v>
      </c>
      <c r="N142" s="28">
        <v>3.45</v>
      </c>
      <c r="O142" s="29">
        <v>7.3484999999999996</v>
      </c>
      <c r="P142" s="29">
        <v>82.299660000000003</v>
      </c>
      <c r="Q142" s="30">
        <v>82.299660000000003</v>
      </c>
      <c r="R142" s="20">
        <v>1</v>
      </c>
      <c r="S142" s="34">
        <v>1</v>
      </c>
      <c r="T142" s="20">
        <v>0</v>
      </c>
      <c r="U142" s="21" t="s">
        <v>34</v>
      </c>
      <c r="V142" s="22">
        <f>IFERROR(RAW[[#This Row],[ACTUAL GROSS]]/RAW[[#This Row],[CONVERTED]],0)</f>
        <v>23.854973913043477</v>
      </c>
      <c r="W142" s="22">
        <f>IFERROR(RAW[[#This Row],[SALES]]/RAW[[#This Row],[HOURLY PAY]],0)</f>
        <v>71.307069469959856</v>
      </c>
    </row>
    <row r="143" spans="1:23" x14ac:dyDescent="0.35">
      <c r="A143" s="23">
        <v>45161</v>
      </c>
      <c r="B143" s="24" t="s">
        <v>25</v>
      </c>
      <c r="C143" s="25" t="s">
        <v>33</v>
      </c>
      <c r="D143" s="14" t="s">
        <v>23</v>
      </c>
      <c r="E143" s="26">
        <v>857.5</v>
      </c>
      <c r="F143" s="26">
        <v>142.1</v>
      </c>
      <c r="G143" s="26">
        <v>39</v>
      </c>
      <c r="H143" s="26">
        <v>34.300000000000004</v>
      </c>
      <c r="I143" s="26">
        <v>2.3872799999999996</v>
      </c>
      <c r="J143" s="26">
        <v>11.79</v>
      </c>
      <c r="K143" s="26">
        <v>105.41271999999999</v>
      </c>
      <c r="L143" s="27">
        <v>3</v>
      </c>
      <c r="M143" s="27">
        <v>33</v>
      </c>
      <c r="N143" s="28">
        <v>3.55</v>
      </c>
      <c r="O143" s="26">
        <v>7.5614999999999997</v>
      </c>
      <c r="P143" s="26">
        <v>124.76421999999999</v>
      </c>
      <c r="Q143" s="33">
        <v>151.97421999999997</v>
      </c>
      <c r="R143" s="34">
        <v>1</v>
      </c>
      <c r="S143" s="34">
        <v>0</v>
      </c>
      <c r="T143" s="20">
        <v>1</v>
      </c>
      <c r="U143" s="21" t="s">
        <v>34</v>
      </c>
      <c r="V143" s="22">
        <f>IFERROR(RAW[[#This Row],[ACTUAL GROSS]]/RAW[[#This Row],[CONVERTED]],0)</f>
        <v>42.809639436619712</v>
      </c>
      <c r="W143" s="22">
        <f>IFERROR(RAW[[#This Row],[SALES]]/RAW[[#This Row],[HOURLY PAY]],0)</f>
        <v>113.40342524631356</v>
      </c>
    </row>
    <row r="144" spans="1:23" x14ac:dyDescent="0.35">
      <c r="A144" s="23">
        <v>45162</v>
      </c>
      <c r="B144" s="24" t="s">
        <v>21</v>
      </c>
      <c r="C144" s="25" t="s">
        <v>33</v>
      </c>
      <c r="D144" s="14" t="s">
        <v>26</v>
      </c>
      <c r="E144" s="26">
        <v>0</v>
      </c>
      <c r="F144" s="26">
        <v>0</v>
      </c>
      <c r="G144" s="26">
        <v>0</v>
      </c>
      <c r="H144" s="26">
        <v>0</v>
      </c>
      <c r="I144" s="26">
        <v>0</v>
      </c>
      <c r="J144" s="26">
        <v>0</v>
      </c>
      <c r="K144" s="26">
        <v>0</v>
      </c>
      <c r="L144" s="27">
        <v>0</v>
      </c>
      <c r="M144" s="27">
        <v>0</v>
      </c>
      <c r="N144" s="28">
        <v>0</v>
      </c>
      <c r="O144" s="26">
        <v>0</v>
      </c>
      <c r="P144" s="26">
        <v>0</v>
      </c>
      <c r="Q144" s="33">
        <v>0</v>
      </c>
      <c r="R144" s="34">
        <v>0</v>
      </c>
      <c r="S144" s="34">
        <v>0</v>
      </c>
      <c r="T144" s="20">
        <v>0</v>
      </c>
      <c r="U144" s="21" t="s">
        <v>24</v>
      </c>
      <c r="V144" s="22">
        <f>IFERROR(RAW[[#This Row],[ACTUAL GROSS]]/RAW[[#This Row],[CONVERTED]],0)</f>
        <v>0</v>
      </c>
      <c r="W144" s="22">
        <f>IFERROR(RAW[[#This Row],[SALES]]/RAW[[#This Row],[HOURLY PAY]],0)</f>
        <v>0</v>
      </c>
    </row>
    <row r="145" spans="1:23" x14ac:dyDescent="0.35">
      <c r="A145" s="23">
        <v>45162</v>
      </c>
      <c r="B145" s="24" t="s">
        <v>25</v>
      </c>
      <c r="C145" s="25" t="s">
        <v>33</v>
      </c>
      <c r="D145" s="14" t="s">
        <v>26</v>
      </c>
      <c r="E145" s="26">
        <v>0</v>
      </c>
      <c r="F145" s="26">
        <v>0</v>
      </c>
      <c r="G145" s="26">
        <v>0</v>
      </c>
      <c r="H145" s="26">
        <v>0</v>
      </c>
      <c r="I145" s="26">
        <v>0</v>
      </c>
      <c r="J145" s="26">
        <v>0</v>
      </c>
      <c r="K145" s="26">
        <v>0</v>
      </c>
      <c r="L145" s="27">
        <v>0</v>
      </c>
      <c r="M145" s="27">
        <v>0</v>
      </c>
      <c r="N145" s="28">
        <v>0</v>
      </c>
      <c r="O145" s="26">
        <v>0</v>
      </c>
      <c r="P145" s="26">
        <v>0</v>
      </c>
      <c r="Q145" s="33">
        <v>0</v>
      </c>
      <c r="R145" s="34">
        <v>0</v>
      </c>
      <c r="S145" s="34">
        <v>0</v>
      </c>
      <c r="T145" s="20">
        <v>0</v>
      </c>
      <c r="U145" s="21" t="s">
        <v>24</v>
      </c>
      <c r="V145" s="22">
        <f>IFERROR(RAW[[#This Row],[ACTUAL GROSS]]/RAW[[#This Row],[CONVERTED]],0)</f>
        <v>0</v>
      </c>
      <c r="W145" s="22">
        <f>IFERROR(RAW[[#This Row],[SALES]]/RAW[[#This Row],[HOURLY PAY]],0)</f>
        <v>0</v>
      </c>
    </row>
    <row r="146" spans="1:23" x14ac:dyDescent="0.35">
      <c r="A146" s="23">
        <v>45163</v>
      </c>
      <c r="B146" s="24" t="s">
        <v>21</v>
      </c>
      <c r="C146" s="25" t="s">
        <v>33</v>
      </c>
      <c r="D146" s="14" t="s">
        <v>27</v>
      </c>
      <c r="E146" s="26">
        <v>0</v>
      </c>
      <c r="F146" s="26">
        <v>0</v>
      </c>
      <c r="G146" s="26">
        <v>0</v>
      </c>
      <c r="H146" s="26">
        <v>0</v>
      </c>
      <c r="I146" s="26">
        <v>0</v>
      </c>
      <c r="J146" s="26">
        <v>0</v>
      </c>
      <c r="K146" s="26">
        <v>0</v>
      </c>
      <c r="L146" s="27">
        <v>0</v>
      </c>
      <c r="M146" s="27">
        <v>0</v>
      </c>
      <c r="N146" s="28">
        <v>0</v>
      </c>
      <c r="O146" s="26">
        <v>0</v>
      </c>
      <c r="P146" s="26">
        <v>0</v>
      </c>
      <c r="Q146" s="33">
        <v>0</v>
      </c>
      <c r="R146" s="34">
        <v>0</v>
      </c>
      <c r="S146" s="34">
        <v>0</v>
      </c>
      <c r="T146" s="20">
        <v>0</v>
      </c>
      <c r="U146" s="21" t="s">
        <v>24</v>
      </c>
      <c r="V146" s="22">
        <f>IFERROR(RAW[[#This Row],[ACTUAL GROSS]]/RAW[[#This Row],[CONVERTED]],0)</f>
        <v>0</v>
      </c>
      <c r="W146" s="22">
        <f>IFERROR(RAW[[#This Row],[SALES]]/RAW[[#This Row],[HOURLY PAY]],0)</f>
        <v>0</v>
      </c>
    </row>
    <row r="147" spans="1:23" x14ac:dyDescent="0.35">
      <c r="A147" s="23">
        <v>45163</v>
      </c>
      <c r="B147" s="24" t="s">
        <v>25</v>
      </c>
      <c r="C147" s="25" t="s">
        <v>33</v>
      </c>
      <c r="D147" s="14" t="s">
        <v>27</v>
      </c>
      <c r="E147" s="26">
        <v>1320.5</v>
      </c>
      <c r="F147" s="26">
        <v>261.67</v>
      </c>
      <c r="G147" s="26">
        <v>10</v>
      </c>
      <c r="H147" s="26">
        <v>52.82</v>
      </c>
      <c r="I147" s="26">
        <v>4.3960559999999997</v>
      </c>
      <c r="J147" s="26">
        <v>5.5</v>
      </c>
      <c r="K147" s="26">
        <v>204.45394400000001</v>
      </c>
      <c r="L147" s="27">
        <v>5</v>
      </c>
      <c r="M147" s="27">
        <v>10</v>
      </c>
      <c r="N147" s="28">
        <v>5.166666666666667</v>
      </c>
      <c r="O147" s="26">
        <v>11.005000000000001</v>
      </c>
      <c r="P147" s="26">
        <v>220.958944</v>
      </c>
      <c r="Q147" s="33">
        <v>225.458944</v>
      </c>
      <c r="R147" s="34">
        <v>1</v>
      </c>
      <c r="S147" s="34">
        <v>0</v>
      </c>
      <c r="T147" s="20">
        <v>0</v>
      </c>
      <c r="U147" s="21" t="s">
        <v>24</v>
      </c>
      <c r="V147" s="22">
        <f>IFERROR(RAW[[#This Row],[ACTUAL GROSS]]/RAW[[#This Row],[CONVERTED]],0)</f>
        <v>43.637214967741933</v>
      </c>
      <c r="W147" s="22">
        <f>IFERROR(RAW[[#This Row],[SALES]]/RAW[[#This Row],[HOURLY PAY]],0)</f>
        <v>119.99091322126306</v>
      </c>
    </row>
    <row r="148" spans="1:23" x14ac:dyDescent="0.35">
      <c r="A148" s="23">
        <v>45164</v>
      </c>
      <c r="B148" s="24" t="s">
        <v>21</v>
      </c>
      <c r="C148" s="25" t="s">
        <v>33</v>
      </c>
      <c r="D148" s="14" t="s">
        <v>28</v>
      </c>
      <c r="E148" s="26">
        <v>510</v>
      </c>
      <c r="F148" s="26">
        <v>91.16</v>
      </c>
      <c r="G148" s="26">
        <v>12</v>
      </c>
      <c r="H148" s="26">
        <v>20.400000000000002</v>
      </c>
      <c r="I148" s="26">
        <v>1.5314879999999997</v>
      </c>
      <c r="J148" s="26">
        <v>4.5</v>
      </c>
      <c r="K148" s="26">
        <v>69.228511999999995</v>
      </c>
      <c r="L148" s="27">
        <v>4</v>
      </c>
      <c r="M148" s="27">
        <v>35</v>
      </c>
      <c r="N148" s="28">
        <v>4.583333333333333</v>
      </c>
      <c r="O148" s="26">
        <v>9.7624999999999993</v>
      </c>
      <c r="P148" s="26">
        <v>83.491011999999998</v>
      </c>
      <c r="Q148" s="33">
        <v>90.991011999999998</v>
      </c>
      <c r="R148" s="34">
        <v>1</v>
      </c>
      <c r="S148" s="34">
        <v>1</v>
      </c>
      <c r="T148" s="20">
        <v>0</v>
      </c>
      <c r="U148" s="21" t="s">
        <v>34</v>
      </c>
      <c r="V148" s="22">
        <f>IFERROR(RAW[[#This Row],[ACTUAL GROSS]]/RAW[[#This Row],[CONVERTED]],0)</f>
        <v>19.852584436363639</v>
      </c>
      <c r="W148" s="22">
        <f>IFERROR(RAW[[#This Row],[SALES]]/RAW[[#This Row],[HOURLY PAY]],0)</f>
        <v>52.240717029449428</v>
      </c>
    </row>
    <row r="149" spans="1:23" x14ac:dyDescent="0.35">
      <c r="A149" s="23">
        <v>45164</v>
      </c>
      <c r="B149" s="24" t="s">
        <v>25</v>
      </c>
      <c r="C149" s="25" t="s">
        <v>33</v>
      </c>
      <c r="D149" s="14" t="s">
        <v>28</v>
      </c>
      <c r="E149" s="26">
        <v>1345.5</v>
      </c>
      <c r="F149" s="26">
        <v>280.05</v>
      </c>
      <c r="G149" s="26">
        <v>0</v>
      </c>
      <c r="H149" s="26">
        <v>53.82</v>
      </c>
      <c r="I149" s="26">
        <v>4.7048399999999999</v>
      </c>
      <c r="J149" s="26">
        <v>0</v>
      </c>
      <c r="K149" s="26">
        <v>221.52516000000003</v>
      </c>
      <c r="L149" s="27">
        <v>4</v>
      </c>
      <c r="M149" s="27">
        <v>59</v>
      </c>
      <c r="N149" s="28">
        <v>4.9833333333333334</v>
      </c>
      <c r="O149" s="26">
        <v>10.6145</v>
      </c>
      <c r="P149" s="26">
        <v>232.13966000000002</v>
      </c>
      <c r="Q149" s="33">
        <v>232.13966000000002</v>
      </c>
      <c r="R149" s="34">
        <v>1</v>
      </c>
      <c r="S149" s="34">
        <v>0</v>
      </c>
      <c r="T149" s="20">
        <v>1</v>
      </c>
      <c r="U149" s="21" t="s">
        <v>34</v>
      </c>
      <c r="V149" s="22">
        <f>IFERROR(RAW[[#This Row],[ACTUAL GROSS]]/RAW[[#This Row],[CONVERTED]],0)</f>
        <v>46.583209364548502</v>
      </c>
      <c r="W149" s="22">
        <f>IFERROR(RAW[[#This Row],[SALES]]/RAW[[#This Row],[HOURLY PAY]],0)</f>
        <v>126.7605633802817</v>
      </c>
    </row>
    <row r="150" spans="1:23" x14ac:dyDescent="0.35">
      <c r="A150" s="23">
        <v>45165</v>
      </c>
      <c r="B150" s="24" t="s">
        <v>21</v>
      </c>
      <c r="C150" s="25" t="s">
        <v>33</v>
      </c>
      <c r="D150" s="14" t="s">
        <v>29</v>
      </c>
      <c r="E150" s="26">
        <v>1029.75</v>
      </c>
      <c r="F150" s="26">
        <v>192.755</v>
      </c>
      <c r="G150" s="26">
        <v>11</v>
      </c>
      <c r="H150" s="26">
        <v>41.19</v>
      </c>
      <c r="I150" s="26">
        <v>3.2382839999999997</v>
      </c>
      <c r="J150" s="26">
        <v>4.75</v>
      </c>
      <c r="K150" s="26">
        <v>148.326716</v>
      </c>
      <c r="L150" s="27">
        <v>4</v>
      </c>
      <c r="M150" s="27">
        <v>3.5</v>
      </c>
      <c r="N150" s="28">
        <v>4.0583333333333336</v>
      </c>
      <c r="O150" s="26">
        <v>8.6442499999999995</v>
      </c>
      <c r="P150" s="26">
        <v>161.720966</v>
      </c>
      <c r="Q150" s="33">
        <v>167.970966</v>
      </c>
      <c r="R150" s="34">
        <v>1</v>
      </c>
      <c r="S150" s="34">
        <v>1</v>
      </c>
      <c r="T150" s="20">
        <v>0</v>
      </c>
      <c r="U150" s="21" t="s">
        <v>34</v>
      </c>
      <c r="V150" s="22">
        <f>IFERROR(RAW[[#This Row],[ACTUAL GROSS]]/RAW[[#This Row],[CONVERTED]],0)</f>
        <v>41.389149733059547</v>
      </c>
      <c r="W150" s="22">
        <f>IFERROR(RAW[[#This Row],[SALES]]/RAW[[#This Row],[HOURLY PAY]],0)</f>
        <v>119.12543019926541</v>
      </c>
    </row>
    <row r="151" spans="1:23" x14ac:dyDescent="0.35">
      <c r="A151" s="23">
        <v>45165</v>
      </c>
      <c r="B151" s="24" t="s">
        <v>25</v>
      </c>
      <c r="C151" s="25" t="s">
        <v>33</v>
      </c>
      <c r="D151" s="14" t="s">
        <v>29</v>
      </c>
      <c r="E151" s="26">
        <v>1029.75</v>
      </c>
      <c r="F151" s="26">
        <v>192.755</v>
      </c>
      <c r="G151" s="26">
        <v>0</v>
      </c>
      <c r="H151" s="26">
        <v>41.19</v>
      </c>
      <c r="I151" s="26">
        <v>3.2382839999999997</v>
      </c>
      <c r="J151" s="26">
        <v>0</v>
      </c>
      <c r="K151" s="26">
        <v>148.326716</v>
      </c>
      <c r="L151" s="27">
        <v>4</v>
      </c>
      <c r="M151" s="27">
        <v>3</v>
      </c>
      <c r="N151" s="28">
        <v>4.05</v>
      </c>
      <c r="O151" s="26">
        <v>8.6265000000000001</v>
      </c>
      <c r="P151" s="26">
        <v>156.953216</v>
      </c>
      <c r="Q151" s="33">
        <v>156.953216</v>
      </c>
      <c r="R151" s="34">
        <v>1</v>
      </c>
      <c r="S151" s="34">
        <v>0</v>
      </c>
      <c r="T151" s="20">
        <v>1</v>
      </c>
      <c r="U151" s="21" t="s">
        <v>34</v>
      </c>
      <c r="V151" s="22">
        <f>IFERROR(RAW[[#This Row],[ACTUAL GROSS]]/RAW[[#This Row],[CONVERTED]],0)</f>
        <v>38.753880493827161</v>
      </c>
      <c r="W151" s="22">
        <f>IFERROR(RAW[[#This Row],[SALES]]/RAW[[#This Row],[HOURLY PAY]],0)</f>
        <v>119.37054425317336</v>
      </c>
    </row>
    <row r="152" spans="1:23" x14ac:dyDescent="0.35">
      <c r="A152" s="23">
        <v>45166</v>
      </c>
      <c r="B152" s="24" t="s">
        <v>21</v>
      </c>
      <c r="C152" s="25" t="s">
        <v>33</v>
      </c>
      <c r="D152" s="14" t="s">
        <v>30</v>
      </c>
      <c r="E152" s="26">
        <v>281</v>
      </c>
      <c r="F152" s="26">
        <v>39.299999999999997</v>
      </c>
      <c r="G152" s="26">
        <v>19</v>
      </c>
      <c r="H152" s="26">
        <v>11.24</v>
      </c>
      <c r="I152" s="26">
        <v>0.66023999999999994</v>
      </c>
      <c r="J152" s="26">
        <v>6.5</v>
      </c>
      <c r="K152" s="26">
        <v>27.399759999999997</v>
      </c>
      <c r="L152" s="27">
        <v>2</v>
      </c>
      <c r="M152" s="27">
        <v>59</v>
      </c>
      <c r="N152" s="28">
        <v>2.9833333333333334</v>
      </c>
      <c r="O152" s="26">
        <v>6.3544999999999998</v>
      </c>
      <c r="P152" s="26">
        <v>40.254260000000002</v>
      </c>
      <c r="Q152" s="33">
        <v>52.754260000000002</v>
      </c>
      <c r="R152" s="34">
        <v>1</v>
      </c>
      <c r="S152" s="34">
        <v>1</v>
      </c>
      <c r="T152" s="20">
        <v>0</v>
      </c>
      <c r="U152" s="21" t="s">
        <v>34</v>
      </c>
      <c r="V152" s="22">
        <f>IFERROR(RAW[[#This Row],[ACTUAL GROSS]]/RAW[[#This Row],[CONVERTED]],0)</f>
        <v>17.682992178770949</v>
      </c>
      <c r="W152" s="22">
        <f>IFERROR(RAW[[#This Row],[SALES]]/RAW[[#This Row],[HOURLY PAY]],0)</f>
        <v>44.220631048863012</v>
      </c>
    </row>
    <row r="153" spans="1:23" x14ac:dyDescent="0.35">
      <c r="A153" s="23">
        <v>45166</v>
      </c>
      <c r="B153" s="24" t="s">
        <v>25</v>
      </c>
      <c r="C153" s="25" t="s">
        <v>33</v>
      </c>
      <c r="D153" s="14" t="s">
        <v>30</v>
      </c>
      <c r="E153" s="26">
        <v>131</v>
      </c>
      <c r="F153" s="26">
        <v>26.2</v>
      </c>
      <c r="G153" s="26">
        <v>0</v>
      </c>
      <c r="H153" s="26">
        <v>5.24</v>
      </c>
      <c r="I153" s="26">
        <v>0.44015999999999994</v>
      </c>
      <c r="J153" s="26">
        <v>0</v>
      </c>
      <c r="K153" s="26">
        <v>20.519839999999999</v>
      </c>
      <c r="L153" s="27">
        <v>2</v>
      </c>
      <c r="M153" s="27">
        <v>30</v>
      </c>
      <c r="N153" s="28">
        <v>2.5</v>
      </c>
      <c r="O153" s="26">
        <v>5.3249999999999993</v>
      </c>
      <c r="P153" s="26">
        <v>25.844839999999998</v>
      </c>
      <c r="Q153" s="33">
        <v>25.844839999999998</v>
      </c>
      <c r="R153" s="34">
        <v>1</v>
      </c>
      <c r="S153" s="34">
        <v>0</v>
      </c>
      <c r="T153" s="20">
        <v>1</v>
      </c>
      <c r="U153" s="21" t="s">
        <v>34</v>
      </c>
      <c r="V153" s="22">
        <f>IFERROR(RAW[[#This Row],[ACTUAL GROSS]]/RAW[[#This Row],[CONVERTED]],0)</f>
        <v>10.337935999999999</v>
      </c>
      <c r="W153" s="22">
        <f>IFERROR(RAW[[#This Row],[SALES]]/RAW[[#This Row],[HOURLY PAY]],0)</f>
        <v>24.600938967136152</v>
      </c>
    </row>
    <row r="154" spans="1:23" x14ac:dyDescent="0.35">
      <c r="A154" s="23">
        <v>45167</v>
      </c>
      <c r="B154" s="24" t="s">
        <v>21</v>
      </c>
      <c r="C154" s="25" t="s">
        <v>33</v>
      </c>
      <c r="D154" s="14" t="s">
        <v>31</v>
      </c>
      <c r="E154" s="26">
        <v>0</v>
      </c>
      <c r="F154" s="26">
        <v>0</v>
      </c>
      <c r="G154" s="26">
        <v>0</v>
      </c>
      <c r="H154" s="26">
        <v>0</v>
      </c>
      <c r="I154" s="26">
        <v>0</v>
      </c>
      <c r="J154" s="26">
        <v>0</v>
      </c>
      <c r="K154" s="26">
        <v>0</v>
      </c>
      <c r="L154" s="27">
        <v>0</v>
      </c>
      <c r="M154" s="27">
        <v>0</v>
      </c>
      <c r="N154" s="28">
        <v>0</v>
      </c>
      <c r="O154" s="26">
        <v>0</v>
      </c>
      <c r="P154" s="26">
        <v>0</v>
      </c>
      <c r="Q154" s="33">
        <v>0</v>
      </c>
      <c r="R154" s="34">
        <v>0</v>
      </c>
      <c r="S154" s="34">
        <v>0</v>
      </c>
      <c r="T154" s="20">
        <v>0</v>
      </c>
      <c r="U154" s="21" t="s">
        <v>24</v>
      </c>
      <c r="V154" s="22">
        <f>IFERROR(RAW[[#This Row],[ACTUAL GROSS]]/RAW[[#This Row],[CONVERTED]],0)</f>
        <v>0</v>
      </c>
      <c r="W154" s="22">
        <f>IFERROR(RAW[[#This Row],[SALES]]/RAW[[#This Row],[HOURLY PAY]],0)</f>
        <v>0</v>
      </c>
    </row>
    <row r="155" spans="1:23" x14ac:dyDescent="0.35">
      <c r="A155" s="23">
        <v>45167</v>
      </c>
      <c r="B155" s="24" t="s">
        <v>25</v>
      </c>
      <c r="C155" s="25" t="s">
        <v>33</v>
      </c>
      <c r="D155" s="14" t="s">
        <v>31</v>
      </c>
      <c r="E155" s="26">
        <v>0</v>
      </c>
      <c r="F155" s="26">
        <v>0</v>
      </c>
      <c r="G155" s="26">
        <v>0</v>
      </c>
      <c r="H155" s="26">
        <v>0</v>
      </c>
      <c r="I155" s="26">
        <v>0</v>
      </c>
      <c r="J155" s="26">
        <v>0</v>
      </c>
      <c r="K155" s="26">
        <v>0</v>
      </c>
      <c r="L155" s="27">
        <v>0</v>
      </c>
      <c r="M155" s="27">
        <v>0</v>
      </c>
      <c r="N155" s="28">
        <v>0</v>
      </c>
      <c r="O155" s="26">
        <v>0</v>
      </c>
      <c r="P155" s="26">
        <v>0</v>
      </c>
      <c r="Q155" s="33">
        <v>0</v>
      </c>
      <c r="R155" s="34">
        <v>0</v>
      </c>
      <c r="S155" s="34">
        <v>0</v>
      </c>
      <c r="T155" s="20">
        <v>0</v>
      </c>
      <c r="U155" s="21" t="s">
        <v>24</v>
      </c>
      <c r="V155" s="22">
        <f>IFERROR(RAW[[#This Row],[ACTUAL GROSS]]/RAW[[#This Row],[CONVERTED]],0)</f>
        <v>0</v>
      </c>
      <c r="W155" s="22">
        <f>IFERROR(RAW[[#This Row],[SALES]]/RAW[[#This Row],[HOURLY PAY]],0)</f>
        <v>0</v>
      </c>
    </row>
    <row r="156" spans="1:23" x14ac:dyDescent="0.35">
      <c r="A156" s="23">
        <v>45168</v>
      </c>
      <c r="B156" s="24" t="s">
        <v>21</v>
      </c>
      <c r="C156" s="25" t="s">
        <v>33</v>
      </c>
      <c r="D156" s="14" t="s">
        <v>23</v>
      </c>
      <c r="E156" s="26">
        <v>787</v>
      </c>
      <c r="F156" s="26">
        <v>120.1</v>
      </c>
      <c r="G156" s="26">
        <v>20</v>
      </c>
      <c r="H156" s="26">
        <v>31.48</v>
      </c>
      <c r="I156" s="26">
        <v>2.0176799999999999</v>
      </c>
      <c r="J156" s="26">
        <v>0</v>
      </c>
      <c r="K156" s="26">
        <v>86.602319999999992</v>
      </c>
      <c r="L156" s="27">
        <v>3</v>
      </c>
      <c r="M156" s="27">
        <v>33</v>
      </c>
      <c r="N156" s="28">
        <v>3.55</v>
      </c>
      <c r="O156" s="26">
        <v>7.5614999999999997</v>
      </c>
      <c r="P156" s="26">
        <v>94.163819999999987</v>
      </c>
      <c r="Q156" s="33">
        <v>114.16381999999999</v>
      </c>
      <c r="R156" s="34">
        <v>1</v>
      </c>
      <c r="S156" s="34">
        <v>1</v>
      </c>
      <c r="T156" s="20">
        <v>0</v>
      </c>
      <c r="U156" s="21" t="s">
        <v>34</v>
      </c>
      <c r="V156" s="22">
        <f>IFERROR(RAW[[#This Row],[ACTUAL GROSS]]/RAW[[#This Row],[CONVERTED]],0)</f>
        <v>32.158822535211264</v>
      </c>
      <c r="W156" s="22">
        <f>IFERROR(RAW[[#This Row],[SALES]]/RAW[[#This Row],[HOURLY PAY]],0)</f>
        <v>104.07987833101899</v>
      </c>
    </row>
    <row r="157" spans="1:23" x14ac:dyDescent="0.35">
      <c r="A157" s="23">
        <v>45168</v>
      </c>
      <c r="B157" s="24" t="s">
        <v>25</v>
      </c>
      <c r="C157" s="25" t="s">
        <v>33</v>
      </c>
      <c r="D157" s="14" t="s">
        <v>23</v>
      </c>
      <c r="E157" s="26">
        <v>954.5</v>
      </c>
      <c r="F157" s="26">
        <v>157.63999999999999</v>
      </c>
      <c r="G157" s="26">
        <v>0</v>
      </c>
      <c r="H157" s="26">
        <v>38.18</v>
      </c>
      <c r="I157" s="26">
        <v>2.6483519999999996</v>
      </c>
      <c r="J157" s="26">
        <v>0</v>
      </c>
      <c r="K157" s="26">
        <v>116.81164799999999</v>
      </c>
      <c r="L157" s="27">
        <v>4</v>
      </c>
      <c r="M157" s="27">
        <v>27</v>
      </c>
      <c r="N157" s="28">
        <v>4.45</v>
      </c>
      <c r="O157" s="26">
        <v>9.4785000000000004</v>
      </c>
      <c r="P157" s="26">
        <v>126.29014799999999</v>
      </c>
      <c r="Q157" s="33">
        <v>126.29014799999999</v>
      </c>
      <c r="R157" s="34">
        <v>1</v>
      </c>
      <c r="S157" s="34">
        <v>0</v>
      </c>
      <c r="T157" s="20">
        <v>1</v>
      </c>
      <c r="U157" s="21" t="s">
        <v>34</v>
      </c>
      <c r="V157" s="22">
        <f>IFERROR(RAW[[#This Row],[ACTUAL GROSS]]/RAW[[#This Row],[CONVERTED]],0)</f>
        <v>28.37980853932584</v>
      </c>
      <c r="W157" s="22">
        <f>IFERROR(RAW[[#This Row],[SALES]]/RAW[[#This Row],[HOURLY PAY]],0)</f>
        <v>100.70158780397742</v>
      </c>
    </row>
    <row r="158" spans="1:23" x14ac:dyDescent="0.35">
      <c r="A158" s="23">
        <v>45169</v>
      </c>
      <c r="B158" s="24" t="s">
        <v>21</v>
      </c>
      <c r="C158" s="25" t="s">
        <v>33</v>
      </c>
      <c r="D158" s="14" t="s">
        <v>26</v>
      </c>
      <c r="E158" s="26">
        <v>0</v>
      </c>
      <c r="F158" s="26">
        <v>0</v>
      </c>
      <c r="G158" s="26">
        <v>0</v>
      </c>
      <c r="H158" s="26">
        <v>0</v>
      </c>
      <c r="I158" s="26">
        <v>0</v>
      </c>
      <c r="J158" s="26">
        <v>0</v>
      </c>
      <c r="K158" s="26">
        <v>0</v>
      </c>
      <c r="L158" s="27">
        <v>0</v>
      </c>
      <c r="M158" s="27">
        <v>0</v>
      </c>
      <c r="N158" s="28">
        <v>0</v>
      </c>
      <c r="O158" s="26">
        <v>0</v>
      </c>
      <c r="P158" s="26">
        <v>0</v>
      </c>
      <c r="Q158" s="33">
        <v>0</v>
      </c>
      <c r="R158" s="34">
        <v>0</v>
      </c>
      <c r="S158" s="34">
        <v>0</v>
      </c>
      <c r="T158" s="20">
        <v>0</v>
      </c>
      <c r="U158" s="21" t="s">
        <v>24</v>
      </c>
      <c r="V158" s="22">
        <f>IFERROR(RAW[[#This Row],[ACTUAL GROSS]]/RAW[[#This Row],[CONVERTED]],0)</f>
        <v>0</v>
      </c>
      <c r="W158" s="22">
        <f>IFERROR(RAW[[#This Row],[SALES]]/RAW[[#This Row],[HOURLY PAY]],0)</f>
        <v>0</v>
      </c>
    </row>
    <row r="159" spans="1:23" x14ac:dyDescent="0.35">
      <c r="A159" s="23">
        <v>45169</v>
      </c>
      <c r="B159" s="24" t="s">
        <v>25</v>
      </c>
      <c r="C159" s="25" t="s">
        <v>33</v>
      </c>
      <c r="D159" s="14" t="s">
        <v>26</v>
      </c>
      <c r="E159" s="26">
        <v>0</v>
      </c>
      <c r="F159" s="26">
        <v>0</v>
      </c>
      <c r="G159" s="26">
        <v>0</v>
      </c>
      <c r="H159" s="26">
        <v>0</v>
      </c>
      <c r="I159" s="26">
        <v>0</v>
      </c>
      <c r="J159" s="26">
        <v>0</v>
      </c>
      <c r="K159" s="26">
        <v>0</v>
      </c>
      <c r="L159" s="27">
        <v>0</v>
      </c>
      <c r="M159" s="27">
        <v>0</v>
      </c>
      <c r="N159" s="28">
        <v>0</v>
      </c>
      <c r="O159" s="26">
        <v>0</v>
      </c>
      <c r="P159" s="26">
        <v>0</v>
      </c>
      <c r="Q159" s="33">
        <v>0</v>
      </c>
      <c r="R159" s="34">
        <v>0</v>
      </c>
      <c r="S159" s="34">
        <v>0</v>
      </c>
      <c r="T159" s="20">
        <v>0</v>
      </c>
      <c r="U159" s="21" t="s">
        <v>24</v>
      </c>
      <c r="V159" s="22">
        <f>IFERROR(RAW[[#This Row],[ACTUAL GROSS]]/RAW[[#This Row],[CONVERTED]],0)</f>
        <v>0</v>
      </c>
      <c r="W159" s="22">
        <f>IFERROR(RAW[[#This Row],[SALES]]/RAW[[#This Row],[HOURLY PAY]],0)</f>
        <v>0</v>
      </c>
    </row>
    <row r="160" spans="1:23" x14ac:dyDescent="0.35">
      <c r="A160" s="23">
        <v>45170</v>
      </c>
      <c r="B160" s="24" t="s">
        <v>21</v>
      </c>
      <c r="C160" s="25" t="s">
        <v>35</v>
      </c>
      <c r="D160" s="14" t="s">
        <v>27</v>
      </c>
      <c r="E160" s="26">
        <v>0</v>
      </c>
      <c r="F160" s="26">
        <v>0</v>
      </c>
      <c r="G160" s="26">
        <v>0</v>
      </c>
      <c r="H160" s="26">
        <v>0</v>
      </c>
      <c r="I160" s="26">
        <v>0</v>
      </c>
      <c r="J160" s="26">
        <v>0</v>
      </c>
      <c r="K160" s="26">
        <v>0</v>
      </c>
      <c r="L160" s="27">
        <v>0</v>
      </c>
      <c r="M160" s="27">
        <v>0</v>
      </c>
      <c r="N160" s="28">
        <v>0</v>
      </c>
      <c r="O160" s="26">
        <v>0</v>
      </c>
      <c r="P160" s="26">
        <v>0</v>
      </c>
      <c r="Q160" s="33">
        <v>0</v>
      </c>
      <c r="R160" s="34">
        <v>0</v>
      </c>
      <c r="S160" s="34">
        <v>0</v>
      </c>
      <c r="T160" s="20">
        <v>0</v>
      </c>
      <c r="U160" s="21" t="s">
        <v>24</v>
      </c>
      <c r="V160" s="22">
        <f>IFERROR(RAW[[#This Row],[ACTUAL GROSS]]/RAW[[#This Row],[CONVERTED]],0)</f>
        <v>0</v>
      </c>
      <c r="W160" s="22">
        <f>IFERROR(RAW[[#This Row],[SALES]]/RAW[[#This Row],[HOURLY PAY]],0)</f>
        <v>0</v>
      </c>
    </row>
    <row r="161" spans="1:23" x14ac:dyDescent="0.35">
      <c r="A161" s="23">
        <v>45170</v>
      </c>
      <c r="B161" s="24" t="s">
        <v>25</v>
      </c>
      <c r="C161" s="25" t="s">
        <v>35</v>
      </c>
      <c r="D161" s="14" t="s">
        <v>27</v>
      </c>
      <c r="E161" s="26">
        <v>0</v>
      </c>
      <c r="F161" s="26">
        <v>0</v>
      </c>
      <c r="G161" s="26">
        <v>0</v>
      </c>
      <c r="H161" s="26">
        <v>0</v>
      </c>
      <c r="I161" s="26">
        <v>0</v>
      </c>
      <c r="J161" s="26">
        <v>0</v>
      </c>
      <c r="K161" s="26">
        <v>0</v>
      </c>
      <c r="L161" s="27">
        <v>0</v>
      </c>
      <c r="M161" s="27">
        <v>0</v>
      </c>
      <c r="N161" s="28">
        <v>0</v>
      </c>
      <c r="O161" s="26">
        <v>0</v>
      </c>
      <c r="P161" s="26">
        <v>0</v>
      </c>
      <c r="Q161" s="33">
        <v>0</v>
      </c>
      <c r="R161" s="34">
        <v>0</v>
      </c>
      <c r="S161" s="34">
        <v>0</v>
      </c>
      <c r="T161" s="20">
        <v>0</v>
      </c>
      <c r="U161" s="21" t="s">
        <v>24</v>
      </c>
      <c r="V161" s="22">
        <f>IFERROR(RAW[[#This Row],[ACTUAL GROSS]]/RAW[[#This Row],[CONVERTED]],0)</f>
        <v>0</v>
      </c>
      <c r="W161" s="22">
        <f>IFERROR(RAW[[#This Row],[SALES]]/RAW[[#This Row],[HOURLY PAY]],0)</f>
        <v>0</v>
      </c>
    </row>
    <row r="162" spans="1:23" x14ac:dyDescent="0.35">
      <c r="A162" s="23">
        <v>45171</v>
      </c>
      <c r="B162" s="24" t="s">
        <v>21</v>
      </c>
      <c r="C162" s="25" t="s">
        <v>35</v>
      </c>
      <c r="D162" s="14" t="s">
        <v>28</v>
      </c>
      <c r="E162" s="26">
        <v>0</v>
      </c>
      <c r="F162" s="26">
        <v>0</v>
      </c>
      <c r="G162" s="26">
        <v>0</v>
      </c>
      <c r="H162" s="26">
        <v>0</v>
      </c>
      <c r="I162" s="26">
        <v>0</v>
      </c>
      <c r="J162" s="26">
        <v>0</v>
      </c>
      <c r="K162" s="26">
        <v>0</v>
      </c>
      <c r="L162" s="27">
        <v>0</v>
      </c>
      <c r="M162" s="27">
        <v>0</v>
      </c>
      <c r="N162" s="28">
        <v>0</v>
      </c>
      <c r="O162" s="26">
        <v>0</v>
      </c>
      <c r="P162" s="26">
        <v>0</v>
      </c>
      <c r="Q162" s="33">
        <v>0</v>
      </c>
      <c r="R162" s="34">
        <v>0</v>
      </c>
      <c r="S162" s="34">
        <v>0</v>
      </c>
      <c r="T162" s="20">
        <v>0</v>
      </c>
      <c r="U162" s="21" t="s">
        <v>24</v>
      </c>
      <c r="V162" s="22">
        <f>IFERROR(RAW[[#This Row],[ACTUAL GROSS]]/RAW[[#This Row],[CONVERTED]],0)</f>
        <v>0</v>
      </c>
      <c r="W162" s="22">
        <f>IFERROR(RAW[[#This Row],[SALES]]/RAW[[#This Row],[HOURLY PAY]],0)</f>
        <v>0</v>
      </c>
    </row>
    <row r="163" spans="1:23" x14ac:dyDescent="0.35">
      <c r="A163" s="23">
        <v>45171</v>
      </c>
      <c r="B163" s="24" t="s">
        <v>25</v>
      </c>
      <c r="C163" s="25" t="s">
        <v>35</v>
      </c>
      <c r="D163" s="14" t="s">
        <v>28</v>
      </c>
      <c r="E163" s="26">
        <v>1714</v>
      </c>
      <c r="F163" s="26">
        <v>301.2</v>
      </c>
      <c r="G163" s="26">
        <v>75</v>
      </c>
      <c r="H163" s="26">
        <v>68.56</v>
      </c>
      <c r="I163" s="26">
        <v>5.0601599999999998</v>
      </c>
      <c r="J163" s="26">
        <v>20</v>
      </c>
      <c r="K163" s="26">
        <v>227.57983999999999</v>
      </c>
      <c r="L163" s="27">
        <v>7</v>
      </c>
      <c r="M163" s="27">
        <v>24</v>
      </c>
      <c r="N163" s="28">
        <v>7.4</v>
      </c>
      <c r="O163" s="26">
        <v>15.762</v>
      </c>
      <c r="P163" s="26">
        <v>263.34183999999999</v>
      </c>
      <c r="Q163" s="33">
        <v>318.34183999999999</v>
      </c>
      <c r="R163" s="34">
        <v>1</v>
      </c>
      <c r="S163" s="34">
        <v>0</v>
      </c>
      <c r="T163" s="20">
        <v>0</v>
      </c>
      <c r="U163" s="21" t="s">
        <v>24</v>
      </c>
      <c r="V163" s="22">
        <f>IFERROR(RAW[[#This Row],[ACTUAL GROSS]]/RAW[[#This Row],[CONVERTED]],0)</f>
        <v>43.019167567567564</v>
      </c>
      <c r="W163" s="22">
        <f>IFERROR(RAW[[#This Row],[SALES]]/RAW[[#This Row],[HOURLY PAY]],0)</f>
        <v>108.74254536226367</v>
      </c>
    </row>
    <row r="164" spans="1:23" x14ac:dyDescent="0.35">
      <c r="A164" s="23">
        <v>45172</v>
      </c>
      <c r="B164" s="24" t="s">
        <v>21</v>
      </c>
      <c r="C164" s="25" t="s">
        <v>35</v>
      </c>
      <c r="D164" s="14" t="s">
        <v>29</v>
      </c>
      <c r="E164" s="26">
        <v>0</v>
      </c>
      <c r="F164" s="26">
        <v>0</v>
      </c>
      <c r="G164" s="26">
        <v>0</v>
      </c>
      <c r="H164" s="26">
        <v>0</v>
      </c>
      <c r="I164" s="26">
        <v>0</v>
      </c>
      <c r="J164" s="26">
        <v>0</v>
      </c>
      <c r="K164" s="26">
        <v>0</v>
      </c>
      <c r="L164" s="27">
        <v>0</v>
      </c>
      <c r="M164" s="27">
        <v>0</v>
      </c>
      <c r="N164" s="28">
        <v>0</v>
      </c>
      <c r="O164" s="26">
        <v>0</v>
      </c>
      <c r="P164" s="26">
        <v>0</v>
      </c>
      <c r="Q164" s="33">
        <v>0</v>
      </c>
      <c r="R164" s="34">
        <v>0</v>
      </c>
      <c r="S164" s="34">
        <v>0</v>
      </c>
      <c r="T164" s="20">
        <v>0</v>
      </c>
      <c r="U164" s="21" t="s">
        <v>24</v>
      </c>
      <c r="V164" s="22">
        <f>IFERROR(RAW[[#This Row],[ACTUAL GROSS]]/RAW[[#This Row],[CONVERTED]],0)</f>
        <v>0</v>
      </c>
      <c r="W164" s="22">
        <f>IFERROR(RAW[[#This Row],[SALES]]/RAW[[#This Row],[HOURLY PAY]],0)</f>
        <v>0</v>
      </c>
    </row>
    <row r="165" spans="1:23" x14ac:dyDescent="0.35">
      <c r="A165" s="23">
        <v>45172</v>
      </c>
      <c r="B165" s="24" t="s">
        <v>25</v>
      </c>
      <c r="C165" s="25" t="s">
        <v>35</v>
      </c>
      <c r="D165" s="14" t="s">
        <v>29</v>
      </c>
      <c r="E165" s="26">
        <v>1227.5</v>
      </c>
      <c r="F165" s="26">
        <v>173.5</v>
      </c>
      <c r="G165" s="26">
        <v>60</v>
      </c>
      <c r="H165" s="26">
        <v>49.1</v>
      </c>
      <c r="I165" s="26">
        <v>2.9147999999999996</v>
      </c>
      <c r="J165" s="26">
        <v>9.5</v>
      </c>
      <c r="K165" s="26">
        <v>121.48519999999999</v>
      </c>
      <c r="L165" s="27">
        <v>5</v>
      </c>
      <c r="M165" s="27">
        <v>15</v>
      </c>
      <c r="N165" s="28">
        <v>5.25</v>
      </c>
      <c r="O165" s="26">
        <v>11.182499999999999</v>
      </c>
      <c r="P165" s="26">
        <v>142.1677</v>
      </c>
      <c r="Q165" s="33">
        <v>192.6677</v>
      </c>
      <c r="R165" s="34">
        <v>1</v>
      </c>
      <c r="S165" s="34">
        <v>0</v>
      </c>
      <c r="T165" s="20">
        <v>0</v>
      </c>
      <c r="U165" s="21" t="s">
        <v>24</v>
      </c>
      <c r="V165" s="22">
        <f>IFERROR(RAW[[#This Row],[ACTUAL GROSS]]/RAW[[#This Row],[CONVERTED]],0)</f>
        <v>36.698609523809523</v>
      </c>
      <c r="W165" s="22">
        <f>IFERROR(RAW[[#This Row],[SALES]]/RAW[[#This Row],[HOURLY PAY]],0)</f>
        <v>109.76972948803936</v>
      </c>
    </row>
    <row r="166" spans="1:23" x14ac:dyDescent="0.35">
      <c r="A166" s="23">
        <v>45173</v>
      </c>
      <c r="B166" s="24" t="s">
        <v>21</v>
      </c>
      <c r="C166" s="25" t="s">
        <v>35</v>
      </c>
      <c r="D166" s="14" t="s">
        <v>30</v>
      </c>
      <c r="E166" s="26">
        <v>0</v>
      </c>
      <c r="F166" s="26">
        <v>0</v>
      </c>
      <c r="G166" s="26">
        <v>0</v>
      </c>
      <c r="H166" s="26">
        <v>0</v>
      </c>
      <c r="I166" s="26">
        <v>0</v>
      </c>
      <c r="J166" s="26">
        <v>0</v>
      </c>
      <c r="K166" s="26">
        <v>0</v>
      </c>
      <c r="L166" s="27">
        <v>0</v>
      </c>
      <c r="M166" s="27">
        <v>0</v>
      </c>
      <c r="N166" s="28">
        <v>0</v>
      </c>
      <c r="O166" s="26">
        <v>0</v>
      </c>
      <c r="P166" s="26">
        <v>0</v>
      </c>
      <c r="Q166" s="33">
        <v>0</v>
      </c>
      <c r="R166" s="34">
        <v>0</v>
      </c>
      <c r="S166" s="34">
        <v>0</v>
      </c>
      <c r="T166" s="20">
        <v>0</v>
      </c>
      <c r="U166" s="21" t="s">
        <v>24</v>
      </c>
      <c r="V166" s="22">
        <f>IFERROR(RAW[[#This Row],[ACTUAL GROSS]]/RAW[[#This Row],[CONVERTED]],0)</f>
        <v>0</v>
      </c>
      <c r="W166" s="22">
        <f>IFERROR(RAW[[#This Row],[SALES]]/RAW[[#This Row],[HOURLY PAY]],0)</f>
        <v>0</v>
      </c>
    </row>
    <row r="167" spans="1:23" x14ac:dyDescent="0.35">
      <c r="A167" s="23">
        <v>45173</v>
      </c>
      <c r="B167" s="24" t="s">
        <v>25</v>
      </c>
      <c r="C167" s="25" t="s">
        <v>35</v>
      </c>
      <c r="D167" s="14" t="s">
        <v>30</v>
      </c>
      <c r="E167" s="26">
        <v>1301.5</v>
      </c>
      <c r="F167" s="26">
        <v>224.13</v>
      </c>
      <c r="G167" s="26">
        <v>15</v>
      </c>
      <c r="H167" s="26">
        <v>52.06</v>
      </c>
      <c r="I167" s="26">
        <v>3.7653839999999996</v>
      </c>
      <c r="J167" s="26">
        <v>0</v>
      </c>
      <c r="K167" s="26">
        <v>168.30461600000001</v>
      </c>
      <c r="L167" s="27">
        <v>5</v>
      </c>
      <c r="M167" s="27">
        <v>56</v>
      </c>
      <c r="N167" s="28">
        <v>5.9333333333333336</v>
      </c>
      <c r="O167" s="26">
        <v>12.638</v>
      </c>
      <c r="P167" s="26">
        <v>180.94261600000002</v>
      </c>
      <c r="Q167" s="33">
        <v>195.94261600000002</v>
      </c>
      <c r="R167" s="34">
        <v>1</v>
      </c>
      <c r="S167" s="34">
        <v>0</v>
      </c>
      <c r="T167" s="20">
        <v>0</v>
      </c>
      <c r="U167" s="21" t="s">
        <v>24</v>
      </c>
      <c r="V167" s="22">
        <f>IFERROR(RAW[[#This Row],[ACTUAL GROSS]]/RAW[[#This Row],[CONVERTED]],0)</f>
        <v>33.024036404494382</v>
      </c>
      <c r="W167" s="22">
        <f>IFERROR(RAW[[#This Row],[SALES]]/RAW[[#This Row],[HOURLY PAY]],0)</f>
        <v>102.98306694097167</v>
      </c>
    </row>
    <row r="168" spans="1:23" x14ac:dyDescent="0.35">
      <c r="A168" s="23">
        <v>45174</v>
      </c>
      <c r="B168" s="24" t="s">
        <v>21</v>
      </c>
      <c r="C168" s="25" t="s">
        <v>35</v>
      </c>
      <c r="D168" s="14" t="s">
        <v>31</v>
      </c>
      <c r="E168" s="26">
        <v>0</v>
      </c>
      <c r="F168" s="26">
        <v>0</v>
      </c>
      <c r="G168" s="26">
        <v>0</v>
      </c>
      <c r="H168" s="26">
        <v>0</v>
      </c>
      <c r="I168" s="26">
        <v>0</v>
      </c>
      <c r="J168" s="26">
        <v>0</v>
      </c>
      <c r="K168" s="26">
        <v>0</v>
      </c>
      <c r="L168" s="27">
        <v>0</v>
      </c>
      <c r="M168" s="27">
        <v>0</v>
      </c>
      <c r="N168" s="28">
        <v>0</v>
      </c>
      <c r="O168" s="26">
        <v>0</v>
      </c>
      <c r="P168" s="26">
        <v>0</v>
      </c>
      <c r="Q168" s="33">
        <v>0</v>
      </c>
      <c r="R168" s="34">
        <v>0</v>
      </c>
      <c r="S168" s="34">
        <v>0</v>
      </c>
      <c r="T168" s="20">
        <v>0</v>
      </c>
      <c r="U168" s="21" t="s">
        <v>24</v>
      </c>
      <c r="V168" s="22">
        <f>IFERROR(RAW[[#This Row],[ACTUAL GROSS]]/RAW[[#This Row],[CONVERTED]],0)</f>
        <v>0</v>
      </c>
      <c r="W168" s="22">
        <f>IFERROR(RAW[[#This Row],[SALES]]/RAW[[#This Row],[HOURLY PAY]],0)</f>
        <v>0</v>
      </c>
    </row>
    <row r="169" spans="1:23" x14ac:dyDescent="0.35">
      <c r="A169" s="23">
        <v>45174</v>
      </c>
      <c r="B169" s="24" t="s">
        <v>25</v>
      </c>
      <c r="C169" s="25" t="s">
        <v>35</v>
      </c>
      <c r="D169" s="14" t="s">
        <v>31</v>
      </c>
      <c r="E169" s="26">
        <v>950</v>
      </c>
      <c r="F169" s="26">
        <v>168.14</v>
      </c>
      <c r="G169" s="26">
        <v>9</v>
      </c>
      <c r="H169" s="26">
        <v>38</v>
      </c>
      <c r="I169" s="26">
        <v>2.8247519999999997</v>
      </c>
      <c r="J169" s="26">
        <v>7.2</v>
      </c>
      <c r="K169" s="26">
        <v>127.315248</v>
      </c>
      <c r="L169" s="27">
        <v>6</v>
      </c>
      <c r="M169" s="27">
        <v>6</v>
      </c>
      <c r="N169" s="28">
        <v>6.1</v>
      </c>
      <c r="O169" s="26">
        <v>12.992999999999999</v>
      </c>
      <c r="P169" s="26">
        <v>147.50824799999998</v>
      </c>
      <c r="Q169" s="33">
        <v>149.30824799999999</v>
      </c>
      <c r="R169" s="34">
        <v>1</v>
      </c>
      <c r="S169" s="34">
        <v>0</v>
      </c>
      <c r="T169" s="20">
        <v>0</v>
      </c>
      <c r="U169" s="21" t="s">
        <v>24</v>
      </c>
      <c r="V169" s="22">
        <f>IFERROR(RAW[[#This Row],[ACTUAL GROSS]]/RAW[[#This Row],[CONVERTED]],0)</f>
        <v>24.476761967213115</v>
      </c>
      <c r="W169" s="22">
        <f>IFERROR(RAW[[#This Row],[SALES]]/RAW[[#This Row],[HOURLY PAY]],0)</f>
        <v>73.116293388747792</v>
      </c>
    </row>
    <row r="170" spans="1:23" x14ac:dyDescent="0.35">
      <c r="A170" s="23">
        <v>45175</v>
      </c>
      <c r="B170" s="24" t="s">
        <v>21</v>
      </c>
      <c r="C170" s="25" t="s">
        <v>35</v>
      </c>
      <c r="D170" s="14" t="s">
        <v>23</v>
      </c>
      <c r="E170" s="26">
        <v>223</v>
      </c>
      <c r="F170" s="26">
        <v>46.65</v>
      </c>
      <c r="G170" s="26">
        <v>0</v>
      </c>
      <c r="H170" s="26">
        <v>8.92</v>
      </c>
      <c r="I170" s="26">
        <v>0.78371999999999997</v>
      </c>
      <c r="J170" s="26">
        <v>0</v>
      </c>
      <c r="K170" s="26">
        <v>36.946280000000002</v>
      </c>
      <c r="L170" s="27">
        <v>2</v>
      </c>
      <c r="M170" s="27">
        <v>40</v>
      </c>
      <c r="N170" s="28">
        <v>2.6666666666666665</v>
      </c>
      <c r="O170" s="26">
        <v>5.68</v>
      </c>
      <c r="P170" s="26">
        <v>42.626280000000001</v>
      </c>
      <c r="Q170" s="33">
        <v>42.626280000000001</v>
      </c>
      <c r="R170" s="34">
        <v>1</v>
      </c>
      <c r="S170" s="34">
        <v>1</v>
      </c>
      <c r="T170" s="20">
        <v>0</v>
      </c>
      <c r="U170" s="21" t="s">
        <v>24</v>
      </c>
      <c r="V170" s="22">
        <f>IFERROR(RAW[[#This Row],[ACTUAL GROSS]]/RAW[[#This Row],[CONVERTED]],0)</f>
        <v>15.984855000000001</v>
      </c>
      <c r="W170" s="22">
        <f>IFERROR(RAW[[#This Row],[SALES]]/RAW[[#This Row],[HOURLY PAY]],0)</f>
        <v>39.260563380281695</v>
      </c>
    </row>
    <row r="171" spans="1:23" x14ac:dyDescent="0.35">
      <c r="A171" s="23">
        <v>45175</v>
      </c>
      <c r="B171" s="24" t="s">
        <v>25</v>
      </c>
      <c r="C171" s="25" t="s">
        <v>35</v>
      </c>
      <c r="D171" s="14" t="s">
        <v>23</v>
      </c>
      <c r="E171" s="26">
        <v>0</v>
      </c>
      <c r="F171" s="26">
        <v>0</v>
      </c>
      <c r="G171" s="26">
        <v>0</v>
      </c>
      <c r="H171" s="26">
        <v>0</v>
      </c>
      <c r="I171" s="26">
        <v>0</v>
      </c>
      <c r="J171" s="26">
        <v>0</v>
      </c>
      <c r="K171" s="26">
        <v>0</v>
      </c>
      <c r="L171" s="27">
        <v>0</v>
      </c>
      <c r="M171" s="27">
        <v>0</v>
      </c>
      <c r="N171" s="28">
        <v>0</v>
      </c>
      <c r="O171" s="26">
        <v>0</v>
      </c>
      <c r="P171" s="26">
        <v>0</v>
      </c>
      <c r="Q171" s="33">
        <v>0</v>
      </c>
      <c r="R171" s="34">
        <v>0</v>
      </c>
      <c r="S171" s="34">
        <v>0</v>
      </c>
      <c r="T171" s="20">
        <v>0</v>
      </c>
      <c r="U171" s="21" t="s">
        <v>24</v>
      </c>
      <c r="V171" s="22">
        <f>IFERROR(RAW[[#This Row],[ACTUAL GROSS]]/RAW[[#This Row],[CONVERTED]],0)</f>
        <v>0</v>
      </c>
      <c r="W171" s="22">
        <f>IFERROR(RAW[[#This Row],[SALES]]/RAW[[#This Row],[HOURLY PAY]],0)</f>
        <v>0</v>
      </c>
    </row>
    <row r="172" spans="1:23" x14ac:dyDescent="0.35">
      <c r="A172" s="23">
        <v>45176</v>
      </c>
      <c r="B172" s="24" t="s">
        <v>21</v>
      </c>
      <c r="C172" s="25" t="s">
        <v>35</v>
      </c>
      <c r="D172" s="14" t="s">
        <v>26</v>
      </c>
      <c r="E172" s="26">
        <v>0</v>
      </c>
      <c r="F172" s="26">
        <v>0</v>
      </c>
      <c r="G172" s="26">
        <v>0</v>
      </c>
      <c r="H172" s="26">
        <v>0</v>
      </c>
      <c r="I172" s="26">
        <v>0</v>
      </c>
      <c r="J172" s="26">
        <v>0</v>
      </c>
      <c r="K172" s="26">
        <v>0</v>
      </c>
      <c r="L172" s="27">
        <v>0</v>
      </c>
      <c r="M172" s="27">
        <v>0</v>
      </c>
      <c r="N172" s="28">
        <v>0</v>
      </c>
      <c r="O172" s="26">
        <v>0</v>
      </c>
      <c r="P172" s="26">
        <v>0</v>
      </c>
      <c r="Q172" s="33">
        <v>0</v>
      </c>
      <c r="R172" s="34">
        <v>0</v>
      </c>
      <c r="S172" s="34">
        <v>0</v>
      </c>
      <c r="T172" s="20">
        <v>0</v>
      </c>
      <c r="U172" s="21" t="s">
        <v>24</v>
      </c>
      <c r="V172" s="22">
        <f>IFERROR(RAW[[#This Row],[ACTUAL GROSS]]/RAW[[#This Row],[CONVERTED]],0)</f>
        <v>0</v>
      </c>
      <c r="W172" s="22">
        <f>IFERROR(RAW[[#This Row],[SALES]]/RAW[[#This Row],[HOURLY PAY]],0)</f>
        <v>0</v>
      </c>
    </row>
    <row r="173" spans="1:23" x14ac:dyDescent="0.35">
      <c r="A173" s="23">
        <v>45176</v>
      </c>
      <c r="B173" s="24" t="s">
        <v>25</v>
      </c>
      <c r="C173" s="25" t="s">
        <v>35</v>
      </c>
      <c r="D173" s="14" t="s">
        <v>26</v>
      </c>
      <c r="E173" s="26">
        <v>0</v>
      </c>
      <c r="F173" s="26">
        <v>0</v>
      </c>
      <c r="G173" s="26">
        <v>0</v>
      </c>
      <c r="H173" s="26">
        <v>0</v>
      </c>
      <c r="I173" s="26">
        <v>0</v>
      </c>
      <c r="J173" s="26">
        <v>0</v>
      </c>
      <c r="K173" s="26">
        <v>0</v>
      </c>
      <c r="L173" s="27">
        <v>0</v>
      </c>
      <c r="M173" s="27">
        <v>0</v>
      </c>
      <c r="N173" s="28">
        <v>0</v>
      </c>
      <c r="O173" s="26">
        <v>0</v>
      </c>
      <c r="P173" s="26">
        <v>0</v>
      </c>
      <c r="Q173" s="33">
        <v>0</v>
      </c>
      <c r="R173" s="34">
        <v>0</v>
      </c>
      <c r="S173" s="34">
        <v>0</v>
      </c>
      <c r="T173" s="20">
        <v>0</v>
      </c>
      <c r="U173" s="21" t="s">
        <v>24</v>
      </c>
      <c r="V173" s="22">
        <f>IFERROR(RAW[[#This Row],[ACTUAL GROSS]]/RAW[[#This Row],[CONVERTED]],0)</f>
        <v>0</v>
      </c>
      <c r="W173" s="22">
        <f>IFERROR(RAW[[#This Row],[SALES]]/RAW[[#This Row],[HOURLY PAY]],0)</f>
        <v>0</v>
      </c>
    </row>
    <row r="174" spans="1:23" x14ac:dyDescent="0.35">
      <c r="A174" s="23">
        <v>45177</v>
      </c>
      <c r="B174" s="24" t="s">
        <v>21</v>
      </c>
      <c r="C174" s="25" t="s">
        <v>35</v>
      </c>
      <c r="D174" s="14" t="s">
        <v>27</v>
      </c>
      <c r="E174" s="26">
        <v>0</v>
      </c>
      <c r="F174" s="26">
        <v>0</v>
      </c>
      <c r="G174" s="26">
        <v>0</v>
      </c>
      <c r="H174" s="26">
        <v>0</v>
      </c>
      <c r="I174" s="26">
        <v>0</v>
      </c>
      <c r="J174" s="26">
        <v>0</v>
      </c>
      <c r="K174" s="26">
        <v>0</v>
      </c>
      <c r="L174" s="27">
        <v>0</v>
      </c>
      <c r="M174" s="27">
        <v>0</v>
      </c>
      <c r="N174" s="28">
        <v>0</v>
      </c>
      <c r="O174" s="26">
        <v>0</v>
      </c>
      <c r="P174" s="26">
        <v>0</v>
      </c>
      <c r="Q174" s="33">
        <v>0</v>
      </c>
      <c r="R174" s="34">
        <v>0</v>
      </c>
      <c r="S174" s="34">
        <v>0</v>
      </c>
      <c r="T174" s="20">
        <v>0</v>
      </c>
      <c r="U174" s="21" t="s">
        <v>24</v>
      </c>
      <c r="V174" s="22">
        <f>IFERROR(RAW[[#This Row],[ACTUAL GROSS]]/RAW[[#This Row],[CONVERTED]],0)</f>
        <v>0</v>
      </c>
      <c r="W174" s="22">
        <f>IFERROR(RAW[[#This Row],[SALES]]/RAW[[#This Row],[HOURLY PAY]],0)</f>
        <v>0</v>
      </c>
    </row>
    <row r="175" spans="1:23" x14ac:dyDescent="0.35">
      <c r="A175" s="23">
        <v>45177</v>
      </c>
      <c r="B175" s="24" t="s">
        <v>25</v>
      </c>
      <c r="C175" s="25" t="s">
        <v>35</v>
      </c>
      <c r="D175" s="14" t="s">
        <v>27</v>
      </c>
      <c r="E175" s="26">
        <v>1417</v>
      </c>
      <c r="F175" s="26">
        <v>245.95</v>
      </c>
      <c r="G175" s="26">
        <v>23</v>
      </c>
      <c r="H175" s="26">
        <v>56.68</v>
      </c>
      <c r="I175" s="26">
        <v>4.1319599999999994</v>
      </c>
      <c r="J175" s="26">
        <v>9.5</v>
      </c>
      <c r="K175" s="26">
        <v>185.13803999999999</v>
      </c>
      <c r="L175" s="27">
        <v>5</v>
      </c>
      <c r="M175" s="27">
        <v>41</v>
      </c>
      <c r="N175" s="28">
        <v>5.6833333333333336</v>
      </c>
      <c r="O175" s="26">
        <v>12.105499999999999</v>
      </c>
      <c r="P175" s="26">
        <v>206.74354</v>
      </c>
      <c r="Q175" s="33">
        <v>220.24354</v>
      </c>
      <c r="R175" s="34">
        <v>1</v>
      </c>
      <c r="S175" s="34">
        <v>0</v>
      </c>
      <c r="T175" s="20">
        <v>0</v>
      </c>
      <c r="U175" s="21" t="s">
        <v>24</v>
      </c>
      <c r="V175" s="22">
        <f>IFERROR(RAW[[#This Row],[ACTUAL GROSS]]/RAW[[#This Row],[CONVERTED]],0)</f>
        <v>38.75252903225806</v>
      </c>
      <c r="W175" s="22">
        <f>IFERROR(RAW[[#This Row],[SALES]]/RAW[[#This Row],[HOURLY PAY]],0)</f>
        <v>117.05423154764364</v>
      </c>
    </row>
    <row r="176" spans="1:23" x14ac:dyDescent="0.35">
      <c r="A176" s="23">
        <v>45178</v>
      </c>
      <c r="B176" s="24" t="s">
        <v>21</v>
      </c>
      <c r="C176" s="25" t="s">
        <v>35</v>
      </c>
      <c r="D176" s="14" t="s">
        <v>28</v>
      </c>
      <c r="E176" s="26">
        <v>589</v>
      </c>
      <c r="F176" s="26">
        <v>121.81</v>
      </c>
      <c r="G176" s="26">
        <v>0</v>
      </c>
      <c r="H176" s="26">
        <v>23.56</v>
      </c>
      <c r="I176" s="26">
        <v>2.046408</v>
      </c>
      <c r="J176" s="26">
        <v>0</v>
      </c>
      <c r="K176" s="26">
        <v>96.203592</v>
      </c>
      <c r="L176" s="27">
        <v>4</v>
      </c>
      <c r="M176" s="27">
        <v>39</v>
      </c>
      <c r="N176" s="28">
        <v>4.6500000000000004</v>
      </c>
      <c r="O176" s="26">
        <v>9.9045000000000005</v>
      </c>
      <c r="P176" s="26">
        <v>106.108092</v>
      </c>
      <c r="Q176" s="33">
        <v>106.108092</v>
      </c>
      <c r="R176" s="34">
        <v>1</v>
      </c>
      <c r="S176" s="34">
        <v>1</v>
      </c>
      <c r="T176" s="20">
        <v>0</v>
      </c>
      <c r="U176" s="21" t="s">
        <v>24</v>
      </c>
      <c r="V176" s="22">
        <f>IFERROR(RAW[[#This Row],[ACTUAL GROSS]]/RAW[[#This Row],[CONVERTED]],0)</f>
        <v>22.818944516129029</v>
      </c>
      <c r="W176" s="22">
        <f>IFERROR(RAW[[#This Row],[SALES]]/RAW[[#This Row],[HOURLY PAY]],0)</f>
        <v>59.467918622848195</v>
      </c>
    </row>
    <row r="177" spans="1:23" x14ac:dyDescent="0.35">
      <c r="A177" s="23">
        <v>45178</v>
      </c>
      <c r="B177" s="24" t="s">
        <v>25</v>
      </c>
      <c r="C177" s="25" t="s">
        <v>35</v>
      </c>
      <c r="D177" s="14" t="s">
        <v>28</v>
      </c>
      <c r="E177" s="26">
        <v>0</v>
      </c>
      <c r="F177" s="26">
        <v>0</v>
      </c>
      <c r="G177" s="26">
        <v>0</v>
      </c>
      <c r="H177" s="26">
        <v>0</v>
      </c>
      <c r="I177" s="26">
        <v>0</v>
      </c>
      <c r="J177" s="26">
        <v>0</v>
      </c>
      <c r="K177" s="26">
        <v>0</v>
      </c>
      <c r="L177" s="27">
        <v>0</v>
      </c>
      <c r="M177" s="27">
        <v>0</v>
      </c>
      <c r="N177" s="28">
        <v>0</v>
      </c>
      <c r="O177" s="26">
        <v>0</v>
      </c>
      <c r="P177" s="26">
        <v>0</v>
      </c>
      <c r="Q177" s="33">
        <v>0</v>
      </c>
      <c r="R177" s="34">
        <v>0</v>
      </c>
      <c r="S177" s="34">
        <v>0</v>
      </c>
      <c r="T177" s="20">
        <v>0</v>
      </c>
      <c r="U177" s="21" t="s">
        <v>24</v>
      </c>
      <c r="V177" s="22">
        <f>IFERROR(RAW[[#This Row],[ACTUAL GROSS]]/RAW[[#This Row],[CONVERTED]],0)</f>
        <v>0</v>
      </c>
      <c r="W177" s="22">
        <f>IFERROR(RAW[[#This Row],[SALES]]/RAW[[#This Row],[HOURLY PAY]],0)</f>
        <v>0</v>
      </c>
    </row>
    <row r="178" spans="1:23" x14ac:dyDescent="0.35">
      <c r="A178" s="23">
        <v>45179</v>
      </c>
      <c r="B178" s="24" t="s">
        <v>21</v>
      </c>
      <c r="C178" s="25" t="s">
        <v>35</v>
      </c>
      <c r="D178" s="14" t="s">
        <v>29</v>
      </c>
      <c r="E178" s="26">
        <v>819.25</v>
      </c>
      <c r="F178" s="26">
        <v>150.125</v>
      </c>
      <c r="G178" s="26">
        <v>0</v>
      </c>
      <c r="H178" s="26">
        <v>32.770000000000003</v>
      </c>
      <c r="I178" s="26">
        <v>2.5221</v>
      </c>
      <c r="J178" s="26">
        <v>0</v>
      </c>
      <c r="K178" s="26">
        <v>114.8329</v>
      </c>
      <c r="L178" s="27">
        <v>4</v>
      </c>
      <c r="M178" s="27">
        <v>10</v>
      </c>
      <c r="N178" s="28">
        <v>4.166666666666667</v>
      </c>
      <c r="O178" s="26">
        <v>8.875</v>
      </c>
      <c r="P178" s="26">
        <v>123.7079</v>
      </c>
      <c r="Q178" s="33">
        <v>123.7079</v>
      </c>
      <c r="R178" s="34">
        <v>1</v>
      </c>
      <c r="S178" s="34">
        <v>1</v>
      </c>
      <c r="T178" s="20">
        <v>0</v>
      </c>
      <c r="U178" s="21" t="s">
        <v>34</v>
      </c>
      <c r="V178" s="22">
        <f>IFERROR(RAW[[#This Row],[ACTUAL GROSS]]/RAW[[#This Row],[CONVERTED]],0)</f>
        <v>29.689895999999997</v>
      </c>
      <c r="W178" s="22">
        <f>IFERROR(RAW[[#This Row],[SALES]]/RAW[[#This Row],[HOURLY PAY]],0)</f>
        <v>92.309859154929583</v>
      </c>
    </row>
    <row r="179" spans="1:23" x14ac:dyDescent="0.35">
      <c r="A179" s="23">
        <v>45179</v>
      </c>
      <c r="B179" s="24" t="s">
        <v>25</v>
      </c>
      <c r="C179" s="25" t="s">
        <v>35</v>
      </c>
      <c r="D179" s="14" t="s">
        <v>29</v>
      </c>
      <c r="E179" s="26">
        <v>819.25</v>
      </c>
      <c r="F179" s="26">
        <v>150.125</v>
      </c>
      <c r="G179" s="26">
        <v>0</v>
      </c>
      <c r="H179" s="26">
        <v>32.770000000000003</v>
      </c>
      <c r="I179" s="26">
        <v>2.5221</v>
      </c>
      <c r="J179" s="26">
        <v>0</v>
      </c>
      <c r="K179" s="26">
        <v>114.8329</v>
      </c>
      <c r="L179" s="27">
        <v>4</v>
      </c>
      <c r="M179" s="27">
        <v>10</v>
      </c>
      <c r="N179" s="28">
        <v>4.166666666666667</v>
      </c>
      <c r="O179" s="26">
        <v>8.875</v>
      </c>
      <c r="P179" s="26">
        <v>123.7079</v>
      </c>
      <c r="Q179" s="33">
        <v>123.7079</v>
      </c>
      <c r="R179" s="34">
        <v>1</v>
      </c>
      <c r="S179" s="34">
        <v>0</v>
      </c>
      <c r="T179" s="20">
        <v>1</v>
      </c>
      <c r="U179" s="21" t="s">
        <v>34</v>
      </c>
      <c r="V179" s="22">
        <f>IFERROR(RAW[[#This Row],[ACTUAL GROSS]]/RAW[[#This Row],[CONVERTED]],0)</f>
        <v>29.689895999999997</v>
      </c>
      <c r="W179" s="22">
        <f>IFERROR(RAW[[#This Row],[SALES]]/RAW[[#This Row],[HOURLY PAY]],0)</f>
        <v>92.309859154929583</v>
      </c>
    </row>
    <row r="180" spans="1:23" x14ac:dyDescent="0.35">
      <c r="A180" s="23">
        <v>45180</v>
      </c>
      <c r="B180" s="24" t="s">
        <v>21</v>
      </c>
      <c r="C180" s="25" t="s">
        <v>35</v>
      </c>
      <c r="D180" s="14" t="s">
        <v>30</v>
      </c>
      <c r="E180" s="26">
        <v>349</v>
      </c>
      <c r="F180" s="26">
        <v>55.5</v>
      </c>
      <c r="G180" s="26">
        <v>21</v>
      </c>
      <c r="H180" s="26">
        <v>13.96</v>
      </c>
      <c r="I180" s="26">
        <v>0.9323999999999999</v>
      </c>
      <c r="J180" s="26">
        <v>6</v>
      </c>
      <c r="K180" s="26">
        <v>40.607599999999998</v>
      </c>
      <c r="L180" s="27">
        <v>3</v>
      </c>
      <c r="M180" s="27">
        <v>21</v>
      </c>
      <c r="N180" s="28">
        <v>3.35</v>
      </c>
      <c r="O180" s="26">
        <v>7.1354999999999995</v>
      </c>
      <c r="P180" s="26">
        <v>53.743099999999998</v>
      </c>
      <c r="Q180" s="33">
        <v>68.743099999999998</v>
      </c>
      <c r="R180" s="34">
        <v>1</v>
      </c>
      <c r="S180" s="34">
        <v>1</v>
      </c>
      <c r="T180" s="20">
        <v>0</v>
      </c>
      <c r="U180" s="21" t="s">
        <v>34</v>
      </c>
      <c r="V180" s="22">
        <f>IFERROR(RAW[[#This Row],[ACTUAL GROSS]]/RAW[[#This Row],[CONVERTED]],0)</f>
        <v>20.520328358208953</v>
      </c>
      <c r="W180" s="22">
        <f>IFERROR(RAW[[#This Row],[SALES]]/RAW[[#This Row],[HOURLY PAY]],0)</f>
        <v>48.910377689019697</v>
      </c>
    </row>
    <row r="181" spans="1:23" x14ac:dyDescent="0.35">
      <c r="A181" s="23">
        <v>45180</v>
      </c>
      <c r="B181" s="24" t="s">
        <v>25</v>
      </c>
      <c r="C181" s="25" t="s">
        <v>35</v>
      </c>
      <c r="D181" s="14" t="s">
        <v>30</v>
      </c>
      <c r="E181" s="26">
        <v>430</v>
      </c>
      <c r="F181" s="26">
        <v>75.7</v>
      </c>
      <c r="G181" s="26">
        <v>11</v>
      </c>
      <c r="H181" s="26">
        <v>17.2</v>
      </c>
      <c r="I181" s="26">
        <v>1.27176</v>
      </c>
      <c r="J181" s="26">
        <v>4.2</v>
      </c>
      <c r="K181" s="26">
        <v>57.22824</v>
      </c>
      <c r="L181" s="27">
        <v>3</v>
      </c>
      <c r="M181" s="27">
        <v>40</v>
      </c>
      <c r="N181" s="28">
        <v>3.6666666666666665</v>
      </c>
      <c r="O181" s="26">
        <v>7.81</v>
      </c>
      <c r="P181" s="26">
        <v>69.238240000000005</v>
      </c>
      <c r="Q181" s="33">
        <v>76.038240000000002</v>
      </c>
      <c r="R181" s="34">
        <v>1</v>
      </c>
      <c r="S181" s="34">
        <v>0</v>
      </c>
      <c r="T181" s="20">
        <v>1</v>
      </c>
      <c r="U181" s="21" t="s">
        <v>34</v>
      </c>
      <c r="V181" s="22">
        <f>IFERROR(RAW[[#This Row],[ACTUAL GROSS]]/RAW[[#This Row],[CONVERTED]],0)</f>
        <v>20.737701818181819</v>
      </c>
      <c r="W181" s="22">
        <f>IFERROR(RAW[[#This Row],[SALES]]/RAW[[#This Row],[HOURLY PAY]],0)</f>
        <v>55.057618437900132</v>
      </c>
    </row>
    <row r="182" spans="1:23" x14ac:dyDescent="0.35">
      <c r="A182" s="23">
        <v>45181</v>
      </c>
      <c r="B182" s="24" t="s">
        <v>21</v>
      </c>
      <c r="C182" s="25" t="s">
        <v>35</v>
      </c>
      <c r="D182" s="14" t="s">
        <v>31</v>
      </c>
      <c r="E182" s="26">
        <v>0</v>
      </c>
      <c r="F182" s="26">
        <v>0</v>
      </c>
      <c r="G182" s="26">
        <v>0</v>
      </c>
      <c r="H182" s="26">
        <v>0</v>
      </c>
      <c r="I182" s="26">
        <v>0</v>
      </c>
      <c r="J182" s="26">
        <v>0</v>
      </c>
      <c r="K182" s="26">
        <v>0</v>
      </c>
      <c r="L182" s="27">
        <v>0</v>
      </c>
      <c r="M182" s="27">
        <v>0</v>
      </c>
      <c r="N182" s="28">
        <v>0</v>
      </c>
      <c r="O182" s="26">
        <v>0</v>
      </c>
      <c r="P182" s="26">
        <v>0</v>
      </c>
      <c r="Q182" s="33">
        <v>0</v>
      </c>
      <c r="R182" s="34">
        <v>0</v>
      </c>
      <c r="S182" s="34">
        <v>0</v>
      </c>
      <c r="T182" s="20">
        <v>0</v>
      </c>
      <c r="U182" s="21" t="s">
        <v>24</v>
      </c>
      <c r="V182" s="22">
        <f>IFERROR(RAW[[#This Row],[ACTUAL GROSS]]/RAW[[#This Row],[CONVERTED]],0)</f>
        <v>0</v>
      </c>
      <c r="W182" s="22">
        <f>IFERROR(RAW[[#This Row],[SALES]]/RAW[[#This Row],[HOURLY PAY]],0)</f>
        <v>0</v>
      </c>
    </row>
    <row r="183" spans="1:23" x14ac:dyDescent="0.35">
      <c r="A183" s="23">
        <v>45181</v>
      </c>
      <c r="B183" s="24" t="s">
        <v>25</v>
      </c>
      <c r="C183" s="25" t="s">
        <v>35</v>
      </c>
      <c r="D183" s="14" t="s">
        <v>31</v>
      </c>
      <c r="E183" s="26">
        <v>0</v>
      </c>
      <c r="F183" s="26">
        <v>0</v>
      </c>
      <c r="G183" s="26">
        <v>0</v>
      </c>
      <c r="H183" s="26">
        <v>0</v>
      </c>
      <c r="I183" s="26">
        <v>0</v>
      </c>
      <c r="J183" s="26">
        <v>0</v>
      </c>
      <c r="K183" s="26">
        <v>0</v>
      </c>
      <c r="L183" s="27">
        <v>0</v>
      </c>
      <c r="M183" s="27">
        <v>0</v>
      </c>
      <c r="N183" s="28">
        <v>0</v>
      </c>
      <c r="O183" s="26">
        <v>0</v>
      </c>
      <c r="P183" s="26">
        <v>0</v>
      </c>
      <c r="Q183" s="33">
        <v>0</v>
      </c>
      <c r="R183" s="34">
        <v>0</v>
      </c>
      <c r="S183" s="34">
        <v>0</v>
      </c>
      <c r="T183" s="20">
        <v>0</v>
      </c>
      <c r="U183" s="21" t="s">
        <v>24</v>
      </c>
      <c r="V183" s="22">
        <f>IFERROR(RAW[[#This Row],[ACTUAL GROSS]]/RAW[[#This Row],[CONVERTED]],0)</f>
        <v>0</v>
      </c>
      <c r="W183" s="22">
        <f>IFERROR(RAW[[#This Row],[SALES]]/RAW[[#This Row],[HOURLY PAY]],0)</f>
        <v>0</v>
      </c>
    </row>
    <row r="184" spans="1:23" x14ac:dyDescent="0.35">
      <c r="A184" s="23">
        <v>45182</v>
      </c>
      <c r="B184" s="24" t="s">
        <v>21</v>
      </c>
      <c r="C184" s="25" t="s">
        <v>35</v>
      </c>
      <c r="D184" s="14" t="s">
        <v>23</v>
      </c>
      <c r="E184" s="26">
        <v>731</v>
      </c>
      <c r="F184" s="26">
        <v>130.46</v>
      </c>
      <c r="G184" s="26">
        <v>0</v>
      </c>
      <c r="H184" s="26">
        <v>29.240000000000002</v>
      </c>
      <c r="I184" s="26">
        <v>2.1917279999999999</v>
      </c>
      <c r="J184" s="26">
        <v>0</v>
      </c>
      <c r="K184" s="26">
        <v>99.028272000000001</v>
      </c>
      <c r="L184" s="27">
        <v>4</v>
      </c>
      <c r="M184" s="27">
        <v>26</v>
      </c>
      <c r="N184" s="28">
        <v>4.4333333333333336</v>
      </c>
      <c r="O184" s="26">
        <v>9.4429999999999996</v>
      </c>
      <c r="P184" s="26">
        <v>108.471272</v>
      </c>
      <c r="Q184" s="33">
        <v>108.471272</v>
      </c>
      <c r="R184" s="34">
        <v>1</v>
      </c>
      <c r="S184" s="34">
        <v>1</v>
      </c>
      <c r="T184" s="20">
        <v>0</v>
      </c>
      <c r="U184" s="21" t="s">
        <v>24</v>
      </c>
      <c r="V184" s="22">
        <f>IFERROR(RAW[[#This Row],[ACTUAL GROSS]]/RAW[[#This Row],[CONVERTED]],0)</f>
        <v>24.467204210526315</v>
      </c>
      <c r="W184" s="22">
        <f>IFERROR(RAW[[#This Row],[SALES]]/RAW[[#This Row],[HOURLY PAY]],0)</f>
        <v>77.411839457799431</v>
      </c>
    </row>
    <row r="185" spans="1:23" x14ac:dyDescent="0.35">
      <c r="A185" s="23">
        <v>45182</v>
      </c>
      <c r="B185" s="24" t="s">
        <v>25</v>
      </c>
      <c r="C185" s="25" t="s">
        <v>35</v>
      </c>
      <c r="D185" s="14" t="s">
        <v>23</v>
      </c>
      <c r="E185" s="26">
        <v>0</v>
      </c>
      <c r="F185" s="26">
        <v>0</v>
      </c>
      <c r="G185" s="26">
        <v>0</v>
      </c>
      <c r="H185" s="26">
        <v>0</v>
      </c>
      <c r="I185" s="26">
        <v>0</v>
      </c>
      <c r="J185" s="26">
        <v>0</v>
      </c>
      <c r="K185" s="26">
        <v>0</v>
      </c>
      <c r="L185" s="27">
        <v>0</v>
      </c>
      <c r="M185" s="27">
        <v>0</v>
      </c>
      <c r="N185" s="28">
        <v>0</v>
      </c>
      <c r="O185" s="26">
        <v>0</v>
      </c>
      <c r="P185" s="26">
        <v>0</v>
      </c>
      <c r="Q185" s="33">
        <v>0</v>
      </c>
      <c r="R185" s="34">
        <v>0</v>
      </c>
      <c r="S185" s="34">
        <v>0</v>
      </c>
      <c r="T185" s="20">
        <v>0</v>
      </c>
      <c r="U185" s="21" t="s">
        <v>24</v>
      </c>
      <c r="V185" s="22">
        <f>IFERROR(RAW[[#This Row],[ACTUAL GROSS]]/RAW[[#This Row],[CONVERTED]],0)</f>
        <v>0</v>
      </c>
      <c r="W185" s="22">
        <f>IFERROR(RAW[[#This Row],[SALES]]/RAW[[#This Row],[HOURLY PAY]],0)</f>
        <v>0</v>
      </c>
    </row>
    <row r="186" spans="1:23" x14ac:dyDescent="0.35">
      <c r="A186" s="23">
        <v>45183</v>
      </c>
      <c r="B186" s="24" t="s">
        <v>21</v>
      </c>
      <c r="C186" s="25" t="s">
        <v>35</v>
      </c>
      <c r="D186" s="14" t="s">
        <v>26</v>
      </c>
      <c r="E186" s="26">
        <v>0</v>
      </c>
      <c r="F186" s="26">
        <v>0</v>
      </c>
      <c r="G186" s="26">
        <v>0</v>
      </c>
      <c r="H186" s="26">
        <v>0</v>
      </c>
      <c r="I186" s="26">
        <v>0</v>
      </c>
      <c r="J186" s="26">
        <v>0</v>
      </c>
      <c r="K186" s="26">
        <v>0</v>
      </c>
      <c r="L186" s="27">
        <v>0</v>
      </c>
      <c r="M186" s="27">
        <v>0</v>
      </c>
      <c r="N186" s="28">
        <v>0</v>
      </c>
      <c r="O186" s="26">
        <v>0</v>
      </c>
      <c r="P186" s="26">
        <v>0</v>
      </c>
      <c r="Q186" s="33">
        <v>0</v>
      </c>
      <c r="R186" s="34">
        <v>0</v>
      </c>
      <c r="S186" s="34">
        <v>0</v>
      </c>
      <c r="T186" s="20">
        <v>0</v>
      </c>
      <c r="U186" s="21" t="s">
        <v>24</v>
      </c>
      <c r="V186" s="22">
        <f>IFERROR(RAW[[#This Row],[ACTUAL GROSS]]/RAW[[#This Row],[CONVERTED]],0)</f>
        <v>0</v>
      </c>
      <c r="W186" s="22">
        <f>IFERROR(RAW[[#This Row],[SALES]]/RAW[[#This Row],[HOURLY PAY]],0)</f>
        <v>0</v>
      </c>
    </row>
    <row r="187" spans="1:23" x14ac:dyDescent="0.35">
      <c r="A187" s="23">
        <v>45183</v>
      </c>
      <c r="B187" s="24" t="s">
        <v>25</v>
      </c>
      <c r="C187" s="25" t="s">
        <v>35</v>
      </c>
      <c r="D187" s="14" t="s">
        <v>26</v>
      </c>
      <c r="E187" s="26">
        <v>0</v>
      </c>
      <c r="F187" s="26">
        <v>0</v>
      </c>
      <c r="G187" s="26">
        <v>0</v>
      </c>
      <c r="H187" s="26">
        <v>0</v>
      </c>
      <c r="I187" s="26">
        <v>0</v>
      </c>
      <c r="J187" s="26">
        <v>0</v>
      </c>
      <c r="K187" s="26">
        <v>0</v>
      </c>
      <c r="L187" s="27">
        <v>0</v>
      </c>
      <c r="M187" s="27">
        <v>0</v>
      </c>
      <c r="N187" s="28">
        <v>0</v>
      </c>
      <c r="O187" s="26">
        <v>0</v>
      </c>
      <c r="P187" s="26">
        <v>0</v>
      </c>
      <c r="Q187" s="33">
        <v>0</v>
      </c>
      <c r="R187" s="34">
        <v>0</v>
      </c>
      <c r="S187" s="34">
        <v>0</v>
      </c>
      <c r="T187" s="20">
        <v>0</v>
      </c>
      <c r="U187" s="21" t="s">
        <v>24</v>
      </c>
      <c r="V187" s="22">
        <f>IFERROR(RAW[[#This Row],[ACTUAL GROSS]]/RAW[[#This Row],[CONVERTED]],0)</f>
        <v>0</v>
      </c>
      <c r="W187" s="22">
        <f>IFERROR(RAW[[#This Row],[SALES]]/RAW[[#This Row],[HOURLY PAY]],0)</f>
        <v>0</v>
      </c>
    </row>
    <row r="188" spans="1:23" x14ac:dyDescent="0.35">
      <c r="A188" s="23">
        <v>45184</v>
      </c>
      <c r="B188" s="24" t="s">
        <v>21</v>
      </c>
      <c r="C188" s="25" t="s">
        <v>35</v>
      </c>
      <c r="D188" s="14" t="s">
        <v>27</v>
      </c>
      <c r="E188" s="26">
        <v>649.5</v>
      </c>
      <c r="F188" s="26">
        <v>130.25</v>
      </c>
      <c r="G188" s="26">
        <v>0</v>
      </c>
      <c r="H188" s="26">
        <v>25.98</v>
      </c>
      <c r="I188" s="26">
        <v>2.1881999999999997</v>
      </c>
      <c r="J188" s="26">
        <v>0</v>
      </c>
      <c r="K188" s="26">
        <v>102.0818</v>
      </c>
      <c r="L188" s="27">
        <v>3</v>
      </c>
      <c r="M188" s="27">
        <v>38</v>
      </c>
      <c r="N188" s="28">
        <v>3.6333333333333333</v>
      </c>
      <c r="O188" s="26">
        <v>7.7389999999999999</v>
      </c>
      <c r="P188" s="26">
        <v>109.82080000000001</v>
      </c>
      <c r="Q188" s="33">
        <v>109.82080000000001</v>
      </c>
      <c r="R188" s="34">
        <v>1</v>
      </c>
      <c r="S188" s="34">
        <v>1</v>
      </c>
      <c r="T188" s="20">
        <v>0</v>
      </c>
      <c r="U188" s="21" t="s">
        <v>34</v>
      </c>
      <c r="V188" s="22">
        <f>IFERROR(RAW[[#This Row],[ACTUAL GROSS]]/RAW[[#This Row],[CONVERTED]],0)</f>
        <v>30.225908256880736</v>
      </c>
      <c r="W188" s="22">
        <f>IFERROR(RAW[[#This Row],[SALES]]/RAW[[#This Row],[HOURLY PAY]],0)</f>
        <v>83.925571779299659</v>
      </c>
    </row>
    <row r="189" spans="1:23" x14ac:dyDescent="0.35">
      <c r="A189" s="23">
        <v>45184</v>
      </c>
      <c r="B189" s="24" t="s">
        <v>25</v>
      </c>
      <c r="C189" s="25" t="s">
        <v>35</v>
      </c>
      <c r="D189" s="14" t="s">
        <v>27</v>
      </c>
      <c r="E189" s="26">
        <v>862.5</v>
      </c>
      <c r="F189" s="26">
        <v>156.68</v>
      </c>
      <c r="G189" s="26">
        <v>0</v>
      </c>
      <c r="H189" s="26">
        <v>34.5</v>
      </c>
      <c r="I189" s="26">
        <v>2.6322239999999999</v>
      </c>
      <c r="J189" s="26">
        <v>0</v>
      </c>
      <c r="K189" s="26">
        <v>119.547776</v>
      </c>
      <c r="L189" s="27">
        <v>4</v>
      </c>
      <c r="M189" s="27">
        <v>29</v>
      </c>
      <c r="N189" s="28">
        <v>4.4833333333333334</v>
      </c>
      <c r="O189" s="26">
        <v>9.5495000000000001</v>
      </c>
      <c r="P189" s="26">
        <v>129.09727599999999</v>
      </c>
      <c r="Q189" s="33">
        <v>129.09727599999999</v>
      </c>
      <c r="R189" s="34">
        <v>1</v>
      </c>
      <c r="S189" s="34">
        <v>0</v>
      </c>
      <c r="T189" s="20">
        <v>1</v>
      </c>
      <c r="U189" s="21" t="s">
        <v>34</v>
      </c>
      <c r="V189" s="22">
        <f>IFERROR(RAW[[#This Row],[ACTUAL GROSS]]/RAW[[#This Row],[CONVERTED]],0)</f>
        <v>28.794931449814126</v>
      </c>
      <c r="W189" s="22">
        <f>IFERROR(RAW[[#This Row],[SALES]]/RAW[[#This Row],[HOURLY PAY]],0)</f>
        <v>90.318864862034658</v>
      </c>
    </row>
    <row r="190" spans="1:23" x14ac:dyDescent="0.35">
      <c r="A190" s="23">
        <v>45185</v>
      </c>
      <c r="B190" s="24" t="s">
        <v>21</v>
      </c>
      <c r="C190" s="25" t="s">
        <v>35</v>
      </c>
      <c r="D190" s="14" t="s">
        <v>28</v>
      </c>
      <c r="E190" s="26">
        <v>1203</v>
      </c>
      <c r="F190" s="26">
        <v>185.76</v>
      </c>
      <c r="G190" s="26">
        <v>55</v>
      </c>
      <c r="H190" s="26">
        <v>48.120000000000005</v>
      </c>
      <c r="I190" s="26">
        <v>3.1207679999999995</v>
      </c>
      <c r="J190" s="26">
        <v>13.5</v>
      </c>
      <c r="K190" s="26">
        <v>134.51923199999999</v>
      </c>
      <c r="L190" s="27">
        <v>5</v>
      </c>
      <c r="M190" s="27">
        <v>40</v>
      </c>
      <c r="N190" s="28">
        <v>5.666666666666667</v>
      </c>
      <c r="O190" s="26">
        <v>12.07</v>
      </c>
      <c r="P190" s="26">
        <v>160.08923199999998</v>
      </c>
      <c r="Q190" s="33">
        <v>201.58923199999998</v>
      </c>
      <c r="R190" s="34">
        <v>1</v>
      </c>
      <c r="S190" s="34">
        <v>1</v>
      </c>
      <c r="T190" s="20">
        <v>0</v>
      </c>
      <c r="U190" s="21" t="s">
        <v>24</v>
      </c>
      <c r="V190" s="22">
        <f>IFERROR(RAW[[#This Row],[ACTUAL GROSS]]/RAW[[#This Row],[CONVERTED]],0)</f>
        <v>35.574570352941173</v>
      </c>
      <c r="W190" s="22">
        <f>IFERROR(RAW[[#This Row],[SALES]]/RAW[[#This Row],[HOURLY PAY]],0)</f>
        <v>99.668599834299911</v>
      </c>
    </row>
    <row r="191" spans="1:23" x14ac:dyDescent="0.35">
      <c r="A191" s="23">
        <v>45185</v>
      </c>
      <c r="B191" s="24" t="s">
        <v>25</v>
      </c>
      <c r="C191" s="25" t="s">
        <v>35</v>
      </c>
      <c r="D191" s="14" t="s">
        <v>28</v>
      </c>
      <c r="E191" s="26">
        <v>0</v>
      </c>
      <c r="F191" s="26">
        <v>0</v>
      </c>
      <c r="G191" s="26">
        <v>0</v>
      </c>
      <c r="H191" s="26">
        <v>0</v>
      </c>
      <c r="I191" s="26">
        <v>0</v>
      </c>
      <c r="J191" s="26">
        <v>0</v>
      </c>
      <c r="K191" s="26">
        <v>0</v>
      </c>
      <c r="L191" s="27">
        <v>0</v>
      </c>
      <c r="M191" s="27">
        <v>0</v>
      </c>
      <c r="N191" s="28">
        <v>0</v>
      </c>
      <c r="O191" s="26">
        <v>0</v>
      </c>
      <c r="P191" s="26">
        <v>0</v>
      </c>
      <c r="Q191" s="33">
        <v>0</v>
      </c>
      <c r="R191" s="34">
        <v>0</v>
      </c>
      <c r="S191" s="34">
        <v>0</v>
      </c>
      <c r="T191" s="20">
        <v>0</v>
      </c>
      <c r="U191" s="21" t="s">
        <v>24</v>
      </c>
      <c r="V191" s="22">
        <f>IFERROR(RAW[[#This Row],[ACTUAL GROSS]]/RAW[[#This Row],[CONVERTED]],0)</f>
        <v>0</v>
      </c>
      <c r="W191" s="22">
        <f>IFERROR(RAW[[#This Row],[SALES]]/RAW[[#This Row],[HOURLY PAY]],0)</f>
        <v>0</v>
      </c>
    </row>
    <row r="192" spans="1:23" x14ac:dyDescent="0.35">
      <c r="A192" s="23">
        <v>45186</v>
      </c>
      <c r="B192" s="24" t="s">
        <v>21</v>
      </c>
      <c r="C192" s="25" t="s">
        <v>35</v>
      </c>
      <c r="D192" s="14" t="s">
        <v>29</v>
      </c>
      <c r="E192" s="26">
        <v>1018</v>
      </c>
      <c r="F192" s="26">
        <v>197.32499999999999</v>
      </c>
      <c r="G192" s="26">
        <v>0</v>
      </c>
      <c r="H192" s="26">
        <v>40.72</v>
      </c>
      <c r="I192" s="26">
        <v>3.3150599999999995</v>
      </c>
      <c r="J192" s="26">
        <v>0</v>
      </c>
      <c r="K192" s="26">
        <v>153.28994</v>
      </c>
      <c r="L192" s="27">
        <v>3.5</v>
      </c>
      <c r="M192" s="27">
        <v>34</v>
      </c>
      <c r="N192" s="28">
        <v>4.0666666666666664</v>
      </c>
      <c r="O192" s="26">
        <v>8.661999999999999</v>
      </c>
      <c r="P192" s="26">
        <v>161.95194000000001</v>
      </c>
      <c r="Q192" s="33">
        <v>161.95194000000001</v>
      </c>
      <c r="R192" s="34">
        <v>1</v>
      </c>
      <c r="S192" s="34">
        <v>1</v>
      </c>
      <c r="T192" s="20">
        <v>0</v>
      </c>
      <c r="U192" s="21" t="s">
        <v>34</v>
      </c>
      <c r="V192" s="22">
        <f>IFERROR(RAW[[#This Row],[ACTUAL GROSS]]/RAW[[#This Row],[CONVERTED]],0)</f>
        <v>39.824247540983613</v>
      </c>
      <c r="W192" s="22">
        <f>IFERROR(RAW[[#This Row],[SALES]]/RAW[[#This Row],[HOURLY PAY]],0)</f>
        <v>117.5248210574925</v>
      </c>
    </row>
    <row r="193" spans="1:23" x14ac:dyDescent="0.35">
      <c r="A193" s="23">
        <v>45186</v>
      </c>
      <c r="B193" s="24" t="s">
        <v>25</v>
      </c>
      <c r="C193" s="25" t="s">
        <v>35</v>
      </c>
      <c r="D193" s="14" t="s">
        <v>29</v>
      </c>
      <c r="E193" s="26">
        <v>1018</v>
      </c>
      <c r="F193" s="26">
        <v>197.32499999999999</v>
      </c>
      <c r="G193" s="26">
        <v>0</v>
      </c>
      <c r="H193" s="26">
        <v>40.72</v>
      </c>
      <c r="I193" s="26">
        <v>3.3150599999999995</v>
      </c>
      <c r="J193" s="26">
        <v>0</v>
      </c>
      <c r="K193" s="26">
        <v>153.28994</v>
      </c>
      <c r="L193" s="27">
        <v>3</v>
      </c>
      <c r="M193" s="27">
        <v>0</v>
      </c>
      <c r="N193" s="28">
        <v>3</v>
      </c>
      <c r="O193" s="26">
        <v>6.39</v>
      </c>
      <c r="P193" s="26">
        <v>159.67993999999999</v>
      </c>
      <c r="Q193" s="33">
        <v>159.67993999999999</v>
      </c>
      <c r="R193" s="34">
        <v>1</v>
      </c>
      <c r="S193" s="34">
        <v>0</v>
      </c>
      <c r="T193" s="20">
        <v>1</v>
      </c>
      <c r="U193" s="21" t="s">
        <v>34</v>
      </c>
      <c r="V193" s="22">
        <f>IFERROR(RAW[[#This Row],[ACTUAL GROSS]]/RAW[[#This Row],[CONVERTED]],0)</f>
        <v>53.22664666666666</v>
      </c>
      <c r="W193" s="22">
        <f>IFERROR(RAW[[#This Row],[SALES]]/RAW[[#This Row],[HOURLY PAY]],0)</f>
        <v>159.3114241001565</v>
      </c>
    </row>
    <row r="194" spans="1:23" x14ac:dyDescent="0.35">
      <c r="A194" s="23">
        <v>45187</v>
      </c>
      <c r="B194" s="24" t="s">
        <v>21</v>
      </c>
      <c r="C194" s="25" t="s">
        <v>35</v>
      </c>
      <c r="D194" s="14" t="s">
        <v>30</v>
      </c>
      <c r="E194" s="26">
        <v>309</v>
      </c>
      <c r="F194" s="26">
        <v>63.7</v>
      </c>
      <c r="G194" s="26">
        <v>0</v>
      </c>
      <c r="H194" s="26">
        <v>12.36</v>
      </c>
      <c r="I194" s="26">
        <v>1.07016</v>
      </c>
      <c r="J194" s="26">
        <v>0</v>
      </c>
      <c r="K194" s="26">
        <v>50.269840000000002</v>
      </c>
      <c r="L194" s="27">
        <v>3</v>
      </c>
      <c r="M194" s="27">
        <v>44</v>
      </c>
      <c r="N194" s="28">
        <v>3.7333333333333334</v>
      </c>
      <c r="O194" s="26">
        <v>7.952</v>
      </c>
      <c r="P194" s="26">
        <v>58.22184</v>
      </c>
      <c r="Q194" s="33">
        <v>58.22184</v>
      </c>
      <c r="R194" s="34">
        <v>1</v>
      </c>
      <c r="S194" s="34">
        <v>1</v>
      </c>
      <c r="T194" s="20">
        <v>0</v>
      </c>
      <c r="U194" s="21" t="s">
        <v>34</v>
      </c>
      <c r="V194" s="22">
        <f>IFERROR(RAW[[#This Row],[ACTUAL GROSS]]/RAW[[#This Row],[CONVERTED]],0)</f>
        <v>15.595135714285714</v>
      </c>
      <c r="W194" s="22">
        <f>IFERROR(RAW[[#This Row],[SALES]]/RAW[[#This Row],[HOURLY PAY]],0)</f>
        <v>38.858148893360159</v>
      </c>
    </row>
    <row r="195" spans="1:23" x14ac:dyDescent="0.35">
      <c r="A195" s="23">
        <v>45187</v>
      </c>
      <c r="B195" s="24" t="s">
        <v>25</v>
      </c>
      <c r="C195" s="25" t="s">
        <v>35</v>
      </c>
      <c r="D195" s="14" t="s">
        <v>30</v>
      </c>
      <c r="E195" s="26">
        <v>498</v>
      </c>
      <c r="F195" s="26">
        <v>97.92</v>
      </c>
      <c r="G195" s="26">
        <v>0</v>
      </c>
      <c r="H195" s="26">
        <v>19.920000000000002</v>
      </c>
      <c r="I195" s="26">
        <v>1.6450559999999999</v>
      </c>
      <c r="J195" s="26">
        <v>0</v>
      </c>
      <c r="K195" s="26">
        <v>76.354944000000003</v>
      </c>
      <c r="L195" s="27">
        <v>4</v>
      </c>
      <c r="M195" s="27">
        <v>6</v>
      </c>
      <c r="N195" s="28">
        <v>4.0999999999999996</v>
      </c>
      <c r="O195" s="26">
        <v>8.7329999999999988</v>
      </c>
      <c r="P195" s="26">
        <v>85.087944000000007</v>
      </c>
      <c r="Q195" s="33">
        <v>85.087944000000007</v>
      </c>
      <c r="R195" s="34">
        <v>1</v>
      </c>
      <c r="S195" s="34">
        <v>0</v>
      </c>
      <c r="T195" s="20">
        <v>1</v>
      </c>
      <c r="U195" s="21" t="s">
        <v>34</v>
      </c>
      <c r="V195" s="22">
        <f>IFERROR(RAW[[#This Row],[ACTUAL GROSS]]/RAW[[#This Row],[CONVERTED]],0)</f>
        <v>20.753157073170737</v>
      </c>
      <c r="W195" s="22">
        <f>IFERROR(RAW[[#This Row],[SALES]]/RAW[[#This Row],[HOURLY PAY]],0)</f>
        <v>57.025077293026456</v>
      </c>
    </row>
    <row r="196" spans="1:23" x14ac:dyDescent="0.35">
      <c r="A196" s="23">
        <v>45188</v>
      </c>
      <c r="B196" s="24" t="s">
        <v>21</v>
      </c>
      <c r="C196" s="25" t="s">
        <v>35</v>
      </c>
      <c r="D196" s="14" t="s">
        <v>31</v>
      </c>
      <c r="E196" s="26">
        <v>0</v>
      </c>
      <c r="F196" s="26">
        <v>0</v>
      </c>
      <c r="G196" s="26">
        <v>0</v>
      </c>
      <c r="H196" s="26">
        <v>0</v>
      </c>
      <c r="I196" s="26">
        <v>0</v>
      </c>
      <c r="J196" s="26">
        <v>0</v>
      </c>
      <c r="K196" s="26">
        <v>0</v>
      </c>
      <c r="L196" s="27">
        <v>0</v>
      </c>
      <c r="M196" s="27">
        <v>0</v>
      </c>
      <c r="N196" s="28">
        <v>0</v>
      </c>
      <c r="O196" s="26">
        <v>0</v>
      </c>
      <c r="P196" s="26">
        <v>0</v>
      </c>
      <c r="Q196" s="33">
        <v>0</v>
      </c>
      <c r="R196" s="34">
        <v>0</v>
      </c>
      <c r="S196" s="34">
        <v>0</v>
      </c>
      <c r="T196" s="20">
        <v>0</v>
      </c>
      <c r="U196" s="21" t="s">
        <v>24</v>
      </c>
      <c r="V196" s="22">
        <f>IFERROR(RAW[[#This Row],[ACTUAL GROSS]]/RAW[[#This Row],[CONVERTED]],0)</f>
        <v>0</v>
      </c>
      <c r="W196" s="22">
        <f>IFERROR(RAW[[#This Row],[SALES]]/RAW[[#This Row],[HOURLY PAY]],0)</f>
        <v>0</v>
      </c>
    </row>
    <row r="197" spans="1:23" x14ac:dyDescent="0.35">
      <c r="A197" s="23">
        <v>45188</v>
      </c>
      <c r="B197" s="24" t="s">
        <v>25</v>
      </c>
      <c r="C197" s="25" t="s">
        <v>35</v>
      </c>
      <c r="D197" s="14" t="s">
        <v>31</v>
      </c>
      <c r="E197" s="26">
        <v>0</v>
      </c>
      <c r="F197" s="26">
        <v>0</v>
      </c>
      <c r="G197" s="26">
        <v>0</v>
      </c>
      <c r="H197" s="26">
        <v>0</v>
      </c>
      <c r="I197" s="26">
        <v>0</v>
      </c>
      <c r="J197" s="26">
        <v>0</v>
      </c>
      <c r="K197" s="26">
        <v>0</v>
      </c>
      <c r="L197" s="27">
        <v>0</v>
      </c>
      <c r="M197" s="27">
        <v>0</v>
      </c>
      <c r="N197" s="28">
        <v>0</v>
      </c>
      <c r="O197" s="26">
        <v>0</v>
      </c>
      <c r="P197" s="26">
        <v>0</v>
      </c>
      <c r="Q197" s="33">
        <v>0</v>
      </c>
      <c r="R197" s="34">
        <v>0</v>
      </c>
      <c r="S197" s="34">
        <v>0</v>
      </c>
      <c r="T197" s="20">
        <v>0</v>
      </c>
      <c r="U197" s="21" t="s">
        <v>24</v>
      </c>
      <c r="V197" s="22">
        <f>IFERROR(RAW[[#This Row],[ACTUAL GROSS]]/RAW[[#This Row],[CONVERTED]],0)</f>
        <v>0</v>
      </c>
      <c r="W197" s="22">
        <f>IFERROR(RAW[[#This Row],[SALES]]/RAW[[#This Row],[HOURLY PAY]],0)</f>
        <v>0</v>
      </c>
    </row>
    <row r="198" spans="1:23" x14ac:dyDescent="0.35">
      <c r="A198" s="23">
        <v>45189</v>
      </c>
      <c r="B198" s="24" t="s">
        <v>21</v>
      </c>
      <c r="C198" s="25" t="s">
        <v>35</v>
      </c>
      <c r="D198" s="14" t="s">
        <v>23</v>
      </c>
      <c r="E198" s="26">
        <v>0</v>
      </c>
      <c r="F198" s="26">
        <v>0</v>
      </c>
      <c r="G198" s="26">
        <v>0</v>
      </c>
      <c r="H198" s="26">
        <v>0</v>
      </c>
      <c r="I198" s="26">
        <v>0</v>
      </c>
      <c r="J198" s="26">
        <v>0</v>
      </c>
      <c r="K198" s="26">
        <v>0</v>
      </c>
      <c r="L198" s="27">
        <v>0</v>
      </c>
      <c r="M198" s="27">
        <v>0</v>
      </c>
      <c r="N198" s="28">
        <v>0</v>
      </c>
      <c r="O198" s="26">
        <v>0</v>
      </c>
      <c r="P198" s="26">
        <v>0</v>
      </c>
      <c r="Q198" s="33">
        <v>0</v>
      </c>
      <c r="R198" s="34">
        <v>0</v>
      </c>
      <c r="S198" s="34">
        <v>0</v>
      </c>
      <c r="T198" s="20">
        <v>0</v>
      </c>
      <c r="U198" s="21" t="s">
        <v>24</v>
      </c>
      <c r="V198" s="22">
        <f>IFERROR(RAW[[#This Row],[ACTUAL GROSS]]/RAW[[#This Row],[CONVERTED]],0)</f>
        <v>0</v>
      </c>
      <c r="W198" s="22">
        <f>IFERROR(RAW[[#This Row],[SALES]]/RAW[[#This Row],[HOURLY PAY]],0)</f>
        <v>0</v>
      </c>
    </row>
    <row r="199" spans="1:23" x14ac:dyDescent="0.35">
      <c r="A199" s="23">
        <v>45189</v>
      </c>
      <c r="B199" s="24" t="s">
        <v>25</v>
      </c>
      <c r="C199" s="25" t="s">
        <v>35</v>
      </c>
      <c r="D199" s="14" t="s">
        <v>23</v>
      </c>
      <c r="E199" s="26">
        <v>0</v>
      </c>
      <c r="F199" s="26">
        <v>0</v>
      </c>
      <c r="G199" s="26">
        <v>0</v>
      </c>
      <c r="H199" s="26">
        <v>0</v>
      </c>
      <c r="I199" s="26">
        <v>0</v>
      </c>
      <c r="J199" s="26">
        <v>0</v>
      </c>
      <c r="K199" s="26">
        <v>0</v>
      </c>
      <c r="L199" s="27">
        <v>0</v>
      </c>
      <c r="M199" s="27">
        <v>0</v>
      </c>
      <c r="N199" s="28">
        <v>0</v>
      </c>
      <c r="O199" s="26">
        <v>0</v>
      </c>
      <c r="P199" s="26">
        <v>0</v>
      </c>
      <c r="Q199" s="33">
        <v>0</v>
      </c>
      <c r="R199" s="34">
        <v>0</v>
      </c>
      <c r="S199" s="34">
        <v>0</v>
      </c>
      <c r="T199" s="20">
        <v>0</v>
      </c>
      <c r="U199" s="21" t="s">
        <v>24</v>
      </c>
      <c r="V199" s="22">
        <f>IFERROR(RAW[[#This Row],[ACTUAL GROSS]]/RAW[[#This Row],[CONVERTED]],0)</f>
        <v>0</v>
      </c>
      <c r="W199" s="22">
        <f>IFERROR(RAW[[#This Row],[SALES]]/RAW[[#This Row],[HOURLY PAY]],0)</f>
        <v>0</v>
      </c>
    </row>
    <row r="200" spans="1:23" x14ac:dyDescent="0.35">
      <c r="A200" s="23">
        <v>45190</v>
      </c>
      <c r="B200" s="24" t="s">
        <v>21</v>
      </c>
      <c r="C200" s="25" t="s">
        <v>35</v>
      </c>
      <c r="D200" s="14" t="s">
        <v>26</v>
      </c>
      <c r="E200" s="26">
        <v>0</v>
      </c>
      <c r="F200" s="26">
        <v>0</v>
      </c>
      <c r="G200" s="26">
        <v>0</v>
      </c>
      <c r="H200" s="26">
        <v>0</v>
      </c>
      <c r="I200" s="26">
        <v>0</v>
      </c>
      <c r="J200" s="26">
        <v>0</v>
      </c>
      <c r="K200" s="26">
        <v>0</v>
      </c>
      <c r="L200" s="27">
        <v>0</v>
      </c>
      <c r="M200" s="27">
        <v>0</v>
      </c>
      <c r="N200" s="28">
        <v>0</v>
      </c>
      <c r="O200" s="26">
        <v>0</v>
      </c>
      <c r="P200" s="26">
        <v>0</v>
      </c>
      <c r="Q200" s="33">
        <v>0</v>
      </c>
      <c r="R200" s="34">
        <v>0</v>
      </c>
      <c r="S200" s="34">
        <v>0</v>
      </c>
      <c r="T200" s="20">
        <v>0</v>
      </c>
      <c r="U200" s="21" t="s">
        <v>24</v>
      </c>
      <c r="V200" s="22">
        <f>IFERROR(RAW[[#This Row],[ACTUAL GROSS]]/RAW[[#This Row],[CONVERTED]],0)</f>
        <v>0</v>
      </c>
      <c r="W200" s="22">
        <f>IFERROR(RAW[[#This Row],[SALES]]/RAW[[#This Row],[HOURLY PAY]],0)</f>
        <v>0</v>
      </c>
    </row>
    <row r="201" spans="1:23" x14ac:dyDescent="0.35">
      <c r="A201" s="23">
        <v>45190</v>
      </c>
      <c r="B201" s="24" t="s">
        <v>25</v>
      </c>
      <c r="C201" s="25" t="s">
        <v>35</v>
      </c>
      <c r="D201" s="14" t="s">
        <v>26</v>
      </c>
      <c r="E201" s="26">
        <v>0</v>
      </c>
      <c r="F201" s="26">
        <v>0</v>
      </c>
      <c r="G201" s="26">
        <v>0</v>
      </c>
      <c r="H201" s="26">
        <v>0</v>
      </c>
      <c r="I201" s="26">
        <v>0</v>
      </c>
      <c r="J201" s="26">
        <v>0</v>
      </c>
      <c r="K201" s="26">
        <v>0</v>
      </c>
      <c r="L201" s="27">
        <v>0</v>
      </c>
      <c r="M201" s="27">
        <v>0</v>
      </c>
      <c r="N201" s="28">
        <v>0</v>
      </c>
      <c r="O201" s="26">
        <v>0</v>
      </c>
      <c r="P201" s="26">
        <v>0</v>
      </c>
      <c r="Q201" s="33">
        <v>0</v>
      </c>
      <c r="R201" s="34">
        <v>0</v>
      </c>
      <c r="S201" s="34">
        <v>0</v>
      </c>
      <c r="T201" s="20">
        <v>0</v>
      </c>
      <c r="U201" s="21" t="s">
        <v>24</v>
      </c>
      <c r="V201" s="22">
        <f>IFERROR(RAW[[#This Row],[ACTUAL GROSS]]/RAW[[#This Row],[CONVERTED]],0)</f>
        <v>0</v>
      </c>
      <c r="W201" s="22">
        <f>IFERROR(RAW[[#This Row],[SALES]]/RAW[[#This Row],[HOURLY PAY]],0)</f>
        <v>0</v>
      </c>
    </row>
    <row r="202" spans="1:23" x14ac:dyDescent="0.35">
      <c r="A202" s="23">
        <v>45191</v>
      </c>
      <c r="B202" s="24" t="s">
        <v>21</v>
      </c>
      <c r="C202" s="25" t="s">
        <v>35</v>
      </c>
      <c r="D202" s="14" t="s">
        <v>27</v>
      </c>
      <c r="E202" s="26">
        <v>0</v>
      </c>
      <c r="F202" s="26">
        <v>0</v>
      </c>
      <c r="G202" s="26">
        <v>0</v>
      </c>
      <c r="H202" s="26">
        <v>0</v>
      </c>
      <c r="I202" s="26">
        <v>0</v>
      </c>
      <c r="J202" s="26">
        <v>0</v>
      </c>
      <c r="K202" s="26">
        <v>0</v>
      </c>
      <c r="L202" s="27">
        <v>0</v>
      </c>
      <c r="M202" s="27">
        <v>0</v>
      </c>
      <c r="N202" s="28">
        <v>0</v>
      </c>
      <c r="O202" s="26">
        <v>0</v>
      </c>
      <c r="P202" s="26">
        <v>0</v>
      </c>
      <c r="Q202" s="33">
        <v>0</v>
      </c>
      <c r="R202" s="34">
        <v>0</v>
      </c>
      <c r="S202" s="34">
        <v>0</v>
      </c>
      <c r="T202" s="20">
        <v>0</v>
      </c>
      <c r="U202" s="21" t="s">
        <v>24</v>
      </c>
      <c r="V202" s="22">
        <f>IFERROR(RAW[[#This Row],[ACTUAL GROSS]]/RAW[[#This Row],[CONVERTED]],0)</f>
        <v>0</v>
      </c>
      <c r="W202" s="22">
        <f>IFERROR(RAW[[#This Row],[SALES]]/RAW[[#This Row],[HOURLY PAY]],0)</f>
        <v>0</v>
      </c>
    </row>
    <row r="203" spans="1:23" x14ac:dyDescent="0.35">
      <c r="A203" s="23">
        <v>45191</v>
      </c>
      <c r="B203" s="24" t="s">
        <v>25</v>
      </c>
      <c r="C203" s="25" t="s">
        <v>35</v>
      </c>
      <c r="D203" s="14" t="s">
        <v>27</v>
      </c>
      <c r="E203" s="26">
        <v>0</v>
      </c>
      <c r="F203" s="26">
        <v>0</v>
      </c>
      <c r="G203" s="26">
        <v>0</v>
      </c>
      <c r="H203" s="26">
        <v>0</v>
      </c>
      <c r="I203" s="26">
        <v>0</v>
      </c>
      <c r="J203" s="26">
        <v>0</v>
      </c>
      <c r="K203" s="26">
        <v>0</v>
      </c>
      <c r="L203" s="27">
        <v>0</v>
      </c>
      <c r="M203" s="27">
        <v>0</v>
      </c>
      <c r="N203" s="28">
        <v>0</v>
      </c>
      <c r="O203" s="26">
        <v>0</v>
      </c>
      <c r="P203" s="26">
        <v>0</v>
      </c>
      <c r="Q203" s="33">
        <v>0</v>
      </c>
      <c r="R203" s="34">
        <v>0</v>
      </c>
      <c r="S203" s="34">
        <v>0</v>
      </c>
      <c r="T203" s="20">
        <v>0</v>
      </c>
      <c r="U203" s="21" t="s">
        <v>24</v>
      </c>
      <c r="V203" s="22">
        <f>IFERROR(RAW[[#This Row],[ACTUAL GROSS]]/RAW[[#This Row],[CONVERTED]],0)</f>
        <v>0</v>
      </c>
      <c r="W203" s="22">
        <f>IFERROR(RAW[[#This Row],[SALES]]/RAW[[#This Row],[HOURLY PAY]],0)</f>
        <v>0</v>
      </c>
    </row>
    <row r="204" spans="1:23" x14ac:dyDescent="0.35">
      <c r="A204" s="23">
        <v>45192</v>
      </c>
      <c r="B204" s="24" t="s">
        <v>21</v>
      </c>
      <c r="C204" s="25" t="s">
        <v>35</v>
      </c>
      <c r="D204" s="14" t="s">
        <v>28</v>
      </c>
      <c r="E204" s="26">
        <v>933</v>
      </c>
      <c r="F204" s="26">
        <v>185.18</v>
      </c>
      <c r="G204" s="26">
        <v>0</v>
      </c>
      <c r="H204" s="26">
        <v>37.32</v>
      </c>
      <c r="I204" s="26">
        <v>3.111024</v>
      </c>
      <c r="J204" s="26">
        <v>0</v>
      </c>
      <c r="K204" s="26">
        <v>144.748976</v>
      </c>
      <c r="L204" s="27">
        <v>5</v>
      </c>
      <c r="M204" s="27">
        <v>40</v>
      </c>
      <c r="N204" s="28">
        <v>5.666666666666667</v>
      </c>
      <c r="O204" s="26">
        <v>12.07</v>
      </c>
      <c r="P204" s="26">
        <v>156.81897599999999</v>
      </c>
      <c r="Q204" s="33">
        <v>156.81897599999999</v>
      </c>
      <c r="R204" s="34">
        <v>1</v>
      </c>
      <c r="S204" s="34">
        <v>1</v>
      </c>
      <c r="T204" s="20">
        <v>0</v>
      </c>
      <c r="U204" s="21" t="s">
        <v>24</v>
      </c>
      <c r="V204" s="22">
        <f>IFERROR(RAW[[#This Row],[ACTUAL GROSS]]/RAW[[#This Row],[CONVERTED]],0)</f>
        <v>27.673936941176468</v>
      </c>
      <c r="W204" s="22">
        <f>IFERROR(RAW[[#This Row],[SALES]]/RAW[[#This Row],[HOURLY PAY]],0)</f>
        <v>77.299088649544316</v>
      </c>
    </row>
    <row r="205" spans="1:23" x14ac:dyDescent="0.35">
      <c r="A205" s="23">
        <v>45192</v>
      </c>
      <c r="B205" s="24" t="s">
        <v>25</v>
      </c>
      <c r="C205" s="25" t="s">
        <v>35</v>
      </c>
      <c r="D205" s="14" t="s">
        <v>28</v>
      </c>
      <c r="E205" s="26">
        <v>0</v>
      </c>
      <c r="F205" s="26">
        <v>0</v>
      </c>
      <c r="G205" s="26">
        <v>0</v>
      </c>
      <c r="H205" s="26">
        <v>0</v>
      </c>
      <c r="I205" s="26">
        <v>0</v>
      </c>
      <c r="J205" s="26">
        <v>0</v>
      </c>
      <c r="K205" s="26">
        <v>0</v>
      </c>
      <c r="L205" s="27">
        <v>0</v>
      </c>
      <c r="M205" s="27">
        <v>0</v>
      </c>
      <c r="N205" s="28">
        <v>0</v>
      </c>
      <c r="O205" s="26">
        <v>0</v>
      </c>
      <c r="P205" s="26">
        <v>0</v>
      </c>
      <c r="Q205" s="33">
        <v>0</v>
      </c>
      <c r="R205" s="34">
        <v>0</v>
      </c>
      <c r="S205" s="34">
        <v>0</v>
      </c>
      <c r="T205" s="20">
        <v>0</v>
      </c>
      <c r="U205" s="21" t="s">
        <v>24</v>
      </c>
      <c r="V205" s="22">
        <f>IFERROR(RAW[[#This Row],[ACTUAL GROSS]]/RAW[[#This Row],[CONVERTED]],0)</f>
        <v>0</v>
      </c>
      <c r="W205" s="22">
        <f>IFERROR(RAW[[#This Row],[SALES]]/RAW[[#This Row],[HOURLY PAY]],0)</f>
        <v>0</v>
      </c>
    </row>
    <row r="206" spans="1:23" x14ac:dyDescent="0.35">
      <c r="A206" s="23">
        <v>45193</v>
      </c>
      <c r="B206" s="24" t="s">
        <v>21</v>
      </c>
      <c r="C206" s="25" t="s">
        <v>35</v>
      </c>
      <c r="D206" s="14" t="s">
        <v>29</v>
      </c>
      <c r="E206" s="26">
        <v>931</v>
      </c>
      <c r="F206" s="26">
        <v>176.55</v>
      </c>
      <c r="G206" s="26">
        <v>42.5</v>
      </c>
      <c r="H206" s="26">
        <v>37.24</v>
      </c>
      <c r="I206" s="26">
        <v>2.96604</v>
      </c>
      <c r="J206" s="26">
        <v>15</v>
      </c>
      <c r="K206" s="26">
        <v>136.34396000000001</v>
      </c>
      <c r="L206" s="27">
        <v>4</v>
      </c>
      <c r="M206" s="27">
        <v>1</v>
      </c>
      <c r="N206" s="28">
        <v>4.0166666666666666</v>
      </c>
      <c r="O206" s="26">
        <v>8.5555000000000003</v>
      </c>
      <c r="P206" s="26">
        <v>159.89946</v>
      </c>
      <c r="Q206" s="33">
        <v>187.39946</v>
      </c>
      <c r="R206" s="34">
        <v>1</v>
      </c>
      <c r="S206" s="34">
        <v>1</v>
      </c>
      <c r="T206" s="20">
        <v>0</v>
      </c>
      <c r="U206" s="21" t="s">
        <v>34</v>
      </c>
      <c r="V206" s="22">
        <f>IFERROR(RAW[[#This Row],[ACTUAL GROSS]]/RAW[[#This Row],[CONVERTED]],0)</f>
        <v>46.655467219917014</v>
      </c>
      <c r="W206" s="22">
        <f>IFERROR(RAW[[#This Row],[SALES]]/RAW[[#This Row],[HOURLY PAY]],0)</f>
        <v>108.81888843434048</v>
      </c>
    </row>
    <row r="207" spans="1:23" x14ac:dyDescent="0.35">
      <c r="A207" s="23">
        <v>45193</v>
      </c>
      <c r="B207" s="24" t="s">
        <v>25</v>
      </c>
      <c r="C207" s="25" t="s">
        <v>35</v>
      </c>
      <c r="D207" s="14" t="s">
        <v>29</v>
      </c>
      <c r="E207" s="26">
        <v>931</v>
      </c>
      <c r="F207" s="26">
        <v>176.55</v>
      </c>
      <c r="G207" s="26">
        <v>42.5</v>
      </c>
      <c r="H207" s="26">
        <v>37.24</v>
      </c>
      <c r="I207" s="26">
        <v>2.96604</v>
      </c>
      <c r="J207" s="26">
        <v>15</v>
      </c>
      <c r="K207" s="26">
        <v>136.34396000000001</v>
      </c>
      <c r="L207" s="27">
        <v>4</v>
      </c>
      <c r="M207" s="27">
        <v>1</v>
      </c>
      <c r="N207" s="28">
        <v>4.0166666666666666</v>
      </c>
      <c r="O207" s="26">
        <v>8.5555000000000003</v>
      </c>
      <c r="P207" s="26">
        <v>159.89946</v>
      </c>
      <c r="Q207" s="33">
        <v>187.39946</v>
      </c>
      <c r="R207" s="34">
        <v>1</v>
      </c>
      <c r="S207" s="34">
        <v>0</v>
      </c>
      <c r="T207" s="20">
        <v>1</v>
      </c>
      <c r="U207" s="21" t="s">
        <v>34</v>
      </c>
      <c r="V207" s="22">
        <f>IFERROR(RAW[[#This Row],[ACTUAL GROSS]]/RAW[[#This Row],[CONVERTED]],0)</f>
        <v>46.655467219917014</v>
      </c>
      <c r="W207" s="22">
        <f>IFERROR(RAW[[#This Row],[SALES]]/RAW[[#This Row],[HOURLY PAY]],0)</f>
        <v>108.81888843434048</v>
      </c>
    </row>
    <row r="208" spans="1:23" x14ac:dyDescent="0.35">
      <c r="A208" s="23">
        <v>45194</v>
      </c>
      <c r="B208" s="24" t="s">
        <v>21</v>
      </c>
      <c r="C208" s="25" t="s">
        <v>35</v>
      </c>
      <c r="D208" s="14" t="s">
        <v>30</v>
      </c>
      <c r="E208" s="26">
        <v>0</v>
      </c>
      <c r="F208" s="26">
        <v>0</v>
      </c>
      <c r="G208" s="26">
        <v>0</v>
      </c>
      <c r="H208" s="26">
        <v>0</v>
      </c>
      <c r="I208" s="26">
        <v>0</v>
      </c>
      <c r="J208" s="26">
        <v>0</v>
      </c>
      <c r="K208" s="26">
        <v>0</v>
      </c>
      <c r="L208" s="27">
        <v>0</v>
      </c>
      <c r="M208" s="27">
        <v>0</v>
      </c>
      <c r="N208" s="28">
        <v>0</v>
      </c>
      <c r="O208" s="26">
        <v>0</v>
      </c>
      <c r="P208" s="26">
        <v>0</v>
      </c>
      <c r="Q208" s="33">
        <v>0</v>
      </c>
      <c r="R208" s="34">
        <v>0</v>
      </c>
      <c r="S208" s="34">
        <v>0</v>
      </c>
      <c r="T208" s="20">
        <v>0</v>
      </c>
      <c r="U208" s="21" t="s">
        <v>24</v>
      </c>
      <c r="V208" s="22">
        <f>IFERROR(RAW[[#This Row],[ACTUAL GROSS]]/RAW[[#This Row],[CONVERTED]],0)</f>
        <v>0</v>
      </c>
      <c r="W208" s="22">
        <f>IFERROR(RAW[[#This Row],[SALES]]/RAW[[#This Row],[HOURLY PAY]],0)</f>
        <v>0</v>
      </c>
    </row>
    <row r="209" spans="1:23" x14ac:dyDescent="0.35">
      <c r="A209" s="23">
        <v>45194</v>
      </c>
      <c r="B209" s="24" t="s">
        <v>25</v>
      </c>
      <c r="C209" s="25" t="s">
        <v>35</v>
      </c>
      <c r="D209" s="14" t="s">
        <v>30</v>
      </c>
      <c r="E209" s="26">
        <v>1011.5</v>
      </c>
      <c r="F209" s="26">
        <v>183.15</v>
      </c>
      <c r="G209" s="26">
        <v>16</v>
      </c>
      <c r="H209" s="26">
        <v>40.46</v>
      </c>
      <c r="I209" s="26">
        <v>3.0769199999999999</v>
      </c>
      <c r="J209" s="26">
        <v>6</v>
      </c>
      <c r="K209" s="26">
        <v>139.61308</v>
      </c>
      <c r="L209" s="27">
        <v>5</v>
      </c>
      <c r="M209" s="27">
        <v>17</v>
      </c>
      <c r="N209" s="28">
        <v>5.2833333333333332</v>
      </c>
      <c r="O209" s="26">
        <v>11.253499999999999</v>
      </c>
      <c r="P209" s="26">
        <v>156.86658</v>
      </c>
      <c r="Q209" s="33">
        <v>166.86658</v>
      </c>
      <c r="R209" s="34">
        <v>1</v>
      </c>
      <c r="S209" s="34">
        <v>0</v>
      </c>
      <c r="T209" s="20">
        <v>0</v>
      </c>
      <c r="U209" s="21" t="s">
        <v>24</v>
      </c>
      <c r="V209" s="22">
        <f>IFERROR(RAW[[#This Row],[ACTUAL GROSS]]/RAW[[#This Row],[CONVERTED]],0)</f>
        <v>31.583579810725553</v>
      </c>
      <c r="W209" s="22">
        <f>IFERROR(RAW[[#This Row],[SALES]]/RAW[[#This Row],[HOURLY PAY]],0)</f>
        <v>89.883147465233051</v>
      </c>
    </row>
    <row r="210" spans="1:23" x14ac:dyDescent="0.35">
      <c r="A210" s="23">
        <v>45195</v>
      </c>
      <c r="B210" s="24" t="s">
        <v>21</v>
      </c>
      <c r="C210" s="25" t="s">
        <v>35</v>
      </c>
      <c r="D210" s="14" t="s">
        <v>31</v>
      </c>
      <c r="E210" s="26">
        <v>0</v>
      </c>
      <c r="F210" s="26">
        <v>0</v>
      </c>
      <c r="G210" s="26">
        <v>0</v>
      </c>
      <c r="H210" s="26">
        <v>0</v>
      </c>
      <c r="I210" s="26">
        <v>0</v>
      </c>
      <c r="J210" s="26">
        <v>0</v>
      </c>
      <c r="K210" s="26">
        <v>0</v>
      </c>
      <c r="L210" s="27">
        <v>0</v>
      </c>
      <c r="M210" s="27">
        <v>0</v>
      </c>
      <c r="N210" s="28">
        <v>0</v>
      </c>
      <c r="O210" s="26">
        <v>0</v>
      </c>
      <c r="P210" s="26">
        <v>0</v>
      </c>
      <c r="Q210" s="33">
        <v>0</v>
      </c>
      <c r="R210" s="34">
        <v>0</v>
      </c>
      <c r="S210" s="34">
        <v>0</v>
      </c>
      <c r="T210" s="20">
        <v>0</v>
      </c>
      <c r="U210" s="21" t="s">
        <v>24</v>
      </c>
      <c r="V210" s="22">
        <f>IFERROR(RAW[[#This Row],[ACTUAL GROSS]]/RAW[[#This Row],[CONVERTED]],0)</f>
        <v>0</v>
      </c>
      <c r="W210" s="22">
        <f>IFERROR(RAW[[#This Row],[SALES]]/RAW[[#This Row],[HOURLY PAY]],0)</f>
        <v>0</v>
      </c>
    </row>
    <row r="211" spans="1:23" x14ac:dyDescent="0.35">
      <c r="A211" s="23">
        <v>45195</v>
      </c>
      <c r="B211" s="24" t="s">
        <v>25</v>
      </c>
      <c r="C211" s="25" t="s">
        <v>35</v>
      </c>
      <c r="D211" s="14" t="s">
        <v>31</v>
      </c>
      <c r="E211" s="26">
        <v>0</v>
      </c>
      <c r="F211" s="26">
        <v>0</v>
      </c>
      <c r="G211" s="26">
        <v>0</v>
      </c>
      <c r="H211" s="26">
        <v>0</v>
      </c>
      <c r="I211" s="26">
        <v>0</v>
      </c>
      <c r="J211" s="26">
        <v>0</v>
      </c>
      <c r="K211" s="26">
        <v>0</v>
      </c>
      <c r="L211" s="27">
        <v>0</v>
      </c>
      <c r="M211" s="27">
        <v>0</v>
      </c>
      <c r="N211" s="28">
        <v>0</v>
      </c>
      <c r="O211" s="26">
        <v>0</v>
      </c>
      <c r="P211" s="26">
        <v>0</v>
      </c>
      <c r="Q211" s="33">
        <v>0</v>
      </c>
      <c r="R211" s="34">
        <v>0</v>
      </c>
      <c r="S211" s="34">
        <v>0</v>
      </c>
      <c r="T211" s="20">
        <v>0</v>
      </c>
      <c r="U211" s="21" t="s">
        <v>24</v>
      </c>
      <c r="V211" s="22">
        <f>IFERROR(RAW[[#This Row],[ACTUAL GROSS]]/RAW[[#This Row],[CONVERTED]],0)</f>
        <v>0</v>
      </c>
      <c r="W211" s="22">
        <f>IFERROR(RAW[[#This Row],[SALES]]/RAW[[#This Row],[HOURLY PAY]],0)</f>
        <v>0</v>
      </c>
    </row>
    <row r="212" spans="1:23" x14ac:dyDescent="0.35">
      <c r="A212" s="23">
        <v>45196</v>
      </c>
      <c r="B212" s="24" t="s">
        <v>21</v>
      </c>
      <c r="C212" s="25" t="s">
        <v>35</v>
      </c>
      <c r="D212" s="14" t="s">
        <v>23</v>
      </c>
      <c r="E212" s="26">
        <v>0</v>
      </c>
      <c r="F212" s="26">
        <v>0</v>
      </c>
      <c r="G212" s="26">
        <v>0</v>
      </c>
      <c r="H212" s="26">
        <v>0</v>
      </c>
      <c r="I212" s="26">
        <v>0</v>
      </c>
      <c r="J212" s="26">
        <v>0</v>
      </c>
      <c r="K212" s="26">
        <v>0</v>
      </c>
      <c r="L212" s="27">
        <v>0</v>
      </c>
      <c r="M212" s="27">
        <v>0</v>
      </c>
      <c r="N212" s="28">
        <v>0</v>
      </c>
      <c r="O212" s="26">
        <v>0</v>
      </c>
      <c r="P212" s="26">
        <v>0</v>
      </c>
      <c r="Q212" s="33">
        <v>0</v>
      </c>
      <c r="R212" s="34">
        <v>0</v>
      </c>
      <c r="S212" s="34">
        <v>0</v>
      </c>
      <c r="T212" s="20">
        <v>0</v>
      </c>
      <c r="U212" s="21" t="s">
        <v>24</v>
      </c>
      <c r="V212" s="22">
        <f>IFERROR(RAW[[#This Row],[ACTUAL GROSS]]/RAW[[#This Row],[CONVERTED]],0)</f>
        <v>0</v>
      </c>
      <c r="W212" s="22">
        <f>IFERROR(RAW[[#This Row],[SALES]]/RAW[[#This Row],[HOURLY PAY]],0)</f>
        <v>0</v>
      </c>
    </row>
    <row r="213" spans="1:23" x14ac:dyDescent="0.35">
      <c r="A213" s="23">
        <v>45196</v>
      </c>
      <c r="B213" s="24" t="s">
        <v>25</v>
      </c>
      <c r="C213" s="25" t="s">
        <v>35</v>
      </c>
      <c r="D213" s="14" t="s">
        <v>23</v>
      </c>
      <c r="E213" s="26">
        <v>648</v>
      </c>
      <c r="F213" s="26">
        <v>120.11</v>
      </c>
      <c r="G213" s="26">
        <v>0</v>
      </c>
      <c r="H213" s="26">
        <v>25.92</v>
      </c>
      <c r="I213" s="26">
        <v>2.0178479999999999</v>
      </c>
      <c r="J213" s="26">
        <v>0</v>
      </c>
      <c r="K213" s="26">
        <v>92.172151999999997</v>
      </c>
      <c r="L213" s="27">
        <v>4</v>
      </c>
      <c r="M213" s="27">
        <v>44</v>
      </c>
      <c r="N213" s="28">
        <v>4.7333333333333334</v>
      </c>
      <c r="O213" s="26">
        <v>10.081999999999999</v>
      </c>
      <c r="P213" s="26">
        <v>102.25415199999999</v>
      </c>
      <c r="Q213" s="33">
        <v>102.25415199999999</v>
      </c>
      <c r="R213" s="34">
        <v>1</v>
      </c>
      <c r="S213" s="34">
        <v>0</v>
      </c>
      <c r="T213" s="20">
        <v>0</v>
      </c>
      <c r="U213" s="21" t="s">
        <v>24</v>
      </c>
      <c r="V213" s="22">
        <f>IFERROR(RAW[[#This Row],[ACTUAL GROSS]]/RAW[[#This Row],[CONVERTED]],0)</f>
        <v>21.602989859154928</v>
      </c>
      <c r="W213" s="22">
        <f>IFERROR(RAW[[#This Row],[SALES]]/RAW[[#This Row],[HOURLY PAY]],0)</f>
        <v>64.272961713945648</v>
      </c>
    </row>
    <row r="214" spans="1:23" x14ac:dyDescent="0.35">
      <c r="A214" s="23">
        <v>45197</v>
      </c>
      <c r="B214" s="24" t="s">
        <v>21</v>
      </c>
      <c r="C214" s="25" t="s">
        <v>35</v>
      </c>
      <c r="D214" s="14" t="s">
        <v>26</v>
      </c>
      <c r="E214" s="26">
        <v>0</v>
      </c>
      <c r="F214" s="26">
        <v>0</v>
      </c>
      <c r="G214" s="26">
        <v>0</v>
      </c>
      <c r="H214" s="26">
        <v>0</v>
      </c>
      <c r="I214" s="26">
        <v>0</v>
      </c>
      <c r="J214" s="26">
        <v>0</v>
      </c>
      <c r="K214" s="26">
        <v>0</v>
      </c>
      <c r="L214" s="27">
        <v>0</v>
      </c>
      <c r="M214" s="27">
        <v>0</v>
      </c>
      <c r="N214" s="28">
        <v>0</v>
      </c>
      <c r="O214" s="26">
        <v>0</v>
      </c>
      <c r="P214" s="26">
        <v>0</v>
      </c>
      <c r="Q214" s="33">
        <v>0</v>
      </c>
      <c r="R214" s="34">
        <v>0</v>
      </c>
      <c r="S214" s="34">
        <v>0</v>
      </c>
      <c r="T214" s="20">
        <v>0</v>
      </c>
      <c r="U214" s="21" t="s">
        <v>24</v>
      </c>
      <c r="V214" s="22">
        <f>IFERROR(RAW[[#This Row],[ACTUAL GROSS]]/RAW[[#This Row],[CONVERTED]],0)</f>
        <v>0</v>
      </c>
      <c r="W214" s="22">
        <f>IFERROR(RAW[[#This Row],[SALES]]/RAW[[#This Row],[HOURLY PAY]],0)</f>
        <v>0</v>
      </c>
    </row>
    <row r="215" spans="1:23" x14ac:dyDescent="0.35">
      <c r="A215" s="23">
        <v>45197</v>
      </c>
      <c r="B215" s="24" t="s">
        <v>25</v>
      </c>
      <c r="C215" s="25" t="s">
        <v>35</v>
      </c>
      <c r="D215" s="14" t="s">
        <v>26</v>
      </c>
      <c r="E215" s="26">
        <v>0</v>
      </c>
      <c r="F215" s="26">
        <v>0</v>
      </c>
      <c r="G215" s="26">
        <v>0</v>
      </c>
      <c r="H215" s="26">
        <v>0</v>
      </c>
      <c r="I215" s="26">
        <v>0</v>
      </c>
      <c r="J215" s="26">
        <v>0</v>
      </c>
      <c r="K215" s="26">
        <v>0</v>
      </c>
      <c r="L215" s="27">
        <v>0</v>
      </c>
      <c r="M215" s="27">
        <v>0</v>
      </c>
      <c r="N215" s="28">
        <v>0</v>
      </c>
      <c r="O215" s="26">
        <v>0</v>
      </c>
      <c r="P215" s="26">
        <v>0</v>
      </c>
      <c r="Q215" s="33">
        <v>0</v>
      </c>
      <c r="R215" s="34">
        <v>0</v>
      </c>
      <c r="S215" s="34">
        <v>0</v>
      </c>
      <c r="T215" s="20">
        <v>0</v>
      </c>
      <c r="U215" s="21" t="s">
        <v>24</v>
      </c>
      <c r="V215" s="22">
        <f>IFERROR(RAW[[#This Row],[ACTUAL GROSS]]/RAW[[#This Row],[CONVERTED]],0)</f>
        <v>0</v>
      </c>
      <c r="W215" s="22">
        <f>IFERROR(RAW[[#This Row],[SALES]]/RAW[[#This Row],[HOURLY PAY]],0)</f>
        <v>0</v>
      </c>
    </row>
    <row r="216" spans="1:23" x14ac:dyDescent="0.35">
      <c r="A216" s="23">
        <v>45198</v>
      </c>
      <c r="B216" s="24" t="s">
        <v>21</v>
      </c>
      <c r="C216" s="25" t="s">
        <v>35</v>
      </c>
      <c r="D216" s="14" t="s">
        <v>27</v>
      </c>
      <c r="E216" s="26">
        <v>0</v>
      </c>
      <c r="F216" s="26">
        <v>0</v>
      </c>
      <c r="G216" s="26">
        <v>0</v>
      </c>
      <c r="H216" s="26">
        <v>0</v>
      </c>
      <c r="I216" s="26">
        <v>0</v>
      </c>
      <c r="J216" s="26">
        <v>0</v>
      </c>
      <c r="K216" s="26">
        <v>0</v>
      </c>
      <c r="L216" s="27">
        <v>0</v>
      </c>
      <c r="M216" s="27">
        <v>0</v>
      </c>
      <c r="N216" s="28">
        <v>0</v>
      </c>
      <c r="O216" s="26">
        <v>0</v>
      </c>
      <c r="P216" s="26">
        <v>0</v>
      </c>
      <c r="Q216" s="33">
        <v>0</v>
      </c>
      <c r="R216" s="34">
        <v>0</v>
      </c>
      <c r="S216" s="34">
        <v>0</v>
      </c>
      <c r="T216" s="20">
        <v>0</v>
      </c>
      <c r="U216" s="21" t="s">
        <v>24</v>
      </c>
      <c r="V216" s="22">
        <f>IFERROR(RAW[[#This Row],[ACTUAL GROSS]]/RAW[[#This Row],[CONVERTED]],0)</f>
        <v>0</v>
      </c>
      <c r="W216" s="22">
        <f>IFERROR(RAW[[#This Row],[SALES]]/RAW[[#This Row],[HOURLY PAY]],0)</f>
        <v>0</v>
      </c>
    </row>
    <row r="217" spans="1:23" x14ac:dyDescent="0.35">
      <c r="A217" s="23">
        <v>45198</v>
      </c>
      <c r="B217" s="24" t="s">
        <v>25</v>
      </c>
      <c r="C217" s="25" t="s">
        <v>35</v>
      </c>
      <c r="D217" s="14" t="s">
        <v>27</v>
      </c>
      <c r="E217" s="26">
        <v>848</v>
      </c>
      <c r="F217" s="26">
        <v>160.91999999999999</v>
      </c>
      <c r="G217" s="26">
        <v>0</v>
      </c>
      <c r="H217" s="26">
        <v>33.92</v>
      </c>
      <c r="I217" s="26">
        <v>2.7034559999999996</v>
      </c>
      <c r="J217" s="26">
        <v>0</v>
      </c>
      <c r="K217" s="26">
        <v>124.29654399999998</v>
      </c>
      <c r="L217" s="27">
        <v>5</v>
      </c>
      <c r="M217" s="27">
        <v>14</v>
      </c>
      <c r="N217" s="28">
        <v>5.2333333333333334</v>
      </c>
      <c r="O217" s="26">
        <v>11.147</v>
      </c>
      <c r="P217" s="26">
        <v>135.44354399999997</v>
      </c>
      <c r="Q217" s="33">
        <v>135.44354399999997</v>
      </c>
      <c r="R217" s="34">
        <v>1</v>
      </c>
      <c r="S217" s="34">
        <v>0</v>
      </c>
      <c r="T217" s="20">
        <v>0</v>
      </c>
      <c r="U217" s="21" t="s">
        <v>24</v>
      </c>
      <c r="V217" s="22">
        <f>IFERROR(RAW[[#This Row],[ACTUAL GROSS]]/RAW[[#This Row],[CONVERTED]],0)</f>
        <v>25.880931974522287</v>
      </c>
      <c r="W217" s="22">
        <f>IFERROR(RAW[[#This Row],[SALES]]/RAW[[#This Row],[HOURLY PAY]],0)</f>
        <v>76.074280075356597</v>
      </c>
    </row>
    <row r="218" spans="1:23" x14ac:dyDescent="0.35">
      <c r="A218" s="23">
        <v>45199</v>
      </c>
      <c r="B218" s="24" t="s">
        <v>21</v>
      </c>
      <c r="C218" s="25" t="s">
        <v>35</v>
      </c>
      <c r="D218" s="14" t="s">
        <v>28</v>
      </c>
      <c r="E218" s="26">
        <v>0</v>
      </c>
      <c r="F218" s="26">
        <v>0</v>
      </c>
      <c r="G218" s="26">
        <v>0</v>
      </c>
      <c r="H218" s="26">
        <v>0</v>
      </c>
      <c r="I218" s="26">
        <v>0</v>
      </c>
      <c r="J218" s="26">
        <v>0</v>
      </c>
      <c r="K218" s="26">
        <v>0</v>
      </c>
      <c r="L218" s="27">
        <v>0</v>
      </c>
      <c r="M218" s="27">
        <v>0</v>
      </c>
      <c r="N218" s="28">
        <v>0</v>
      </c>
      <c r="O218" s="26">
        <v>0</v>
      </c>
      <c r="P218" s="26">
        <v>0</v>
      </c>
      <c r="Q218" s="33">
        <v>0</v>
      </c>
      <c r="R218" s="34">
        <v>0</v>
      </c>
      <c r="S218" s="34">
        <v>0</v>
      </c>
      <c r="T218" s="20">
        <v>0</v>
      </c>
      <c r="U218" s="21" t="s">
        <v>24</v>
      </c>
      <c r="V218" s="22">
        <f>IFERROR(RAW[[#This Row],[ACTUAL GROSS]]/RAW[[#This Row],[CONVERTED]],0)</f>
        <v>0</v>
      </c>
      <c r="W218" s="22">
        <f>IFERROR(RAW[[#This Row],[SALES]]/RAW[[#This Row],[HOURLY PAY]],0)</f>
        <v>0</v>
      </c>
    </row>
    <row r="219" spans="1:23" x14ac:dyDescent="0.35">
      <c r="A219" s="23">
        <v>45199</v>
      </c>
      <c r="B219" s="24" t="s">
        <v>25</v>
      </c>
      <c r="C219" s="25" t="s">
        <v>35</v>
      </c>
      <c r="D219" s="14" t="s">
        <v>28</v>
      </c>
      <c r="E219" s="26">
        <v>1323</v>
      </c>
      <c r="F219" s="26">
        <v>202.07</v>
      </c>
      <c r="G219" s="26">
        <v>0</v>
      </c>
      <c r="H219" s="26">
        <v>52.92</v>
      </c>
      <c r="I219" s="26">
        <v>3.3947759999999998</v>
      </c>
      <c r="J219" s="26">
        <v>0</v>
      </c>
      <c r="K219" s="26">
        <v>145.755224</v>
      </c>
      <c r="L219" s="27">
        <v>10</v>
      </c>
      <c r="M219" s="27">
        <v>55</v>
      </c>
      <c r="N219" s="28">
        <v>10.916666666666666</v>
      </c>
      <c r="O219" s="26">
        <v>23.252499999999998</v>
      </c>
      <c r="P219" s="26">
        <v>169.007724</v>
      </c>
      <c r="Q219" s="33">
        <v>169.007724</v>
      </c>
      <c r="R219" s="34">
        <v>1</v>
      </c>
      <c r="S219" s="34">
        <v>0</v>
      </c>
      <c r="T219" s="20">
        <v>0</v>
      </c>
      <c r="U219" s="21" t="s">
        <v>24</v>
      </c>
      <c r="V219" s="22">
        <f>IFERROR(RAW[[#This Row],[ACTUAL GROSS]]/RAW[[#This Row],[CONVERTED]],0)</f>
        <v>15.481623572519084</v>
      </c>
      <c r="W219" s="22">
        <f>IFERROR(RAW[[#This Row],[SALES]]/RAW[[#This Row],[HOURLY PAY]],0)</f>
        <v>56.897107837866905</v>
      </c>
    </row>
    <row r="220" spans="1:23" x14ac:dyDescent="0.35">
      <c r="A220" s="23">
        <v>45200</v>
      </c>
      <c r="B220" s="24" t="s">
        <v>21</v>
      </c>
      <c r="C220" s="25" t="s">
        <v>36</v>
      </c>
      <c r="D220" s="14" t="s">
        <v>29</v>
      </c>
      <c r="E220" s="26">
        <v>978.25</v>
      </c>
      <c r="F220" s="26">
        <v>169.4</v>
      </c>
      <c r="G220" s="26">
        <v>62.5</v>
      </c>
      <c r="H220" s="26">
        <v>39.130000000000003</v>
      </c>
      <c r="I220" s="26">
        <v>2.84592</v>
      </c>
      <c r="J220" s="26">
        <v>5</v>
      </c>
      <c r="K220" s="26">
        <v>127.42408</v>
      </c>
      <c r="L220" s="27">
        <v>5</v>
      </c>
      <c r="M220" s="27">
        <v>5</v>
      </c>
      <c r="N220" s="28">
        <v>5.083333333333333</v>
      </c>
      <c r="O220" s="26">
        <v>10.827499999999999</v>
      </c>
      <c r="P220" s="26">
        <v>143.25157999999999</v>
      </c>
      <c r="Q220" s="33">
        <v>200.75157999999999</v>
      </c>
      <c r="R220" s="34">
        <v>1</v>
      </c>
      <c r="S220" s="34">
        <v>1</v>
      </c>
      <c r="T220" s="20">
        <v>0</v>
      </c>
      <c r="U220" s="21" t="s">
        <v>34</v>
      </c>
      <c r="V220" s="22">
        <f>IFERROR(RAW[[#This Row],[ACTUAL GROSS]]/RAW[[#This Row],[CONVERTED]],0)</f>
        <v>39.492114098360659</v>
      </c>
      <c r="W220" s="22">
        <f>IFERROR(RAW[[#This Row],[SALES]]/RAW[[#This Row],[HOURLY PAY]],0)</f>
        <v>90.348649272685307</v>
      </c>
    </row>
    <row r="221" spans="1:23" x14ac:dyDescent="0.35">
      <c r="A221" s="23">
        <v>45200</v>
      </c>
      <c r="B221" s="24" t="s">
        <v>25</v>
      </c>
      <c r="C221" s="25" t="s">
        <v>36</v>
      </c>
      <c r="D221" s="14" t="s">
        <v>29</v>
      </c>
      <c r="E221" s="26">
        <v>978.25</v>
      </c>
      <c r="F221" s="26">
        <v>169.4</v>
      </c>
      <c r="G221" s="26">
        <v>62.5</v>
      </c>
      <c r="H221" s="26">
        <v>39.130000000000003</v>
      </c>
      <c r="I221" s="26">
        <v>2.84592</v>
      </c>
      <c r="J221" s="26">
        <v>5</v>
      </c>
      <c r="K221" s="26">
        <v>127.42408</v>
      </c>
      <c r="L221" s="27">
        <v>5</v>
      </c>
      <c r="M221" s="27">
        <v>5</v>
      </c>
      <c r="N221" s="28">
        <v>5.083333333333333</v>
      </c>
      <c r="O221" s="26">
        <v>10.827499999999999</v>
      </c>
      <c r="P221" s="26">
        <v>143.25157999999999</v>
      </c>
      <c r="Q221" s="33">
        <v>200.75157999999999</v>
      </c>
      <c r="R221" s="34">
        <v>1</v>
      </c>
      <c r="S221" s="34">
        <v>0</v>
      </c>
      <c r="T221" s="20">
        <v>1</v>
      </c>
      <c r="U221" s="21" t="s">
        <v>34</v>
      </c>
      <c r="V221" s="22">
        <f>IFERROR(RAW[[#This Row],[ACTUAL GROSS]]/RAW[[#This Row],[CONVERTED]],0)</f>
        <v>39.492114098360659</v>
      </c>
      <c r="W221" s="22">
        <f>IFERROR(RAW[[#This Row],[SALES]]/RAW[[#This Row],[HOURLY PAY]],0)</f>
        <v>90.348649272685307</v>
      </c>
    </row>
    <row r="222" spans="1:23" x14ac:dyDescent="0.35">
      <c r="A222" s="23">
        <v>45201</v>
      </c>
      <c r="B222" s="24" t="s">
        <v>21</v>
      </c>
      <c r="C222" s="25" t="s">
        <v>36</v>
      </c>
      <c r="D222" s="14" t="s">
        <v>30</v>
      </c>
      <c r="E222" s="26">
        <v>0</v>
      </c>
      <c r="F222" s="26">
        <v>0</v>
      </c>
      <c r="G222" s="26">
        <v>0</v>
      </c>
      <c r="H222" s="26">
        <v>0</v>
      </c>
      <c r="I222" s="26">
        <v>0</v>
      </c>
      <c r="J222" s="26">
        <v>0</v>
      </c>
      <c r="K222" s="26">
        <v>0</v>
      </c>
      <c r="L222" s="27">
        <v>0</v>
      </c>
      <c r="M222" s="27">
        <v>0</v>
      </c>
      <c r="N222" s="28">
        <v>0</v>
      </c>
      <c r="O222" s="26">
        <v>0</v>
      </c>
      <c r="P222" s="26">
        <v>0</v>
      </c>
      <c r="Q222" s="33">
        <v>0</v>
      </c>
      <c r="R222" s="34">
        <v>0</v>
      </c>
      <c r="S222" s="34">
        <v>0</v>
      </c>
      <c r="T222" s="20">
        <v>0</v>
      </c>
      <c r="U222" s="21" t="s">
        <v>24</v>
      </c>
      <c r="V222" s="22">
        <f>IFERROR(RAW[[#This Row],[ACTUAL GROSS]]/RAW[[#This Row],[CONVERTED]],0)</f>
        <v>0</v>
      </c>
      <c r="W222" s="22">
        <f>IFERROR(RAW[[#This Row],[SALES]]/RAW[[#This Row],[HOURLY PAY]],0)</f>
        <v>0</v>
      </c>
    </row>
    <row r="223" spans="1:23" x14ac:dyDescent="0.35">
      <c r="A223" s="23">
        <v>45201</v>
      </c>
      <c r="B223" s="24" t="s">
        <v>25</v>
      </c>
      <c r="C223" s="25" t="s">
        <v>36</v>
      </c>
      <c r="D223" s="14" t="s">
        <v>30</v>
      </c>
      <c r="E223" s="26">
        <v>838.5</v>
      </c>
      <c r="F223" s="26">
        <v>151.97</v>
      </c>
      <c r="G223" s="26">
        <v>15</v>
      </c>
      <c r="H223" s="26">
        <v>33.54</v>
      </c>
      <c r="I223" s="26">
        <v>2.553096</v>
      </c>
      <c r="J223" s="26">
        <v>6</v>
      </c>
      <c r="K223" s="26">
        <v>115.876904</v>
      </c>
      <c r="L223" s="27">
        <v>4</v>
      </c>
      <c r="M223" s="27">
        <v>40</v>
      </c>
      <c r="N223" s="28">
        <v>4.666666666666667</v>
      </c>
      <c r="O223" s="26">
        <v>9.94</v>
      </c>
      <c r="P223" s="26">
        <v>131.81690399999999</v>
      </c>
      <c r="Q223" s="33">
        <v>140.81690399999999</v>
      </c>
      <c r="R223" s="34">
        <v>1</v>
      </c>
      <c r="S223" s="34">
        <v>0</v>
      </c>
      <c r="T223" s="20">
        <v>0</v>
      </c>
      <c r="U223" s="21" t="s">
        <v>24</v>
      </c>
      <c r="V223" s="22">
        <f>IFERROR(RAW[[#This Row],[ACTUAL GROSS]]/RAW[[#This Row],[CONVERTED]],0)</f>
        <v>30.175050857142853</v>
      </c>
      <c r="W223" s="22">
        <f>IFERROR(RAW[[#This Row],[SALES]]/RAW[[#This Row],[HOURLY PAY]],0)</f>
        <v>84.356136820925556</v>
      </c>
    </row>
    <row r="224" spans="1:23" x14ac:dyDescent="0.35">
      <c r="A224" s="23">
        <v>45202</v>
      </c>
      <c r="B224" s="24" t="s">
        <v>21</v>
      </c>
      <c r="C224" s="25" t="s">
        <v>36</v>
      </c>
      <c r="D224" s="14" t="s">
        <v>31</v>
      </c>
      <c r="E224" s="26">
        <v>0</v>
      </c>
      <c r="F224" s="26">
        <v>0</v>
      </c>
      <c r="G224" s="26">
        <v>0</v>
      </c>
      <c r="H224" s="26">
        <v>0</v>
      </c>
      <c r="I224" s="26">
        <v>0</v>
      </c>
      <c r="J224" s="26">
        <v>0</v>
      </c>
      <c r="K224" s="26">
        <v>0</v>
      </c>
      <c r="L224" s="27">
        <v>0</v>
      </c>
      <c r="M224" s="27">
        <v>0</v>
      </c>
      <c r="N224" s="28">
        <v>0</v>
      </c>
      <c r="O224" s="26">
        <v>0</v>
      </c>
      <c r="P224" s="26">
        <v>0</v>
      </c>
      <c r="Q224" s="33">
        <v>0</v>
      </c>
      <c r="R224" s="34">
        <v>0</v>
      </c>
      <c r="S224" s="34">
        <v>0</v>
      </c>
      <c r="T224" s="20">
        <v>0</v>
      </c>
      <c r="U224" s="21" t="s">
        <v>24</v>
      </c>
      <c r="V224" s="22">
        <f>IFERROR(RAW[[#This Row],[ACTUAL GROSS]]/RAW[[#This Row],[CONVERTED]],0)</f>
        <v>0</v>
      </c>
      <c r="W224" s="22">
        <f>IFERROR(RAW[[#This Row],[SALES]]/RAW[[#This Row],[HOURLY PAY]],0)</f>
        <v>0</v>
      </c>
    </row>
    <row r="225" spans="1:23" x14ac:dyDescent="0.35">
      <c r="A225" s="23">
        <v>45202</v>
      </c>
      <c r="B225" s="24" t="s">
        <v>25</v>
      </c>
      <c r="C225" s="25" t="s">
        <v>36</v>
      </c>
      <c r="D225" s="14" t="s">
        <v>31</v>
      </c>
      <c r="E225" s="26">
        <v>0</v>
      </c>
      <c r="F225" s="26">
        <v>0</v>
      </c>
      <c r="G225" s="26">
        <v>0</v>
      </c>
      <c r="H225" s="26">
        <v>0</v>
      </c>
      <c r="I225" s="26">
        <v>0</v>
      </c>
      <c r="J225" s="26">
        <v>0</v>
      </c>
      <c r="K225" s="26">
        <v>0</v>
      </c>
      <c r="L225" s="27">
        <v>0</v>
      </c>
      <c r="M225" s="27">
        <v>0</v>
      </c>
      <c r="N225" s="28">
        <v>0</v>
      </c>
      <c r="O225" s="26">
        <v>0</v>
      </c>
      <c r="P225" s="26">
        <v>0</v>
      </c>
      <c r="Q225" s="33">
        <v>0</v>
      </c>
      <c r="R225" s="34">
        <v>0</v>
      </c>
      <c r="S225" s="34">
        <v>0</v>
      </c>
      <c r="T225" s="20">
        <v>0</v>
      </c>
      <c r="U225" s="21" t="s">
        <v>24</v>
      </c>
      <c r="V225" s="22">
        <f>IFERROR(RAW[[#This Row],[ACTUAL GROSS]]/RAW[[#This Row],[CONVERTED]],0)</f>
        <v>0</v>
      </c>
      <c r="W225" s="22">
        <f>IFERROR(RAW[[#This Row],[SALES]]/RAW[[#This Row],[HOURLY PAY]],0)</f>
        <v>0</v>
      </c>
    </row>
    <row r="226" spans="1:23" x14ac:dyDescent="0.35">
      <c r="A226" s="23">
        <v>45203</v>
      </c>
      <c r="B226" s="24" t="s">
        <v>21</v>
      </c>
      <c r="C226" s="25" t="s">
        <v>36</v>
      </c>
      <c r="D226" s="14" t="s">
        <v>23</v>
      </c>
      <c r="E226" s="26">
        <v>350</v>
      </c>
      <c r="F226" s="26">
        <v>53.26</v>
      </c>
      <c r="G226" s="26">
        <v>0</v>
      </c>
      <c r="H226" s="26">
        <v>14</v>
      </c>
      <c r="I226" s="26">
        <v>0.8947679999999999</v>
      </c>
      <c r="J226" s="26">
        <v>0</v>
      </c>
      <c r="K226" s="26">
        <v>38.365231999999999</v>
      </c>
      <c r="L226" s="27">
        <v>4</v>
      </c>
      <c r="M226" s="27">
        <v>40</v>
      </c>
      <c r="N226" s="28">
        <v>4.666666666666667</v>
      </c>
      <c r="O226" s="26">
        <v>9.94</v>
      </c>
      <c r="P226" s="26">
        <v>48.305231999999997</v>
      </c>
      <c r="Q226" s="33">
        <v>48.305231999999997</v>
      </c>
      <c r="R226" s="34">
        <v>1</v>
      </c>
      <c r="S226" s="34">
        <v>1</v>
      </c>
      <c r="T226" s="20">
        <v>0</v>
      </c>
      <c r="U226" s="21" t="s">
        <v>24</v>
      </c>
      <c r="V226" s="22">
        <f>IFERROR(RAW[[#This Row],[ACTUAL GROSS]]/RAW[[#This Row],[CONVERTED]],0)</f>
        <v>10.351121142857142</v>
      </c>
      <c r="W226" s="22">
        <f>IFERROR(RAW[[#This Row],[SALES]]/RAW[[#This Row],[HOURLY PAY]],0)</f>
        <v>35.211267605633807</v>
      </c>
    </row>
    <row r="227" spans="1:23" x14ac:dyDescent="0.35">
      <c r="A227" s="23">
        <v>45203</v>
      </c>
      <c r="B227" s="24" t="s">
        <v>25</v>
      </c>
      <c r="C227" s="25" t="s">
        <v>36</v>
      </c>
      <c r="D227" s="14" t="s">
        <v>23</v>
      </c>
      <c r="E227" s="26">
        <v>0</v>
      </c>
      <c r="F227" s="26">
        <v>0</v>
      </c>
      <c r="G227" s="26">
        <v>0</v>
      </c>
      <c r="H227" s="26">
        <v>0</v>
      </c>
      <c r="I227" s="26">
        <v>0</v>
      </c>
      <c r="J227" s="26">
        <v>0</v>
      </c>
      <c r="K227" s="26">
        <v>0</v>
      </c>
      <c r="L227" s="27">
        <v>0</v>
      </c>
      <c r="M227" s="27">
        <v>0</v>
      </c>
      <c r="N227" s="28">
        <v>0</v>
      </c>
      <c r="O227" s="26">
        <v>0</v>
      </c>
      <c r="P227" s="26">
        <v>0</v>
      </c>
      <c r="Q227" s="33">
        <v>0</v>
      </c>
      <c r="R227" s="34">
        <v>0</v>
      </c>
      <c r="S227" s="34">
        <v>0</v>
      </c>
      <c r="T227" s="20">
        <v>0</v>
      </c>
      <c r="U227" s="21" t="s">
        <v>24</v>
      </c>
      <c r="V227" s="22">
        <f>IFERROR(RAW[[#This Row],[ACTUAL GROSS]]/RAW[[#This Row],[CONVERTED]],0)</f>
        <v>0</v>
      </c>
      <c r="W227" s="22">
        <f>IFERROR(RAW[[#This Row],[SALES]]/RAW[[#This Row],[HOURLY PAY]],0)</f>
        <v>0</v>
      </c>
    </row>
    <row r="228" spans="1:23" x14ac:dyDescent="0.35">
      <c r="A228" s="23">
        <v>45204</v>
      </c>
      <c r="B228" s="24" t="s">
        <v>21</v>
      </c>
      <c r="C228" s="25" t="s">
        <v>36</v>
      </c>
      <c r="D228" s="14" t="s">
        <v>26</v>
      </c>
      <c r="E228" s="26">
        <v>0</v>
      </c>
      <c r="F228" s="26">
        <v>0</v>
      </c>
      <c r="G228" s="26">
        <v>0</v>
      </c>
      <c r="H228" s="26">
        <v>0</v>
      </c>
      <c r="I228" s="26">
        <v>0</v>
      </c>
      <c r="J228" s="26">
        <v>0</v>
      </c>
      <c r="K228" s="26">
        <v>0</v>
      </c>
      <c r="L228" s="27">
        <v>0</v>
      </c>
      <c r="M228" s="27">
        <v>0</v>
      </c>
      <c r="N228" s="28">
        <v>0</v>
      </c>
      <c r="O228" s="26">
        <v>0</v>
      </c>
      <c r="P228" s="26">
        <v>0</v>
      </c>
      <c r="Q228" s="33">
        <v>0</v>
      </c>
      <c r="R228" s="34">
        <v>0</v>
      </c>
      <c r="S228" s="34">
        <v>0</v>
      </c>
      <c r="T228" s="20">
        <v>0</v>
      </c>
      <c r="U228" s="21" t="s">
        <v>24</v>
      </c>
      <c r="V228" s="22">
        <f>IFERROR(RAW[[#This Row],[ACTUAL GROSS]]/RAW[[#This Row],[CONVERTED]],0)</f>
        <v>0</v>
      </c>
      <c r="W228" s="22">
        <f>IFERROR(RAW[[#This Row],[SALES]]/RAW[[#This Row],[HOURLY PAY]],0)</f>
        <v>0</v>
      </c>
    </row>
    <row r="229" spans="1:23" x14ac:dyDescent="0.35">
      <c r="A229" s="23">
        <v>45204</v>
      </c>
      <c r="B229" s="24" t="s">
        <v>25</v>
      </c>
      <c r="C229" s="25" t="s">
        <v>36</v>
      </c>
      <c r="D229" s="14" t="s">
        <v>26</v>
      </c>
      <c r="E229" s="26">
        <v>0</v>
      </c>
      <c r="F229" s="26">
        <v>0</v>
      </c>
      <c r="G229" s="26">
        <v>0</v>
      </c>
      <c r="H229" s="26">
        <v>0</v>
      </c>
      <c r="I229" s="26">
        <v>0</v>
      </c>
      <c r="J229" s="26">
        <v>0</v>
      </c>
      <c r="K229" s="26">
        <v>0</v>
      </c>
      <c r="L229" s="27">
        <v>0</v>
      </c>
      <c r="M229" s="27">
        <v>0</v>
      </c>
      <c r="N229" s="28">
        <v>0</v>
      </c>
      <c r="O229" s="26">
        <v>0</v>
      </c>
      <c r="P229" s="26">
        <v>0</v>
      </c>
      <c r="Q229" s="33">
        <v>0</v>
      </c>
      <c r="R229" s="34">
        <v>0</v>
      </c>
      <c r="S229" s="34">
        <v>0</v>
      </c>
      <c r="T229" s="20">
        <v>0</v>
      </c>
      <c r="U229" s="21" t="s">
        <v>24</v>
      </c>
      <c r="V229" s="22">
        <f>IFERROR(RAW[[#This Row],[ACTUAL GROSS]]/RAW[[#This Row],[CONVERTED]],0)</f>
        <v>0</v>
      </c>
      <c r="W229" s="22">
        <f>IFERROR(RAW[[#This Row],[SALES]]/RAW[[#This Row],[HOURLY PAY]],0)</f>
        <v>0</v>
      </c>
    </row>
    <row r="230" spans="1:23" x14ac:dyDescent="0.35">
      <c r="A230" s="23">
        <v>45205</v>
      </c>
      <c r="B230" s="24" t="s">
        <v>21</v>
      </c>
      <c r="C230" s="25" t="s">
        <v>36</v>
      </c>
      <c r="D230" s="14" t="s">
        <v>27</v>
      </c>
      <c r="E230" s="26">
        <v>0</v>
      </c>
      <c r="F230" s="26">
        <v>0</v>
      </c>
      <c r="G230" s="26">
        <v>0</v>
      </c>
      <c r="H230" s="26">
        <v>0</v>
      </c>
      <c r="I230" s="26">
        <v>0</v>
      </c>
      <c r="J230" s="26">
        <v>0</v>
      </c>
      <c r="K230" s="26">
        <v>0</v>
      </c>
      <c r="L230" s="27">
        <v>0</v>
      </c>
      <c r="M230" s="27">
        <v>0</v>
      </c>
      <c r="N230" s="28">
        <v>0</v>
      </c>
      <c r="O230" s="26">
        <v>0</v>
      </c>
      <c r="P230" s="26">
        <v>0</v>
      </c>
      <c r="Q230" s="33">
        <v>0</v>
      </c>
      <c r="R230" s="34">
        <v>0</v>
      </c>
      <c r="S230" s="34">
        <v>0</v>
      </c>
      <c r="T230" s="20">
        <v>0</v>
      </c>
      <c r="U230" s="21" t="s">
        <v>24</v>
      </c>
      <c r="V230" s="22">
        <f>IFERROR(RAW[[#This Row],[ACTUAL GROSS]]/RAW[[#This Row],[CONVERTED]],0)</f>
        <v>0</v>
      </c>
      <c r="W230" s="22">
        <f>IFERROR(RAW[[#This Row],[SALES]]/RAW[[#This Row],[HOURLY PAY]],0)</f>
        <v>0</v>
      </c>
    </row>
    <row r="231" spans="1:23" x14ac:dyDescent="0.35">
      <c r="A231" s="23">
        <v>45205</v>
      </c>
      <c r="B231" s="24" t="s">
        <v>25</v>
      </c>
      <c r="C231" s="25" t="s">
        <v>36</v>
      </c>
      <c r="D231" s="14" t="s">
        <v>27</v>
      </c>
      <c r="E231" s="26">
        <v>0</v>
      </c>
      <c r="F231" s="26">
        <v>0</v>
      </c>
      <c r="G231" s="26">
        <v>0</v>
      </c>
      <c r="H231" s="26">
        <v>0</v>
      </c>
      <c r="I231" s="26">
        <v>0</v>
      </c>
      <c r="J231" s="26">
        <v>0</v>
      </c>
      <c r="K231" s="26">
        <v>0</v>
      </c>
      <c r="L231" s="27">
        <v>0</v>
      </c>
      <c r="M231" s="27">
        <v>0</v>
      </c>
      <c r="N231" s="28">
        <v>0</v>
      </c>
      <c r="O231" s="26">
        <v>0</v>
      </c>
      <c r="P231" s="26">
        <v>0</v>
      </c>
      <c r="Q231" s="33">
        <v>0</v>
      </c>
      <c r="R231" s="34">
        <v>0</v>
      </c>
      <c r="S231" s="34">
        <v>0</v>
      </c>
      <c r="T231" s="20">
        <v>0</v>
      </c>
      <c r="U231" s="21" t="s">
        <v>24</v>
      </c>
      <c r="V231" s="31">
        <f>IFERROR(RAW[[#This Row],[ACTUAL GROSS]]/RAW[[#This Row],[CONVERTED]],0)</f>
        <v>0</v>
      </c>
      <c r="W231" s="22">
        <f>IFERROR(RAW[[#This Row],[SALES]]/RAW[[#This Row],[HOURLY PAY]],0)</f>
        <v>0</v>
      </c>
    </row>
    <row r="232" spans="1:23" x14ac:dyDescent="0.35">
      <c r="A232" s="23">
        <v>45206</v>
      </c>
      <c r="B232" s="24" t="s">
        <v>21</v>
      </c>
      <c r="C232" s="25" t="s">
        <v>36</v>
      </c>
      <c r="D232" s="14" t="s">
        <v>28</v>
      </c>
      <c r="E232" s="26">
        <v>0</v>
      </c>
      <c r="F232" s="26">
        <v>0</v>
      </c>
      <c r="G232" s="26">
        <v>0</v>
      </c>
      <c r="H232" s="26">
        <v>0</v>
      </c>
      <c r="I232" s="26">
        <v>0</v>
      </c>
      <c r="J232" s="26">
        <v>0</v>
      </c>
      <c r="K232" s="26">
        <v>0</v>
      </c>
      <c r="L232" s="27">
        <v>0</v>
      </c>
      <c r="M232" s="27">
        <v>0</v>
      </c>
      <c r="N232" s="28">
        <v>0</v>
      </c>
      <c r="O232" s="26">
        <v>0</v>
      </c>
      <c r="P232" s="26">
        <v>0</v>
      </c>
      <c r="Q232" s="33">
        <v>0</v>
      </c>
      <c r="R232" s="34">
        <v>0</v>
      </c>
      <c r="S232" s="34">
        <v>0</v>
      </c>
      <c r="T232" s="20">
        <v>0</v>
      </c>
      <c r="U232" s="21" t="s">
        <v>24</v>
      </c>
      <c r="V232" s="22">
        <f>IFERROR(RAW[[#This Row],[ACTUAL GROSS]]/RAW[[#This Row],[CONVERTED]],0)</f>
        <v>0</v>
      </c>
      <c r="W232" s="22">
        <f>IFERROR(RAW[[#This Row],[SALES]]/RAW[[#This Row],[HOURLY PAY]],0)</f>
        <v>0</v>
      </c>
    </row>
    <row r="233" spans="1:23" x14ac:dyDescent="0.35">
      <c r="A233" s="23">
        <v>45206</v>
      </c>
      <c r="B233" s="24" t="s">
        <v>25</v>
      </c>
      <c r="C233" s="25" t="s">
        <v>36</v>
      </c>
      <c r="D233" s="14" t="s">
        <v>28</v>
      </c>
      <c r="E233" s="26">
        <v>892</v>
      </c>
      <c r="F233" s="26">
        <v>154.75</v>
      </c>
      <c r="G233" s="26">
        <v>15</v>
      </c>
      <c r="H233" s="26">
        <v>35.68</v>
      </c>
      <c r="I233" s="26">
        <v>2.5997999999999997</v>
      </c>
      <c r="J233" s="26">
        <v>2.6</v>
      </c>
      <c r="K233" s="26">
        <v>116.47020000000001</v>
      </c>
      <c r="L233" s="27">
        <v>6</v>
      </c>
      <c r="M233" s="27">
        <v>53</v>
      </c>
      <c r="N233" s="28">
        <v>6.8833333333333337</v>
      </c>
      <c r="O233" s="26">
        <v>14.6615</v>
      </c>
      <c r="P233" s="26">
        <v>133.73169999999999</v>
      </c>
      <c r="Q233" s="33">
        <v>146.1317</v>
      </c>
      <c r="R233" s="34">
        <v>1</v>
      </c>
      <c r="S233" s="34">
        <v>0</v>
      </c>
      <c r="T233" s="20">
        <v>0</v>
      </c>
      <c r="U233" s="21" t="s">
        <v>24</v>
      </c>
      <c r="V233" s="22">
        <f>IFERROR(RAW[[#This Row],[ACTUAL GROSS]]/RAW[[#This Row],[CONVERTED]],0)</f>
        <v>21.229786924939464</v>
      </c>
      <c r="W233" s="22">
        <f>IFERROR(RAW[[#This Row],[SALES]]/RAW[[#This Row],[HOURLY PAY]],0)</f>
        <v>60.839613954915933</v>
      </c>
    </row>
    <row r="234" spans="1:23" x14ac:dyDescent="0.35">
      <c r="A234" s="23">
        <v>45207</v>
      </c>
      <c r="B234" s="24" t="s">
        <v>21</v>
      </c>
      <c r="C234" s="25" t="s">
        <v>36</v>
      </c>
      <c r="D234" s="14" t="s">
        <v>29</v>
      </c>
      <c r="E234" s="26">
        <v>0</v>
      </c>
      <c r="F234" s="26">
        <v>0</v>
      </c>
      <c r="G234" s="26">
        <v>0</v>
      </c>
      <c r="H234" s="26">
        <v>0</v>
      </c>
      <c r="I234" s="26">
        <v>0</v>
      </c>
      <c r="J234" s="26">
        <v>0</v>
      </c>
      <c r="K234" s="26">
        <v>0</v>
      </c>
      <c r="L234" s="27">
        <v>0</v>
      </c>
      <c r="M234" s="27">
        <v>0</v>
      </c>
      <c r="N234" s="28">
        <v>0</v>
      </c>
      <c r="O234" s="26">
        <v>0</v>
      </c>
      <c r="P234" s="26">
        <v>0</v>
      </c>
      <c r="Q234" s="33">
        <v>0</v>
      </c>
      <c r="R234" s="34">
        <v>0</v>
      </c>
      <c r="S234" s="34">
        <v>0</v>
      </c>
      <c r="T234" s="20">
        <v>0</v>
      </c>
      <c r="U234" s="21" t="s">
        <v>24</v>
      </c>
      <c r="V234" s="22">
        <f>IFERROR(RAW[[#This Row],[ACTUAL GROSS]]/RAW[[#This Row],[CONVERTED]],0)</f>
        <v>0</v>
      </c>
      <c r="W234" s="22">
        <f>IFERROR(RAW[[#This Row],[SALES]]/RAW[[#This Row],[HOURLY PAY]],0)</f>
        <v>0</v>
      </c>
    </row>
    <row r="235" spans="1:23" x14ac:dyDescent="0.35">
      <c r="A235" s="23">
        <v>45207</v>
      </c>
      <c r="B235" s="24" t="s">
        <v>25</v>
      </c>
      <c r="C235" s="25" t="s">
        <v>36</v>
      </c>
      <c r="D235" s="14" t="s">
        <v>29</v>
      </c>
      <c r="E235" s="26">
        <v>1409</v>
      </c>
      <c r="F235" s="26">
        <v>277.83</v>
      </c>
      <c r="G235" s="26">
        <v>20</v>
      </c>
      <c r="H235" s="26">
        <v>56.36</v>
      </c>
      <c r="I235" s="26">
        <v>4.6675439999999995</v>
      </c>
      <c r="J235" s="26">
        <v>0</v>
      </c>
      <c r="K235" s="26">
        <v>216.80245599999998</v>
      </c>
      <c r="L235" s="27">
        <v>5</v>
      </c>
      <c r="M235" s="27">
        <v>56</v>
      </c>
      <c r="N235" s="28">
        <v>5.9333333333333336</v>
      </c>
      <c r="O235" s="26">
        <v>12.638</v>
      </c>
      <c r="P235" s="26">
        <v>229.44045599999998</v>
      </c>
      <c r="Q235" s="33">
        <v>249.44045599999998</v>
      </c>
      <c r="R235" s="34">
        <v>1</v>
      </c>
      <c r="S235" s="34">
        <v>0</v>
      </c>
      <c r="T235" s="20">
        <v>0</v>
      </c>
      <c r="U235" s="21" t="s">
        <v>24</v>
      </c>
      <c r="V235" s="22">
        <f>IFERROR(RAW[[#This Row],[ACTUAL GROSS]]/RAW[[#This Row],[CONVERTED]],0)</f>
        <v>42.040526292134828</v>
      </c>
      <c r="W235" s="22">
        <f>IFERROR(RAW[[#This Row],[SALES]]/RAW[[#This Row],[HOURLY PAY]],0)</f>
        <v>111.48915967716411</v>
      </c>
    </row>
    <row r="236" spans="1:23" x14ac:dyDescent="0.35">
      <c r="A236" s="23">
        <v>45208</v>
      </c>
      <c r="B236" s="24" t="s">
        <v>21</v>
      </c>
      <c r="C236" s="25" t="s">
        <v>36</v>
      </c>
      <c r="D236" s="14" t="s">
        <v>30</v>
      </c>
      <c r="E236" s="26">
        <v>0</v>
      </c>
      <c r="F236" s="26">
        <v>0</v>
      </c>
      <c r="G236" s="26">
        <v>0</v>
      </c>
      <c r="H236" s="26">
        <v>0</v>
      </c>
      <c r="I236" s="26">
        <v>0</v>
      </c>
      <c r="J236" s="26">
        <v>0</v>
      </c>
      <c r="K236" s="26">
        <v>0</v>
      </c>
      <c r="L236" s="27">
        <v>0</v>
      </c>
      <c r="M236" s="27">
        <v>0</v>
      </c>
      <c r="N236" s="28">
        <v>0</v>
      </c>
      <c r="O236" s="26">
        <v>0</v>
      </c>
      <c r="P236" s="26">
        <v>0</v>
      </c>
      <c r="Q236" s="33">
        <v>0</v>
      </c>
      <c r="R236" s="34">
        <v>0</v>
      </c>
      <c r="S236" s="34">
        <v>0</v>
      </c>
      <c r="T236" s="20">
        <v>0</v>
      </c>
      <c r="U236" s="21" t="s">
        <v>24</v>
      </c>
      <c r="V236" s="22">
        <f>IFERROR(RAW[[#This Row],[ACTUAL GROSS]]/RAW[[#This Row],[CONVERTED]],0)</f>
        <v>0</v>
      </c>
      <c r="W236" s="22">
        <f>IFERROR(RAW[[#This Row],[SALES]]/RAW[[#This Row],[HOURLY PAY]],0)</f>
        <v>0</v>
      </c>
    </row>
    <row r="237" spans="1:23" x14ac:dyDescent="0.35">
      <c r="A237" s="23">
        <v>45208</v>
      </c>
      <c r="B237" s="24" t="s">
        <v>25</v>
      </c>
      <c r="C237" s="25" t="s">
        <v>36</v>
      </c>
      <c r="D237" s="14" t="s">
        <v>30</v>
      </c>
      <c r="E237" s="26">
        <v>1222.5</v>
      </c>
      <c r="F237" s="26">
        <v>252.1</v>
      </c>
      <c r="G237" s="26">
        <v>19</v>
      </c>
      <c r="H237" s="26">
        <v>48.9</v>
      </c>
      <c r="I237" s="26">
        <v>4.2352799999999995</v>
      </c>
      <c r="J237" s="26">
        <v>4.75</v>
      </c>
      <c r="K237" s="26">
        <v>198.96472</v>
      </c>
      <c r="L237" s="27">
        <v>6</v>
      </c>
      <c r="M237" s="27">
        <v>13</v>
      </c>
      <c r="N237" s="28">
        <v>6.2166666666666668</v>
      </c>
      <c r="O237" s="26">
        <v>13.2415</v>
      </c>
      <c r="P237" s="26">
        <v>216.95622</v>
      </c>
      <c r="Q237" s="33">
        <v>231.20622</v>
      </c>
      <c r="R237" s="34">
        <v>1</v>
      </c>
      <c r="S237" s="34">
        <v>0</v>
      </c>
      <c r="T237" s="20">
        <v>0</v>
      </c>
      <c r="U237" s="21" t="s">
        <v>24</v>
      </c>
      <c r="V237" s="22">
        <f>IFERROR(RAW[[#This Row],[ACTUAL GROSS]]/RAW[[#This Row],[CONVERTED]],0)</f>
        <v>37.191349061662201</v>
      </c>
      <c r="W237" s="22">
        <f>IFERROR(RAW[[#This Row],[SALES]]/RAW[[#This Row],[HOURLY PAY]],0)</f>
        <v>92.323377260884342</v>
      </c>
    </row>
    <row r="238" spans="1:23" x14ac:dyDescent="0.35">
      <c r="A238" s="23">
        <v>45209</v>
      </c>
      <c r="B238" s="24" t="s">
        <v>21</v>
      </c>
      <c r="C238" s="25" t="s">
        <v>36</v>
      </c>
      <c r="D238" s="14" t="s">
        <v>31</v>
      </c>
      <c r="E238" s="26">
        <v>0</v>
      </c>
      <c r="F238" s="26">
        <v>0</v>
      </c>
      <c r="G238" s="26">
        <v>0</v>
      </c>
      <c r="H238" s="26">
        <v>0</v>
      </c>
      <c r="I238" s="26">
        <v>0</v>
      </c>
      <c r="J238" s="26">
        <v>0</v>
      </c>
      <c r="K238" s="26">
        <v>0</v>
      </c>
      <c r="L238" s="27">
        <v>0</v>
      </c>
      <c r="M238" s="27">
        <v>0</v>
      </c>
      <c r="N238" s="28">
        <v>0</v>
      </c>
      <c r="O238" s="26">
        <v>0</v>
      </c>
      <c r="P238" s="26">
        <v>0</v>
      </c>
      <c r="Q238" s="33">
        <v>0</v>
      </c>
      <c r="R238" s="34">
        <v>0</v>
      </c>
      <c r="S238" s="34">
        <v>0</v>
      </c>
      <c r="T238" s="20">
        <v>0</v>
      </c>
      <c r="U238" s="21" t="s">
        <v>24</v>
      </c>
      <c r="V238" s="22">
        <f>IFERROR(RAW[[#This Row],[ACTUAL GROSS]]/RAW[[#This Row],[CONVERTED]],0)</f>
        <v>0</v>
      </c>
      <c r="W238" s="22">
        <f>IFERROR(RAW[[#This Row],[SALES]]/RAW[[#This Row],[HOURLY PAY]],0)</f>
        <v>0</v>
      </c>
    </row>
    <row r="239" spans="1:23" x14ac:dyDescent="0.35">
      <c r="A239" s="23">
        <v>45209</v>
      </c>
      <c r="B239" s="24" t="s">
        <v>25</v>
      </c>
      <c r="C239" s="25" t="s">
        <v>36</v>
      </c>
      <c r="D239" s="14" t="s">
        <v>31</v>
      </c>
      <c r="E239" s="26">
        <v>1012</v>
      </c>
      <c r="F239" s="26">
        <v>196.49</v>
      </c>
      <c r="G239" s="26">
        <v>0</v>
      </c>
      <c r="H239" s="26">
        <v>40.480000000000004</v>
      </c>
      <c r="I239" s="26">
        <v>3.3010319999999997</v>
      </c>
      <c r="J239" s="26">
        <v>0</v>
      </c>
      <c r="K239" s="26">
        <v>152.708968</v>
      </c>
      <c r="L239" s="27">
        <v>4</v>
      </c>
      <c r="M239" s="27">
        <v>30</v>
      </c>
      <c r="N239" s="28">
        <v>4.5</v>
      </c>
      <c r="O239" s="26">
        <v>9.5849999999999991</v>
      </c>
      <c r="P239" s="26">
        <v>162.29396800000001</v>
      </c>
      <c r="Q239" s="33">
        <v>162.29396800000001</v>
      </c>
      <c r="R239" s="34">
        <v>1</v>
      </c>
      <c r="S239" s="34">
        <v>0</v>
      </c>
      <c r="T239" s="20">
        <v>0</v>
      </c>
      <c r="U239" s="21" t="s">
        <v>24</v>
      </c>
      <c r="V239" s="22">
        <f>IFERROR(RAW[[#This Row],[ACTUAL GROSS]]/RAW[[#This Row],[CONVERTED]],0)</f>
        <v>36.065326222222225</v>
      </c>
      <c r="W239" s="22">
        <f>IFERROR(RAW[[#This Row],[SALES]]/RAW[[#This Row],[HOURLY PAY]],0)</f>
        <v>105.58163797600419</v>
      </c>
    </row>
    <row r="240" spans="1:23" x14ac:dyDescent="0.35">
      <c r="A240" s="23">
        <v>45210</v>
      </c>
      <c r="B240" s="24" t="s">
        <v>21</v>
      </c>
      <c r="C240" s="25" t="s">
        <v>36</v>
      </c>
      <c r="D240" s="14" t="s">
        <v>23</v>
      </c>
      <c r="E240" s="26">
        <v>0</v>
      </c>
      <c r="F240" s="26">
        <v>0</v>
      </c>
      <c r="G240" s="26">
        <v>0</v>
      </c>
      <c r="H240" s="26">
        <v>0</v>
      </c>
      <c r="I240" s="26">
        <v>0</v>
      </c>
      <c r="J240" s="26">
        <v>0</v>
      </c>
      <c r="K240" s="26">
        <v>0</v>
      </c>
      <c r="L240" s="27">
        <v>0</v>
      </c>
      <c r="M240" s="27">
        <v>0</v>
      </c>
      <c r="N240" s="28">
        <v>0</v>
      </c>
      <c r="O240" s="26">
        <v>0</v>
      </c>
      <c r="P240" s="26">
        <v>0</v>
      </c>
      <c r="Q240" s="33">
        <v>0</v>
      </c>
      <c r="R240" s="34">
        <v>0</v>
      </c>
      <c r="S240" s="34">
        <v>0</v>
      </c>
      <c r="T240" s="20">
        <v>0</v>
      </c>
      <c r="U240" s="21" t="s">
        <v>24</v>
      </c>
      <c r="V240" s="22">
        <f>IFERROR(RAW[[#This Row],[ACTUAL GROSS]]/RAW[[#This Row],[CONVERTED]],0)</f>
        <v>0</v>
      </c>
      <c r="W240" s="22">
        <f>IFERROR(RAW[[#This Row],[SALES]]/RAW[[#This Row],[HOURLY PAY]],0)</f>
        <v>0</v>
      </c>
    </row>
    <row r="241" spans="1:23" x14ac:dyDescent="0.35">
      <c r="A241" s="23">
        <v>45210</v>
      </c>
      <c r="B241" s="24" t="s">
        <v>25</v>
      </c>
      <c r="C241" s="25" t="s">
        <v>36</v>
      </c>
      <c r="D241" s="14" t="s">
        <v>23</v>
      </c>
      <c r="E241" s="26">
        <v>212.5</v>
      </c>
      <c r="F241" s="26">
        <v>33.71</v>
      </c>
      <c r="G241" s="26">
        <v>0</v>
      </c>
      <c r="H241" s="26">
        <v>8.5</v>
      </c>
      <c r="I241" s="26">
        <v>0.56632799999999994</v>
      </c>
      <c r="J241" s="26">
        <v>0</v>
      </c>
      <c r="K241" s="26">
        <v>24.643672000000002</v>
      </c>
      <c r="L241" s="27">
        <v>3</v>
      </c>
      <c r="M241" s="27">
        <v>15</v>
      </c>
      <c r="N241" s="28">
        <v>3.25</v>
      </c>
      <c r="O241" s="26">
        <v>6.9224999999999994</v>
      </c>
      <c r="P241" s="26">
        <v>31.566172000000002</v>
      </c>
      <c r="Q241" s="33">
        <v>31.566172000000002</v>
      </c>
      <c r="R241" s="34">
        <v>1</v>
      </c>
      <c r="S241" s="34">
        <v>0</v>
      </c>
      <c r="T241" s="20">
        <v>0</v>
      </c>
      <c r="U241" s="21" t="s">
        <v>24</v>
      </c>
      <c r="V241" s="22">
        <f>IFERROR(RAW[[#This Row],[ACTUAL GROSS]]/RAW[[#This Row],[CONVERTED]],0)</f>
        <v>9.7126683076923079</v>
      </c>
      <c r="W241" s="22">
        <f>IFERROR(RAW[[#This Row],[SALES]]/RAW[[#This Row],[HOURLY PAY]],0)</f>
        <v>30.697002527988445</v>
      </c>
    </row>
    <row r="242" spans="1:23" x14ac:dyDescent="0.35">
      <c r="A242" s="23">
        <v>45211</v>
      </c>
      <c r="B242" s="24" t="s">
        <v>21</v>
      </c>
      <c r="C242" s="25" t="s">
        <v>36</v>
      </c>
      <c r="D242" s="14" t="s">
        <v>26</v>
      </c>
      <c r="E242" s="26">
        <v>0</v>
      </c>
      <c r="F242" s="26">
        <v>0</v>
      </c>
      <c r="G242" s="26">
        <v>0</v>
      </c>
      <c r="H242" s="26">
        <v>0</v>
      </c>
      <c r="I242" s="26">
        <v>0</v>
      </c>
      <c r="J242" s="26">
        <v>0</v>
      </c>
      <c r="K242" s="26">
        <v>0</v>
      </c>
      <c r="L242" s="27">
        <v>0</v>
      </c>
      <c r="M242" s="27">
        <v>0</v>
      </c>
      <c r="N242" s="28">
        <v>0</v>
      </c>
      <c r="O242" s="26">
        <v>0</v>
      </c>
      <c r="P242" s="26">
        <v>0</v>
      </c>
      <c r="Q242" s="33">
        <v>0</v>
      </c>
      <c r="R242" s="34">
        <v>0</v>
      </c>
      <c r="S242" s="34">
        <v>0</v>
      </c>
      <c r="T242" s="20">
        <v>0</v>
      </c>
      <c r="U242" s="21" t="s">
        <v>24</v>
      </c>
      <c r="V242" s="22">
        <f>IFERROR(RAW[[#This Row],[ACTUAL GROSS]]/RAW[[#This Row],[CONVERTED]],0)</f>
        <v>0</v>
      </c>
      <c r="W242" s="22">
        <f>IFERROR(RAW[[#This Row],[SALES]]/RAW[[#This Row],[HOURLY PAY]],0)</f>
        <v>0</v>
      </c>
    </row>
    <row r="243" spans="1:23" x14ac:dyDescent="0.35">
      <c r="A243" s="23">
        <v>45211</v>
      </c>
      <c r="B243" s="24" t="s">
        <v>25</v>
      </c>
      <c r="C243" s="25" t="s">
        <v>36</v>
      </c>
      <c r="D243" s="14" t="s">
        <v>26</v>
      </c>
      <c r="E243" s="26">
        <v>306.5</v>
      </c>
      <c r="F243" s="26">
        <v>49.1</v>
      </c>
      <c r="G243" s="26">
        <v>6</v>
      </c>
      <c r="H243" s="26">
        <v>12.26</v>
      </c>
      <c r="I243" s="26">
        <v>0.82487999999999995</v>
      </c>
      <c r="J243" s="26">
        <v>2.72</v>
      </c>
      <c r="K243" s="26">
        <v>36.015120000000003</v>
      </c>
      <c r="L243" s="27">
        <v>3</v>
      </c>
      <c r="M243" s="27">
        <v>45</v>
      </c>
      <c r="N243" s="28">
        <v>3.75</v>
      </c>
      <c r="O243" s="26">
        <v>7.9874999999999998</v>
      </c>
      <c r="P243" s="26">
        <v>46.722619999999999</v>
      </c>
      <c r="Q243" s="33">
        <v>50.00262</v>
      </c>
      <c r="R243" s="34">
        <v>1</v>
      </c>
      <c r="S243" s="34">
        <v>0</v>
      </c>
      <c r="T243" s="20">
        <v>0</v>
      </c>
      <c r="U243" s="21" t="s">
        <v>24</v>
      </c>
      <c r="V243" s="22">
        <f>IFERROR(RAW[[#This Row],[ACTUAL GROSS]]/RAW[[#This Row],[CONVERTED]],0)</f>
        <v>13.334032000000001</v>
      </c>
      <c r="W243" s="22">
        <f>IFERROR(RAW[[#This Row],[SALES]]/RAW[[#This Row],[HOURLY PAY]],0)</f>
        <v>38.372456964006261</v>
      </c>
    </row>
    <row r="244" spans="1:23" x14ac:dyDescent="0.35">
      <c r="A244" s="23">
        <v>45212</v>
      </c>
      <c r="B244" s="24" t="s">
        <v>21</v>
      </c>
      <c r="C244" s="25" t="s">
        <v>36</v>
      </c>
      <c r="D244" s="14" t="s">
        <v>27</v>
      </c>
      <c r="E244" s="26">
        <v>0</v>
      </c>
      <c r="F244" s="26">
        <v>0</v>
      </c>
      <c r="G244" s="26">
        <v>0</v>
      </c>
      <c r="H244" s="26">
        <v>0</v>
      </c>
      <c r="I244" s="26">
        <v>0</v>
      </c>
      <c r="J244" s="26">
        <v>0</v>
      </c>
      <c r="K244" s="26">
        <v>0</v>
      </c>
      <c r="L244" s="27">
        <v>0</v>
      </c>
      <c r="M244" s="27">
        <v>0</v>
      </c>
      <c r="N244" s="28">
        <v>0</v>
      </c>
      <c r="O244" s="26">
        <v>0</v>
      </c>
      <c r="P244" s="26">
        <v>0</v>
      </c>
      <c r="Q244" s="33">
        <v>0</v>
      </c>
      <c r="R244" s="34">
        <v>0</v>
      </c>
      <c r="S244" s="34">
        <v>0</v>
      </c>
      <c r="T244" s="20">
        <v>0</v>
      </c>
      <c r="U244" s="21" t="s">
        <v>24</v>
      </c>
      <c r="V244" s="22">
        <f>IFERROR(RAW[[#This Row],[ACTUAL GROSS]]/RAW[[#This Row],[CONVERTED]],0)</f>
        <v>0</v>
      </c>
      <c r="W244" s="22">
        <f>IFERROR(RAW[[#This Row],[SALES]]/RAW[[#This Row],[HOURLY PAY]],0)</f>
        <v>0</v>
      </c>
    </row>
    <row r="245" spans="1:23" x14ac:dyDescent="0.35">
      <c r="A245" s="23">
        <v>45212</v>
      </c>
      <c r="B245" s="24" t="s">
        <v>25</v>
      </c>
      <c r="C245" s="25" t="s">
        <v>36</v>
      </c>
      <c r="D245" s="14" t="s">
        <v>27</v>
      </c>
      <c r="E245" s="26">
        <v>0</v>
      </c>
      <c r="F245" s="26">
        <v>0</v>
      </c>
      <c r="G245" s="26">
        <v>0</v>
      </c>
      <c r="H245" s="26">
        <v>0</v>
      </c>
      <c r="I245" s="26">
        <v>0</v>
      </c>
      <c r="J245" s="26">
        <v>0</v>
      </c>
      <c r="K245" s="26">
        <v>0</v>
      </c>
      <c r="L245" s="27">
        <v>0</v>
      </c>
      <c r="M245" s="27">
        <v>0</v>
      </c>
      <c r="N245" s="28">
        <v>0</v>
      </c>
      <c r="O245" s="26">
        <v>0</v>
      </c>
      <c r="P245" s="26">
        <v>0</v>
      </c>
      <c r="Q245" s="33">
        <v>0</v>
      </c>
      <c r="R245" s="34">
        <v>0</v>
      </c>
      <c r="S245" s="34">
        <v>0</v>
      </c>
      <c r="T245" s="20">
        <v>0</v>
      </c>
      <c r="U245" s="21" t="s">
        <v>24</v>
      </c>
      <c r="V245" s="22">
        <f>IFERROR(RAW[[#This Row],[ACTUAL GROSS]]/RAW[[#This Row],[CONVERTED]],0)</f>
        <v>0</v>
      </c>
      <c r="W245" s="22">
        <f>IFERROR(RAW[[#This Row],[SALES]]/RAW[[#This Row],[HOURLY PAY]],0)</f>
        <v>0</v>
      </c>
    </row>
    <row r="246" spans="1:23" x14ac:dyDescent="0.35">
      <c r="A246" s="23">
        <v>45213</v>
      </c>
      <c r="B246" s="24" t="s">
        <v>21</v>
      </c>
      <c r="C246" s="25" t="s">
        <v>36</v>
      </c>
      <c r="D246" s="14" t="s">
        <v>28</v>
      </c>
      <c r="E246" s="26">
        <v>0</v>
      </c>
      <c r="F246" s="26">
        <v>0</v>
      </c>
      <c r="G246" s="26">
        <v>0</v>
      </c>
      <c r="H246" s="26">
        <v>0</v>
      </c>
      <c r="I246" s="26">
        <v>0</v>
      </c>
      <c r="J246" s="26">
        <v>0</v>
      </c>
      <c r="K246" s="26">
        <v>0</v>
      </c>
      <c r="L246" s="27">
        <v>0</v>
      </c>
      <c r="M246" s="27">
        <v>0</v>
      </c>
      <c r="N246" s="28">
        <v>0</v>
      </c>
      <c r="O246" s="26">
        <v>0</v>
      </c>
      <c r="P246" s="26">
        <v>0</v>
      </c>
      <c r="Q246" s="33">
        <v>0</v>
      </c>
      <c r="R246" s="34">
        <v>0</v>
      </c>
      <c r="S246" s="34">
        <v>0</v>
      </c>
      <c r="T246" s="20">
        <v>0</v>
      </c>
      <c r="U246" s="21" t="s">
        <v>24</v>
      </c>
      <c r="V246" s="22">
        <f>IFERROR(RAW[[#This Row],[ACTUAL GROSS]]/RAW[[#This Row],[CONVERTED]],0)</f>
        <v>0</v>
      </c>
      <c r="W246" s="22">
        <f>IFERROR(RAW[[#This Row],[SALES]]/RAW[[#This Row],[HOURLY PAY]],0)</f>
        <v>0</v>
      </c>
    </row>
    <row r="247" spans="1:23" x14ac:dyDescent="0.35">
      <c r="A247" s="23">
        <v>45213</v>
      </c>
      <c r="B247" s="24" t="s">
        <v>25</v>
      </c>
      <c r="C247" s="25" t="s">
        <v>36</v>
      </c>
      <c r="D247" s="14" t="s">
        <v>28</v>
      </c>
      <c r="E247" s="26">
        <v>0</v>
      </c>
      <c r="F247" s="26">
        <v>0</v>
      </c>
      <c r="G247" s="26">
        <v>0</v>
      </c>
      <c r="H247" s="26">
        <v>0</v>
      </c>
      <c r="I247" s="26">
        <v>0</v>
      </c>
      <c r="J247" s="26">
        <v>0</v>
      </c>
      <c r="K247" s="26">
        <v>0</v>
      </c>
      <c r="L247" s="27">
        <v>0</v>
      </c>
      <c r="M247" s="27">
        <v>0</v>
      </c>
      <c r="N247" s="28">
        <v>0</v>
      </c>
      <c r="O247" s="26">
        <v>0</v>
      </c>
      <c r="P247" s="26">
        <v>0</v>
      </c>
      <c r="Q247" s="33">
        <v>0</v>
      </c>
      <c r="R247" s="34">
        <v>0</v>
      </c>
      <c r="S247" s="34">
        <v>0</v>
      </c>
      <c r="T247" s="20">
        <v>0</v>
      </c>
      <c r="U247" s="21" t="s">
        <v>24</v>
      </c>
      <c r="V247" s="22">
        <f>IFERROR(RAW[[#This Row],[ACTUAL GROSS]]/RAW[[#This Row],[CONVERTED]],0)</f>
        <v>0</v>
      </c>
      <c r="W247" s="22">
        <f>IFERROR(RAW[[#This Row],[SALES]]/RAW[[#This Row],[HOURLY PAY]],0)</f>
        <v>0</v>
      </c>
    </row>
    <row r="248" spans="1:23" x14ac:dyDescent="0.35">
      <c r="A248" s="23">
        <v>45214</v>
      </c>
      <c r="B248" s="24" t="s">
        <v>21</v>
      </c>
      <c r="C248" s="25" t="s">
        <v>36</v>
      </c>
      <c r="D248" s="14" t="s">
        <v>29</v>
      </c>
      <c r="E248" s="26">
        <v>0</v>
      </c>
      <c r="F248" s="26">
        <v>0</v>
      </c>
      <c r="G248" s="26">
        <v>0</v>
      </c>
      <c r="H248" s="26">
        <v>0</v>
      </c>
      <c r="I248" s="26">
        <v>0</v>
      </c>
      <c r="J248" s="26">
        <v>0</v>
      </c>
      <c r="K248" s="26">
        <v>0</v>
      </c>
      <c r="L248" s="27">
        <v>0</v>
      </c>
      <c r="M248" s="27">
        <v>0</v>
      </c>
      <c r="N248" s="28">
        <v>0</v>
      </c>
      <c r="O248" s="26">
        <v>0</v>
      </c>
      <c r="P248" s="26">
        <v>0</v>
      </c>
      <c r="Q248" s="33">
        <v>0</v>
      </c>
      <c r="R248" s="34">
        <v>0</v>
      </c>
      <c r="S248" s="34">
        <v>0</v>
      </c>
      <c r="T248" s="20">
        <v>0</v>
      </c>
      <c r="U248" s="21" t="s">
        <v>24</v>
      </c>
      <c r="V248" s="22">
        <f>IFERROR(RAW[[#This Row],[ACTUAL GROSS]]/RAW[[#This Row],[CONVERTED]],0)</f>
        <v>0</v>
      </c>
      <c r="W248" s="22">
        <f>IFERROR(RAW[[#This Row],[SALES]]/RAW[[#This Row],[HOURLY PAY]],0)</f>
        <v>0</v>
      </c>
    </row>
    <row r="249" spans="1:23" x14ac:dyDescent="0.35">
      <c r="A249" s="23">
        <v>45214</v>
      </c>
      <c r="B249" s="24" t="s">
        <v>25</v>
      </c>
      <c r="C249" s="25" t="s">
        <v>36</v>
      </c>
      <c r="D249" s="14" t="s">
        <v>29</v>
      </c>
      <c r="E249" s="26">
        <v>1403.5</v>
      </c>
      <c r="F249" s="26">
        <v>175.07</v>
      </c>
      <c r="G249" s="26">
        <v>9</v>
      </c>
      <c r="H249" s="26">
        <v>56.14</v>
      </c>
      <c r="I249" s="26">
        <v>2.9411759999999996</v>
      </c>
      <c r="J249" s="26">
        <v>103</v>
      </c>
      <c r="K249" s="26">
        <v>115.98882399999999</v>
      </c>
      <c r="L249" s="27">
        <v>6</v>
      </c>
      <c r="M249" s="27">
        <v>1</v>
      </c>
      <c r="N249" s="28">
        <v>6.0166666666666666</v>
      </c>
      <c r="O249" s="26">
        <v>12.8155</v>
      </c>
      <c r="P249" s="26">
        <v>231.80432400000001</v>
      </c>
      <c r="Q249" s="33">
        <v>137.80432400000001</v>
      </c>
      <c r="R249" s="34">
        <v>1</v>
      </c>
      <c r="S249" s="34">
        <v>0</v>
      </c>
      <c r="T249" s="20">
        <v>0</v>
      </c>
      <c r="U249" s="21" t="s">
        <v>24</v>
      </c>
      <c r="V249" s="22">
        <f>IFERROR(RAW[[#This Row],[ACTUAL GROSS]]/RAW[[#This Row],[CONVERTED]],0)</f>
        <v>22.903765761772856</v>
      </c>
      <c r="W249" s="22">
        <f>IFERROR(RAW[[#This Row],[SALES]]/RAW[[#This Row],[HOURLY PAY]],0)</f>
        <v>109.51582068588819</v>
      </c>
    </row>
    <row r="250" spans="1:23" x14ac:dyDescent="0.35">
      <c r="A250" s="23">
        <v>45215</v>
      </c>
      <c r="B250" s="24" t="s">
        <v>21</v>
      </c>
      <c r="C250" s="25" t="s">
        <v>36</v>
      </c>
      <c r="D250" s="14" t="s">
        <v>30</v>
      </c>
      <c r="E250" s="26">
        <v>0</v>
      </c>
      <c r="F250" s="26">
        <v>0</v>
      </c>
      <c r="G250" s="26">
        <v>0</v>
      </c>
      <c r="H250" s="26">
        <v>0</v>
      </c>
      <c r="I250" s="26">
        <v>0</v>
      </c>
      <c r="J250" s="26">
        <v>0</v>
      </c>
      <c r="K250" s="26">
        <v>0</v>
      </c>
      <c r="L250" s="27">
        <v>0</v>
      </c>
      <c r="M250" s="27">
        <v>0</v>
      </c>
      <c r="N250" s="28">
        <v>0</v>
      </c>
      <c r="O250" s="26">
        <v>0</v>
      </c>
      <c r="P250" s="26">
        <v>0</v>
      </c>
      <c r="Q250" s="33">
        <v>0</v>
      </c>
      <c r="R250" s="34">
        <v>0</v>
      </c>
      <c r="S250" s="34">
        <v>0</v>
      </c>
      <c r="T250" s="20">
        <v>0</v>
      </c>
      <c r="U250" s="21" t="s">
        <v>24</v>
      </c>
      <c r="V250" s="22">
        <f>IFERROR(RAW[[#This Row],[ACTUAL GROSS]]/RAW[[#This Row],[CONVERTED]],0)</f>
        <v>0</v>
      </c>
      <c r="W250" s="22">
        <f>IFERROR(RAW[[#This Row],[SALES]]/RAW[[#This Row],[HOURLY PAY]],0)</f>
        <v>0</v>
      </c>
    </row>
    <row r="251" spans="1:23" x14ac:dyDescent="0.35">
      <c r="A251" s="23">
        <v>45215</v>
      </c>
      <c r="B251" s="24" t="s">
        <v>25</v>
      </c>
      <c r="C251" s="25" t="s">
        <v>36</v>
      </c>
      <c r="D251" s="14" t="s">
        <v>30</v>
      </c>
      <c r="E251" s="26">
        <v>1422.48</v>
      </c>
      <c r="F251" s="26">
        <v>290.17</v>
      </c>
      <c r="G251" s="26">
        <v>0</v>
      </c>
      <c r="H251" s="26">
        <v>56.8992</v>
      </c>
      <c r="I251" s="26">
        <v>4.8748560000000003</v>
      </c>
      <c r="J251" s="26">
        <v>0</v>
      </c>
      <c r="K251" s="26">
        <v>228.39594400000001</v>
      </c>
      <c r="L251" s="27">
        <v>6</v>
      </c>
      <c r="M251" s="27">
        <v>26</v>
      </c>
      <c r="N251" s="28">
        <v>6.4333333333333336</v>
      </c>
      <c r="O251" s="26">
        <v>13.702999999999999</v>
      </c>
      <c r="P251" s="26">
        <v>242.09894400000002</v>
      </c>
      <c r="Q251" s="33">
        <v>242.09894400000002</v>
      </c>
      <c r="R251" s="34">
        <v>1</v>
      </c>
      <c r="S251" s="34">
        <v>0</v>
      </c>
      <c r="T251" s="20">
        <v>0</v>
      </c>
      <c r="U251" s="21" t="s">
        <v>24</v>
      </c>
      <c r="V251" s="22">
        <f>IFERROR(RAW[[#This Row],[ACTUAL GROSS]]/RAW[[#This Row],[CONVERTED]],0)</f>
        <v>37.63196020725389</v>
      </c>
      <c r="W251" s="22">
        <f>IFERROR(RAW[[#This Row],[SALES]]/RAW[[#This Row],[HOURLY PAY]],0)</f>
        <v>103.80792527183829</v>
      </c>
    </row>
    <row r="252" spans="1:23" x14ac:dyDescent="0.35">
      <c r="A252" s="23">
        <v>45216</v>
      </c>
      <c r="B252" s="24" t="s">
        <v>21</v>
      </c>
      <c r="C252" s="25" t="s">
        <v>36</v>
      </c>
      <c r="D252" s="14" t="s">
        <v>31</v>
      </c>
      <c r="E252" s="26">
        <v>836</v>
      </c>
      <c r="F252" s="26">
        <v>136.06</v>
      </c>
      <c r="G252" s="26">
        <v>4.16</v>
      </c>
      <c r="H252" s="26">
        <v>33.44</v>
      </c>
      <c r="I252" s="26">
        <v>2.2858079999999998</v>
      </c>
      <c r="J252" s="26">
        <v>10</v>
      </c>
      <c r="K252" s="26">
        <v>100.334192</v>
      </c>
      <c r="L252" s="27">
        <v>5</v>
      </c>
      <c r="M252" s="27">
        <v>12</v>
      </c>
      <c r="N252" s="28">
        <v>5.2</v>
      </c>
      <c r="O252" s="26">
        <v>11.076000000000001</v>
      </c>
      <c r="P252" s="26">
        <v>121.410192</v>
      </c>
      <c r="Q252" s="33">
        <v>115.57019199999999</v>
      </c>
      <c r="R252" s="34">
        <v>1</v>
      </c>
      <c r="S252" s="34">
        <v>1</v>
      </c>
      <c r="T252" s="20">
        <v>0</v>
      </c>
      <c r="U252" s="21" t="s">
        <v>34</v>
      </c>
      <c r="V252" s="22">
        <f>IFERROR(RAW[[#This Row],[ACTUAL GROSS]]/RAW[[#This Row],[CONVERTED]],0)</f>
        <v>22.225036923076921</v>
      </c>
      <c r="W252" s="22">
        <f>IFERROR(RAW[[#This Row],[SALES]]/RAW[[#This Row],[HOURLY PAY]],0)</f>
        <v>75.478512098230411</v>
      </c>
    </row>
    <row r="253" spans="1:23" x14ac:dyDescent="0.35">
      <c r="A253" s="23">
        <v>45216</v>
      </c>
      <c r="B253" s="24" t="s">
        <v>25</v>
      </c>
      <c r="C253" s="25" t="s">
        <v>36</v>
      </c>
      <c r="D253" s="14" t="s">
        <v>31</v>
      </c>
      <c r="E253" s="26">
        <v>245</v>
      </c>
      <c r="F253" s="26">
        <v>43.96</v>
      </c>
      <c r="G253" s="26">
        <v>0</v>
      </c>
      <c r="H253" s="26">
        <v>9.8000000000000007</v>
      </c>
      <c r="I253" s="26">
        <v>0.73852799999999996</v>
      </c>
      <c r="J253" s="26">
        <v>0</v>
      </c>
      <c r="K253" s="26">
        <v>33.421472000000001</v>
      </c>
      <c r="L253" s="27">
        <v>2</v>
      </c>
      <c r="M253" s="27">
        <v>56</v>
      </c>
      <c r="N253" s="28">
        <v>2.9333333333333331</v>
      </c>
      <c r="O253" s="26">
        <v>6.2479999999999993</v>
      </c>
      <c r="P253" s="26">
        <v>39.669471999999999</v>
      </c>
      <c r="Q253" s="33">
        <v>39.669471999999999</v>
      </c>
      <c r="R253" s="34">
        <v>1</v>
      </c>
      <c r="S253" s="34">
        <v>0</v>
      </c>
      <c r="T253" s="20">
        <v>1</v>
      </c>
      <c r="U253" s="21" t="s">
        <v>34</v>
      </c>
      <c r="V253" s="22">
        <f>IFERROR(RAW[[#This Row],[ACTUAL GROSS]]/RAW[[#This Row],[CONVERTED]],0)</f>
        <v>13.523683636363637</v>
      </c>
      <c r="W253" s="22">
        <f>IFERROR(RAW[[#This Row],[SALES]]/RAW[[#This Row],[HOURLY PAY]],0)</f>
        <v>39.212548015364924</v>
      </c>
    </row>
    <row r="254" spans="1:23" x14ac:dyDescent="0.35">
      <c r="A254" s="23">
        <v>45217</v>
      </c>
      <c r="B254" s="24" t="s">
        <v>21</v>
      </c>
      <c r="C254" s="25" t="s">
        <v>36</v>
      </c>
      <c r="D254" s="14" t="s">
        <v>23</v>
      </c>
      <c r="E254" s="26">
        <v>0</v>
      </c>
      <c r="F254" s="26">
        <v>0</v>
      </c>
      <c r="G254" s="26">
        <v>0</v>
      </c>
      <c r="H254" s="26">
        <v>0</v>
      </c>
      <c r="I254" s="26">
        <v>0</v>
      </c>
      <c r="J254" s="26">
        <v>0</v>
      </c>
      <c r="K254" s="26">
        <v>0</v>
      </c>
      <c r="L254" s="27">
        <v>0</v>
      </c>
      <c r="M254" s="27">
        <v>0</v>
      </c>
      <c r="N254" s="28">
        <v>0</v>
      </c>
      <c r="O254" s="26">
        <v>0</v>
      </c>
      <c r="P254" s="26">
        <v>0</v>
      </c>
      <c r="Q254" s="33">
        <v>0</v>
      </c>
      <c r="R254" s="34">
        <v>0</v>
      </c>
      <c r="S254" s="34">
        <v>0</v>
      </c>
      <c r="T254" s="20">
        <v>0</v>
      </c>
      <c r="U254" s="21" t="s">
        <v>24</v>
      </c>
      <c r="V254" s="22">
        <f>IFERROR(RAW[[#This Row],[ACTUAL GROSS]]/RAW[[#This Row],[CONVERTED]],0)</f>
        <v>0</v>
      </c>
      <c r="W254" s="22">
        <f>IFERROR(RAW[[#This Row],[SALES]]/RAW[[#This Row],[HOURLY PAY]],0)</f>
        <v>0</v>
      </c>
    </row>
    <row r="255" spans="1:23" x14ac:dyDescent="0.35">
      <c r="A255" s="23">
        <v>45217</v>
      </c>
      <c r="B255" s="24" t="s">
        <v>25</v>
      </c>
      <c r="C255" s="25" t="s">
        <v>36</v>
      </c>
      <c r="D255" s="14" t="s">
        <v>23</v>
      </c>
      <c r="E255" s="26">
        <v>1018</v>
      </c>
      <c r="F255" s="26">
        <v>208.15</v>
      </c>
      <c r="G255" s="26">
        <v>15</v>
      </c>
      <c r="H255" s="26">
        <v>40.72</v>
      </c>
      <c r="I255" s="26">
        <v>3.4969199999999998</v>
      </c>
      <c r="J255" s="26">
        <v>6</v>
      </c>
      <c r="K255" s="26">
        <v>163.93308000000002</v>
      </c>
      <c r="L255" s="27">
        <v>4</v>
      </c>
      <c r="M255" s="27">
        <v>34</v>
      </c>
      <c r="N255" s="28">
        <v>4.5666666666666664</v>
      </c>
      <c r="O255" s="26">
        <v>9.7269999999999985</v>
      </c>
      <c r="P255" s="26">
        <v>179.66008000000002</v>
      </c>
      <c r="Q255" s="33">
        <v>188.66008000000002</v>
      </c>
      <c r="R255" s="34">
        <v>1</v>
      </c>
      <c r="S255" s="34">
        <v>0</v>
      </c>
      <c r="T255" s="20">
        <v>0</v>
      </c>
      <c r="U255" s="21" t="s">
        <v>24</v>
      </c>
      <c r="V255" s="22">
        <f>IFERROR(RAW[[#This Row],[ACTUAL GROSS]]/RAW[[#This Row],[CONVERTED]],0)</f>
        <v>41.312426277372268</v>
      </c>
      <c r="W255" s="22">
        <f>IFERROR(RAW[[#This Row],[SALES]]/RAW[[#This Row],[HOURLY PAY]],0)</f>
        <v>104.65713991981085</v>
      </c>
    </row>
    <row r="256" spans="1:23" x14ac:dyDescent="0.35">
      <c r="A256" s="23">
        <v>45218</v>
      </c>
      <c r="B256" s="24" t="s">
        <v>21</v>
      </c>
      <c r="C256" s="25" t="s">
        <v>36</v>
      </c>
      <c r="D256" s="14" t="s">
        <v>26</v>
      </c>
      <c r="E256" s="26">
        <v>0</v>
      </c>
      <c r="F256" s="26">
        <v>0</v>
      </c>
      <c r="G256" s="26">
        <v>0</v>
      </c>
      <c r="H256" s="26">
        <v>0</v>
      </c>
      <c r="I256" s="26">
        <v>0</v>
      </c>
      <c r="J256" s="26">
        <v>0</v>
      </c>
      <c r="K256" s="26">
        <v>0</v>
      </c>
      <c r="L256" s="27">
        <v>0</v>
      </c>
      <c r="M256" s="27">
        <v>0</v>
      </c>
      <c r="N256" s="28">
        <v>0</v>
      </c>
      <c r="O256" s="26">
        <v>0</v>
      </c>
      <c r="P256" s="26">
        <v>0</v>
      </c>
      <c r="Q256" s="33">
        <v>0</v>
      </c>
      <c r="R256" s="34">
        <v>0</v>
      </c>
      <c r="S256" s="34">
        <v>0</v>
      </c>
      <c r="T256" s="20">
        <v>0</v>
      </c>
      <c r="U256" s="21" t="s">
        <v>24</v>
      </c>
      <c r="V256" s="22">
        <f>IFERROR(RAW[[#This Row],[ACTUAL GROSS]]/RAW[[#This Row],[CONVERTED]],0)</f>
        <v>0</v>
      </c>
      <c r="W256" s="22">
        <f>IFERROR(RAW[[#This Row],[SALES]]/RAW[[#This Row],[HOURLY PAY]],0)</f>
        <v>0</v>
      </c>
    </row>
    <row r="257" spans="1:23" x14ac:dyDescent="0.35">
      <c r="A257" s="23">
        <v>45218</v>
      </c>
      <c r="B257" s="24" t="s">
        <v>25</v>
      </c>
      <c r="C257" s="25" t="s">
        <v>36</v>
      </c>
      <c r="D257" s="14" t="s">
        <v>26</v>
      </c>
      <c r="E257" s="26">
        <v>955</v>
      </c>
      <c r="F257" s="26">
        <v>164.55</v>
      </c>
      <c r="G257" s="26">
        <v>20</v>
      </c>
      <c r="H257" s="26">
        <v>38.200000000000003</v>
      </c>
      <c r="I257" s="26">
        <v>2.76444</v>
      </c>
      <c r="J257" s="26">
        <v>3.5</v>
      </c>
      <c r="K257" s="26">
        <v>123.58556000000002</v>
      </c>
      <c r="L257" s="27">
        <v>6</v>
      </c>
      <c r="M257" s="27">
        <v>3</v>
      </c>
      <c r="N257" s="28">
        <v>6.05</v>
      </c>
      <c r="O257" s="26">
        <v>12.8865</v>
      </c>
      <c r="P257" s="26">
        <v>139.97206000000003</v>
      </c>
      <c r="Q257" s="33">
        <v>156.47206000000003</v>
      </c>
      <c r="R257" s="34">
        <v>1</v>
      </c>
      <c r="S257" s="34">
        <v>0</v>
      </c>
      <c r="T257" s="20">
        <v>0</v>
      </c>
      <c r="U257" s="21" t="s">
        <v>24</v>
      </c>
      <c r="V257" s="22">
        <f>IFERROR(RAW[[#This Row],[ACTUAL GROSS]]/RAW[[#This Row],[CONVERTED]],0)</f>
        <v>25.863150413223146</v>
      </c>
      <c r="W257" s="22">
        <f>IFERROR(RAW[[#This Row],[SALES]]/RAW[[#This Row],[HOURLY PAY]],0)</f>
        <v>74.108563225080516</v>
      </c>
    </row>
    <row r="258" spans="1:23" x14ac:dyDescent="0.35">
      <c r="A258" s="23">
        <v>45219</v>
      </c>
      <c r="B258" s="24" t="s">
        <v>21</v>
      </c>
      <c r="C258" s="25" t="s">
        <v>36</v>
      </c>
      <c r="D258" s="14" t="s">
        <v>27</v>
      </c>
      <c r="E258" s="26">
        <v>0</v>
      </c>
      <c r="F258" s="26">
        <v>0</v>
      </c>
      <c r="G258" s="26">
        <v>0</v>
      </c>
      <c r="H258" s="26">
        <v>0</v>
      </c>
      <c r="I258" s="26">
        <v>0</v>
      </c>
      <c r="J258" s="26">
        <v>0</v>
      </c>
      <c r="K258" s="26">
        <v>0</v>
      </c>
      <c r="L258" s="27">
        <v>0</v>
      </c>
      <c r="M258" s="27">
        <v>0</v>
      </c>
      <c r="N258" s="28">
        <v>0</v>
      </c>
      <c r="O258" s="26">
        <v>0</v>
      </c>
      <c r="P258" s="26">
        <v>0</v>
      </c>
      <c r="Q258" s="33">
        <v>0</v>
      </c>
      <c r="R258" s="34">
        <v>0</v>
      </c>
      <c r="S258" s="34">
        <v>0</v>
      </c>
      <c r="T258" s="20">
        <v>0</v>
      </c>
      <c r="U258" s="21" t="s">
        <v>24</v>
      </c>
      <c r="V258" s="22">
        <f>IFERROR(RAW[[#This Row],[ACTUAL GROSS]]/RAW[[#This Row],[CONVERTED]],0)</f>
        <v>0</v>
      </c>
      <c r="W258" s="22">
        <f>IFERROR(RAW[[#This Row],[SALES]]/RAW[[#This Row],[HOURLY PAY]],0)</f>
        <v>0</v>
      </c>
    </row>
    <row r="259" spans="1:23" x14ac:dyDescent="0.35">
      <c r="A259" s="23">
        <v>45219</v>
      </c>
      <c r="B259" s="24" t="s">
        <v>25</v>
      </c>
      <c r="C259" s="25" t="s">
        <v>36</v>
      </c>
      <c r="D259" s="14" t="s">
        <v>27</v>
      </c>
      <c r="E259" s="26">
        <v>0</v>
      </c>
      <c r="F259" s="26">
        <v>0</v>
      </c>
      <c r="G259" s="26">
        <v>0</v>
      </c>
      <c r="H259" s="26">
        <v>0</v>
      </c>
      <c r="I259" s="26">
        <v>0</v>
      </c>
      <c r="J259" s="26">
        <v>0</v>
      </c>
      <c r="K259" s="26">
        <v>0</v>
      </c>
      <c r="L259" s="27">
        <v>0</v>
      </c>
      <c r="M259" s="27">
        <v>0</v>
      </c>
      <c r="N259" s="28">
        <v>0</v>
      </c>
      <c r="O259" s="26">
        <v>0</v>
      </c>
      <c r="P259" s="26">
        <v>0</v>
      </c>
      <c r="Q259" s="33">
        <v>0</v>
      </c>
      <c r="R259" s="34">
        <v>0</v>
      </c>
      <c r="S259" s="34">
        <v>0</v>
      </c>
      <c r="T259" s="20">
        <v>0</v>
      </c>
      <c r="U259" s="21" t="s">
        <v>24</v>
      </c>
      <c r="V259" s="22">
        <f>IFERROR(RAW[[#This Row],[ACTUAL GROSS]]/RAW[[#This Row],[CONVERTED]],0)</f>
        <v>0</v>
      </c>
      <c r="W259" s="22">
        <f>IFERROR(RAW[[#This Row],[SALES]]/RAW[[#This Row],[HOURLY PAY]],0)</f>
        <v>0</v>
      </c>
    </row>
    <row r="260" spans="1:23" x14ac:dyDescent="0.35">
      <c r="A260" s="23">
        <v>45220</v>
      </c>
      <c r="B260" s="24" t="s">
        <v>21</v>
      </c>
      <c r="C260" s="25" t="s">
        <v>36</v>
      </c>
      <c r="D260" s="14" t="s">
        <v>28</v>
      </c>
      <c r="E260" s="26">
        <v>0</v>
      </c>
      <c r="F260" s="26">
        <v>0</v>
      </c>
      <c r="G260" s="26">
        <v>0</v>
      </c>
      <c r="H260" s="26">
        <v>0</v>
      </c>
      <c r="I260" s="26">
        <v>0</v>
      </c>
      <c r="J260" s="26">
        <v>0</v>
      </c>
      <c r="K260" s="26">
        <v>0</v>
      </c>
      <c r="L260" s="27">
        <v>0</v>
      </c>
      <c r="M260" s="27">
        <v>0</v>
      </c>
      <c r="N260" s="28">
        <v>0</v>
      </c>
      <c r="O260" s="26">
        <v>0</v>
      </c>
      <c r="P260" s="26">
        <v>0</v>
      </c>
      <c r="Q260" s="33">
        <v>0</v>
      </c>
      <c r="R260" s="34">
        <v>0</v>
      </c>
      <c r="S260" s="34">
        <v>0</v>
      </c>
      <c r="T260" s="20">
        <v>0</v>
      </c>
      <c r="U260" s="21" t="s">
        <v>24</v>
      </c>
      <c r="V260" s="22">
        <f>IFERROR(RAW[[#This Row],[ACTUAL GROSS]]/RAW[[#This Row],[CONVERTED]],0)</f>
        <v>0</v>
      </c>
      <c r="W260" s="22">
        <f>IFERROR(RAW[[#This Row],[SALES]]/RAW[[#This Row],[HOURLY PAY]],0)</f>
        <v>0</v>
      </c>
    </row>
    <row r="261" spans="1:23" x14ac:dyDescent="0.35">
      <c r="A261" s="23">
        <v>45220</v>
      </c>
      <c r="B261" s="24" t="s">
        <v>25</v>
      </c>
      <c r="C261" s="25" t="s">
        <v>36</v>
      </c>
      <c r="D261" s="14" t="s">
        <v>28</v>
      </c>
      <c r="E261" s="26">
        <v>0</v>
      </c>
      <c r="F261" s="26">
        <v>0</v>
      </c>
      <c r="G261" s="26">
        <v>0</v>
      </c>
      <c r="H261" s="26">
        <v>0</v>
      </c>
      <c r="I261" s="26">
        <v>0</v>
      </c>
      <c r="J261" s="26">
        <v>0</v>
      </c>
      <c r="K261" s="26">
        <v>0</v>
      </c>
      <c r="L261" s="27">
        <v>0</v>
      </c>
      <c r="M261" s="27">
        <v>0</v>
      </c>
      <c r="N261" s="28">
        <v>0</v>
      </c>
      <c r="O261" s="26">
        <v>0</v>
      </c>
      <c r="P261" s="26">
        <v>0</v>
      </c>
      <c r="Q261" s="33">
        <v>0</v>
      </c>
      <c r="R261" s="34">
        <v>0</v>
      </c>
      <c r="S261" s="34">
        <v>0</v>
      </c>
      <c r="T261" s="20">
        <v>0</v>
      </c>
      <c r="U261" s="21" t="s">
        <v>24</v>
      </c>
      <c r="V261" s="22">
        <f>IFERROR(RAW[[#This Row],[ACTUAL GROSS]]/RAW[[#This Row],[CONVERTED]],0)</f>
        <v>0</v>
      </c>
      <c r="W261" s="22">
        <f>IFERROR(RAW[[#This Row],[SALES]]/RAW[[#This Row],[HOURLY PAY]],0)</f>
        <v>0</v>
      </c>
    </row>
    <row r="262" spans="1:23" x14ac:dyDescent="0.35">
      <c r="A262" s="23">
        <v>45221</v>
      </c>
      <c r="B262" s="24" t="s">
        <v>21</v>
      </c>
      <c r="C262" s="25" t="s">
        <v>36</v>
      </c>
      <c r="D262" s="14" t="s">
        <v>29</v>
      </c>
      <c r="E262" s="26">
        <v>0</v>
      </c>
      <c r="F262" s="26">
        <v>0</v>
      </c>
      <c r="G262" s="26">
        <v>0</v>
      </c>
      <c r="H262" s="26">
        <v>0</v>
      </c>
      <c r="I262" s="26">
        <v>0</v>
      </c>
      <c r="J262" s="26">
        <v>0</v>
      </c>
      <c r="K262" s="26">
        <v>0</v>
      </c>
      <c r="L262" s="27">
        <v>0</v>
      </c>
      <c r="M262" s="27">
        <v>0</v>
      </c>
      <c r="N262" s="28">
        <v>0</v>
      </c>
      <c r="O262" s="26">
        <v>0</v>
      </c>
      <c r="P262" s="26">
        <v>0</v>
      </c>
      <c r="Q262" s="33">
        <v>0</v>
      </c>
      <c r="R262" s="34">
        <v>0</v>
      </c>
      <c r="S262" s="34">
        <v>0</v>
      </c>
      <c r="T262" s="20">
        <v>0</v>
      </c>
      <c r="U262" s="21" t="s">
        <v>24</v>
      </c>
      <c r="V262" s="22">
        <f>IFERROR(RAW[[#This Row],[ACTUAL GROSS]]/RAW[[#This Row],[CONVERTED]],0)</f>
        <v>0</v>
      </c>
      <c r="W262" s="22">
        <f>IFERROR(RAW[[#This Row],[SALES]]/RAW[[#This Row],[HOURLY PAY]],0)</f>
        <v>0</v>
      </c>
    </row>
    <row r="263" spans="1:23" x14ac:dyDescent="0.35">
      <c r="A263" s="23">
        <v>45221</v>
      </c>
      <c r="B263" s="24" t="s">
        <v>25</v>
      </c>
      <c r="C263" s="25" t="s">
        <v>36</v>
      </c>
      <c r="D263" s="14" t="s">
        <v>29</v>
      </c>
      <c r="E263" s="26">
        <v>1040.5</v>
      </c>
      <c r="F263" s="26">
        <v>208.4</v>
      </c>
      <c r="G263" s="26">
        <v>0</v>
      </c>
      <c r="H263" s="26">
        <v>41.62</v>
      </c>
      <c r="I263" s="26">
        <v>3.5011199999999998</v>
      </c>
      <c r="J263" s="26">
        <v>0</v>
      </c>
      <c r="K263" s="26">
        <v>163.27888000000002</v>
      </c>
      <c r="L263" s="27">
        <v>5</v>
      </c>
      <c r="M263" s="27">
        <v>29</v>
      </c>
      <c r="N263" s="28">
        <v>5.4833333333333334</v>
      </c>
      <c r="O263" s="26">
        <v>11.679499999999999</v>
      </c>
      <c r="P263" s="26">
        <v>174.95838000000001</v>
      </c>
      <c r="Q263" s="33">
        <v>174.95838000000001</v>
      </c>
      <c r="R263" s="34">
        <v>1</v>
      </c>
      <c r="S263" s="34">
        <v>0</v>
      </c>
      <c r="T263" s="20">
        <v>0</v>
      </c>
      <c r="U263" s="21" t="s">
        <v>24</v>
      </c>
      <c r="V263" s="22">
        <f>IFERROR(RAW[[#This Row],[ACTUAL GROSS]]/RAW[[#This Row],[CONVERTED]],0)</f>
        <v>31.907303343465045</v>
      </c>
      <c r="W263" s="22">
        <f>IFERROR(RAW[[#This Row],[SALES]]/RAW[[#This Row],[HOURLY PAY]],0)</f>
        <v>89.087717796138534</v>
      </c>
    </row>
    <row r="264" spans="1:23" x14ac:dyDescent="0.35">
      <c r="A264" s="23">
        <v>45222</v>
      </c>
      <c r="B264" s="24" t="s">
        <v>21</v>
      </c>
      <c r="C264" s="25" t="s">
        <v>36</v>
      </c>
      <c r="D264" s="14" t="s">
        <v>30</v>
      </c>
      <c r="E264" s="26">
        <v>0</v>
      </c>
      <c r="F264" s="26">
        <v>0</v>
      </c>
      <c r="G264" s="26">
        <v>0</v>
      </c>
      <c r="H264" s="26">
        <v>0</v>
      </c>
      <c r="I264" s="26">
        <v>0</v>
      </c>
      <c r="J264" s="26">
        <v>0</v>
      </c>
      <c r="K264" s="26">
        <v>0</v>
      </c>
      <c r="L264" s="27">
        <v>0</v>
      </c>
      <c r="M264" s="27">
        <v>0</v>
      </c>
      <c r="N264" s="28">
        <v>0</v>
      </c>
      <c r="O264" s="26">
        <v>0</v>
      </c>
      <c r="P264" s="26">
        <v>0</v>
      </c>
      <c r="Q264" s="33">
        <v>0</v>
      </c>
      <c r="R264" s="34">
        <v>0</v>
      </c>
      <c r="S264" s="34">
        <v>0</v>
      </c>
      <c r="T264" s="20">
        <v>0</v>
      </c>
      <c r="U264" s="21" t="s">
        <v>24</v>
      </c>
      <c r="V264" s="22">
        <f>IFERROR(RAW[[#This Row],[ACTUAL GROSS]]/RAW[[#This Row],[CONVERTED]],0)</f>
        <v>0</v>
      </c>
      <c r="W264" s="22">
        <f>IFERROR(RAW[[#This Row],[SALES]]/RAW[[#This Row],[HOURLY PAY]],0)</f>
        <v>0</v>
      </c>
    </row>
    <row r="265" spans="1:23" x14ac:dyDescent="0.35">
      <c r="A265" s="23">
        <v>45222</v>
      </c>
      <c r="B265" s="24" t="s">
        <v>25</v>
      </c>
      <c r="C265" s="25" t="s">
        <v>36</v>
      </c>
      <c r="D265" s="14" t="s">
        <v>30</v>
      </c>
      <c r="E265" s="26">
        <v>1279</v>
      </c>
      <c r="F265" s="26">
        <v>230.19</v>
      </c>
      <c r="G265" s="26">
        <v>17</v>
      </c>
      <c r="H265" s="26">
        <v>51.160000000000004</v>
      </c>
      <c r="I265" s="26">
        <v>3.8671919999999997</v>
      </c>
      <c r="J265" s="26">
        <v>9</v>
      </c>
      <c r="K265" s="26">
        <v>175.16280799999998</v>
      </c>
      <c r="L265" s="27">
        <v>5</v>
      </c>
      <c r="M265" s="27">
        <v>35</v>
      </c>
      <c r="N265" s="28">
        <v>5.583333333333333</v>
      </c>
      <c r="O265" s="26">
        <v>11.892499999999998</v>
      </c>
      <c r="P265" s="26">
        <v>196.05530799999997</v>
      </c>
      <c r="Q265" s="33">
        <v>204.05530799999997</v>
      </c>
      <c r="R265" s="34">
        <v>1</v>
      </c>
      <c r="S265" s="34">
        <v>0</v>
      </c>
      <c r="T265" s="20">
        <v>0</v>
      </c>
      <c r="U265" s="21" t="s">
        <v>24</v>
      </c>
      <c r="V265" s="22">
        <f>IFERROR(RAW[[#This Row],[ACTUAL GROSS]]/RAW[[#This Row],[CONVERTED]],0)</f>
        <v>36.547219343283579</v>
      </c>
      <c r="W265" s="22">
        <f>IFERROR(RAW[[#This Row],[SALES]]/RAW[[#This Row],[HOURLY PAY]],0)</f>
        <v>107.54677317637167</v>
      </c>
    </row>
    <row r="266" spans="1:23" x14ac:dyDescent="0.35">
      <c r="A266" s="23">
        <v>45223</v>
      </c>
      <c r="B266" s="24" t="s">
        <v>21</v>
      </c>
      <c r="C266" s="25" t="s">
        <v>36</v>
      </c>
      <c r="D266" s="14" t="s">
        <v>31</v>
      </c>
      <c r="E266" s="26">
        <v>640</v>
      </c>
      <c r="F266" s="26">
        <v>123.69</v>
      </c>
      <c r="G266" s="26">
        <v>0</v>
      </c>
      <c r="H266" s="26">
        <v>25.6</v>
      </c>
      <c r="I266" s="26">
        <v>2.0779919999999996</v>
      </c>
      <c r="J266" s="26">
        <v>0</v>
      </c>
      <c r="K266" s="26">
        <v>96.012007999999994</v>
      </c>
      <c r="L266" s="27">
        <v>3</v>
      </c>
      <c r="M266" s="27">
        <v>14</v>
      </c>
      <c r="N266" s="28">
        <v>3.2333333333333334</v>
      </c>
      <c r="O266" s="26">
        <v>6.8869999999999996</v>
      </c>
      <c r="P266" s="26">
        <v>102.89900799999999</v>
      </c>
      <c r="Q266" s="33">
        <v>102.89900799999999</v>
      </c>
      <c r="R266" s="34">
        <v>1</v>
      </c>
      <c r="S266" s="34">
        <v>1</v>
      </c>
      <c r="T266" s="20">
        <v>0</v>
      </c>
      <c r="U266" s="21" t="s">
        <v>34</v>
      </c>
      <c r="V266" s="22">
        <f>IFERROR(RAW[[#This Row],[ACTUAL GROSS]]/RAW[[#This Row],[CONVERTED]],0)</f>
        <v>31.824435463917524</v>
      </c>
      <c r="W266" s="22">
        <f>IFERROR(RAW[[#This Row],[SALES]]/RAW[[#This Row],[HOURLY PAY]],0)</f>
        <v>92.928706258167566</v>
      </c>
    </row>
    <row r="267" spans="1:23" x14ac:dyDescent="0.35">
      <c r="A267" s="23">
        <v>45223</v>
      </c>
      <c r="B267" s="24" t="s">
        <v>25</v>
      </c>
      <c r="C267" s="25" t="s">
        <v>36</v>
      </c>
      <c r="D267" s="14" t="s">
        <v>31</v>
      </c>
      <c r="E267" s="26">
        <v>558</v>
      </c>
      <c r="F267" s="26">
        <v>106.5</v>
      </c>
      <c r="G267" s="26">
        <v>0</v>
      </c>
      <c r="H267" s="26">
        <v>22.32</v>
      </c>
      <c r="I267" s="26">
        <v>1.7891999999999999</v>
      </c>
      <c r="J267" s="26">
        <v>0</v>
      </c>
      <c r="K267" s="26">
        <v>82.390799999999999</v>
      </c>
      <c r="L267" s="27">
        <v>3</v>
      </c>
      <c r="M267" s="27">
        <v>36</v>
      </c>
      <c r="N267" s="28">
        <v>3.6</v>
      </c>
      <c r="O267" s="26">
        <v>7.6680000000000001</v>
      </c>
      <c r="P267" s="26">
        <v>90.058800000000005</v>
      </c>
      <c r="Q267" s="33">
        <v>90.058800000000005</v>
      </c>
      <c r="R267" s="34">
        <v>1</v>
      </c>
      <c r="S267" s="34">
        <v>0</v>
      </c>
      <c r="T267" s="20">
        <v>1</v>
      </c>
      <c r="U267" s="21" t="s">
        <v>34</v>
      </c>
      <c r="V267" s="22">
        <f>IFERROR(RAW[[#This Row],[ACTUAL GROSS]]/RAW[[#This Row],[CONVERTED]],0)</f>
        <v>25.016333333333336</v>
      </c>
      <c r="W267" s="22">
        <f>IFERROR(RAW[[#This Row],[SALES]]/RAW[[#This Row],[HOURLY PAY]],0)</f>
        <v>72.769953051643185</v>
      </c>
    </row>
    <row r="268" spans="1:23" x14ac:dyDescent="0.35">
      <c r="A268" s="23">
        <v>45224</v>
      </c>
      <c r="B268" s="24" t="s">
        <v>21</v>
      </c>
      <c r="C268" s="25" t="s">
        <v>36</v>
      </c>
      <c r="D268" s="14" t="s">
        <v>23</v>
      </c>
      <c r="E268" s="26">
        <v>351</v>
      </c>
      <c r="F268" s="26">
        <v>69</v>
      </c>
      <c r="G268" s="26">
        <v>0</v>
      </c>
      <c r="H268" s="26">
        <v>14.040000000000001</v>
      </c>
      <c r="I268" s="26">
        <v>1.1592</v>
      </c>
      <c r="J268" s="26">
        <v>0</v>
      </c>
      <c r="K268" s="26">
        <v>53.800799999999995</v>
      </c>
      <c r="L268" s="27">
        <v>3</v>
      </c>
      <c r="M268" s="27">
        <v>16</v>
      </c>
      <c r="N268" s="28">
        <v>3.2666666666666666</v>
      </c>
      <c r="O268" s="26">
        <v>6.9579999999999993</v>
      </c>
      <c r="P268" s="26">
        <v>60.758799999999994</v>
      </c>
      <c r="Q268" s="33">
        <v>60.758799999999994</v>
      </c>
      <c r="R268" s="34">
        <v>1</v>
      </c>
      <c r="S268" s="34">
        <v>1</v>
      </c>
      <c r="T268" s="20">
        <v>0</v>
      </c>
      <c r="U268" s="21" t="s">
        <v>24</v>
      </c>
      <c r="V268" s="22">
        <f>IFERROR(RAW[[#This Row],[ACTUAL GROSS]]/RAW[[#This Row],[CONVERTED]],0)</f>
        <v>18.599632653061224</v>
      </c>
      <c r="W268" s="22">
        <f>IFERROR(RAW[[#This Row],[SALES]]/RAW[[#This Row],[HOURLY PAY]],0)</f>
        <v>50.445530324805986</v>
      </c>
    </row>
    <row r="269" spans="1:23" x14ac:dyDescent="0.35">
      <c r="A269" s="23">
        <v>45224</v>
      </c>
      <c r="B269" s="24" t="s">
        <v>25</v>
      </c>
      <c r="C269" s="25" t="s">
        <v>36</v>
      </c>
      <c r="D269" s="14" t="s">
        <v>23</v>
      </c>
      <c r="E269" s="26">
        <v>0</v>
      </c>
      <c r="F269" s="26">
        <v>0</v>
      </c>
      <c r="G269" s="26">
        <v>0</v>
      </c>
      <c r="H269" s="26">
        <v>0</v>
      </c>
      <c r="I269" s="26">
        <v>0</v>
      </c>
      <c r="J269" s="26">
        <v>0</v>
      </c>
      <c r="K269" s="26">
        <v>0</v>
      </c>
      <c r="L269" s="27">
        <v>0</v>
      </c>
      <c r="M269" s="27">
        <v>0</v>
      </c>
      <c r="N269" s="28">
        <v>0</v>
      </c>
      <c r="O269" s="26">
        <v>0</v>
      </c>
      <c r="P269" s="26">
        <v>0</v>
      </c>
      <c r="Q269" s="33">
        <v>0</v>
      </c>
      <c r="R269" s="34">
        <v>0</v>
      </c>
      <c r="S269" s="34">
        <v>0</v>
      </c>
      <c r="T269" s="20">
        <v>0</v>
      </c>
      <c r="U269" s="21" t="s">
        <v>24</v>
      </c>
      <c r="V269" s="22">
        <f>IFERROR(RAW[[#This Row],[ACTUAL GROSS]]/RAW[[#This Row],[CONVERTED]],0)</f>
        <v>0</v>
      </c>
      <c r="W269" s="22">
        <f>IFERROR(RAW[[#This Row],[SALES]]/RAW[[#This Row],[HOURLY PAY]],0)</f>
        <v>0</v>
      </c>
    </row>
    <row r="270" spans="1:23" x14ac:dyDescent="0.35">
      <c r="A270" s="23">
        <v>45225</v>
      </c>
      <c r="B270" s="24" t="s">
        <v>21</v>
      </c>
      <c r="C270" s="25" t="s">
        <v>36</v>
      </c>
      <c r="D270" s="14" t="s">
        <v>26</v>
      </c>
      <c r="E270" s="26">
        <v>0</v>
      </c>
      <c r="F270" s="26">
        <v>0</v>
      </c>
      <c r="G270" s="26">
        <v>0</v>
      </c>
      <c r="H270" s="26">
        <v>0</v>
      </c>
      <c r="I270" s="26">
        <v>0</v>
      </c>
      <c r="J270" s="26">
        <v>0</v>
      </c>
      <c r="K270" s="26">
        <v>0</v>
      </c>
      <c r="L270" s="27">
        <v>0</v>
      </c>
      <c r="M270" s="27">
        <v>0</v>
      </c>
      <c r="N270" s="28">
        <v>0</v>
      </c>
      <c r="O270" s="26">
        <v>0</v>
      </c>
      <c r="P270" s="26">
        <v>0</v>
      </c>
      <c r="Q270" s="33">
        <v>0</v>
      </c>
      <c r="R270" s="34">
        <v>0</v>
      </c>
      <c r="S270" s="34">
        <v>0</v>
      </c>
      <c r="T270" s="20">
        <v>0</v>
      </c>
      <c r="U270" s="21" t="s">
        <v>24</v>
      </c>
      <c r="V270" s="22">
        <f>IFERROR(RAW[[#This Row],[ACTUAL GROSS]]/RAW[[#This Row],[CONVERTED]],0)</f>
        <v>0</v>
      </c>
      <c r="W270" s="22">
        <f>IFERROR(RAW[[#This Row],[SALES]]/RAW[[#This Row],[HOURLY PAY]],0)</f>
        <v>0</v>
      </c>
    </row>
    <row r="271" spans="1:23" x14ac:dyDescent="0.35">
      <c r="A271" s="23">
        <v>45225</v>
      </c>
      <c r="B271" s="24" t="s">
        <v>25</v>
      </c>
      <c r="C271" s="25" t="s">
        <v>36</v>
      </c>
      <c r="D271" s="14" t="s">
        <v>26</v>
      </c>
      <c r="E271" s="26">
        <v>0</v>
      </c>
      <c r="F271" s="26">
        <v>0</v>
      </c>
      <c r="G271" s="26">
        <v>0</v>
      </c>
      <c r="H271" s="26">
        <v>0</v>
      </c>
      <c r="I271" s="26">
        <v>0</v>
      </c>
      <c r="J271" s="26">
        <v>0</v>
      </c>
      <c r="K271" s="26">
        <v>0</v>
      </c>
      <c r="L271" s="27">
        <v>0</v>
      </c>
      <c r="M271" s="27">
        <v>0</v>
      </c>
      <c r="N271" s="28">
        <v>0</v>
      </c>
      <c r="O271" s="26">
        <v>0</v>
      </c>
      <c r="P271" s="26">
        <v>0</v>
      </c>
      <c r="Q271" s="33">
        <v>0</v>
      </c>
      <c r="R271" s="34">
        <v>0</v>
      </c>
      <c r="S271" s="34">
        <v>0</v>
      </c>
      <c r="T271" s="20">
        <v>0</v>
      </c>
      <c r="U271" s="21" t="s">
        <v>24</v>
      </c>
      <c r="V271" s="22">
        <f>IFERROR(RAW[[#This Row],[ACTUAL GROSS]]/RAW[[#This Row],[CONVERTED]],0)</f>
        <v>0</v>
      </c>
      <c r="W271" s="22">
        <f>IFERROR(RAW[[#This Row],[SALES]]/RAW[[#This Row],[HOURLY PAY]],0)</f>
        <v>0</v>
      </c>
    </row>
    <row r="272" spans="1:23" x14ac:dyDescent="0.35">
      <c r="A272" s="23">
        <v>45226</v>
      </c>
      <c r="B272" s="24" t="s">
        <v>21</v>
      </c>
      <c r="C272" s="25" t="s">
        <v>36</v>
      </c>
      <c r="D272" s="14" t="s">
        <v>27</v>
      </c>
      <c r="E272" s="26">
        <v>0</v>
      </c>
      <c r="F272" s="26">
        <v>0</v>
      </c>
      <c r="G272" s="26">
        <v>0</v>
      </c>
      <c r="H272" s="26">
        <v>0</v>
      </c>
      <c r="I272" s="26">
        <v>0</v>
      </c>
      <c r="J272" s="26">
        <v>0</v>
      </c>
      <c r="K272" s="26">
        <v>0</v>
      </c>
      <c r="L272" s="27">
        <v>0</v>
      </c>
      <c r="M272" s="27">
        <v>0</v>
      </c>
      <c r="N272" s="28">
        <v>0</v>
      </c>
      <c r="O272" s="26">
        <v>0</v>
      </c>
      <c r="P272" s="26">
        <v>0</v>
      </c>
      <c r="Q272" s="33">
        <v>0</v>
      </c>
      <c r="R272" s="34">
        <v>0</v>
      </c>
      <c r="S272" s="34">
        <v>0</v>
      </c>
      <c r="T272" s="20">
        <v>0</v>
      </c>
      <c r="U272" s="21" t="s">
        <v>24</v>
      </c>
      <c r="V272" s="22">
        <f>IFERROR(RAW[[#This Row],[ACTUAL GROSS]]/RAW[[#This Row],[CONVERTED]],0)</f>
        <v>0</v>
      </c>
      <c r="W272" s="22">
        <f>IFERROR(RAW[[#This Row],[SALES]]/RAW[[#This Row],[HOURLY PAY]],0)</f>
        <v>0</v>
      </c>
    </row>
    <row r="273" spans="1:23" x14ac:dyDescent="0.35">
      <c r="A273" s="23">
        <v>45226</v>
      </c>
      <c r="B273" s="24" t="s">
        <v>25</v>
      </c>
      <c r="C273" s="25" t="s">
        <v>36</v>
      </c>
      <c r="D273" s="14" t="s">
        <v>27</v>
      </c>
      <c r="E273" s="26">
        <v>1010</v>
      </c>
      <c r="F273" s="26">
        <v>119.52</v>
      </c>
      <c r="G273" s="26">
        <v>110</v>
      </c>
      <c r="H273" s="26">
        <v>40.4</v>
      </c>
      <c r="I273" s="26">
        <v>2.0079359999999999</v>
      </c>
      <c r="J273" s="26">
        <v>29.75</v>
      </c>
      <c r="K273" s="26">
        <v>77.112064000000004</v>
      </c>
      <c r="L273" s="27">
        <v>5</v>
      </c>
      <c r="M273" s="27">
        <v>26</v>
      </c>
      <c r="N273" s="28">
        <v>5.4333333333333336</v>
      </c>
      <c r="O273" s="26">
        <v>11.573</v>
      </c>
      <c r="P273" s="26">
        <v>118.43506400000001</v>
      </c>
      <c r="Q273" s="33">
        <v>198.68506400000001</v>
      </c>
      <c r="R273" s="34">
        <v>1</v>
      </c>
      <c r="S273" s="34">
        <v>0</v>
      </c>
      <c r="T273" s="20">
        <v>0</v>
      </c>
      <c r="U273" s="21" t="s">
        <v>24</v>
      </c>
      <c r="V273" s="22">
        <f>IFERROR(RAW[[#This Row],[ACTUAL GROSS]]/RAW[[#This Row],[CONVERTED]],0)</f>
        <v>36.567803190184051</v>
      </c>
      <c r="W273" s="22">
        <f>IFERROR(RAW[[#This Row],[SALES]]/RAW[[#This Row],[HOURLY PAY]],0)</f>
        <v>87.272098850773347</v>
      </c>
    </row>
    <row r="274" spans="1:23" x14ac:dyDescent="0.35">
      <c r="A274" s="23">
        <v>45227</v>
      </c>
      <c r="B274" s="24" t="s">
        <v>21</v>
      </c>
      <c r="C274" s="25" t="s">
        <v>36</v>
      </c>
      <c r="D274" s="14" t="s">
        <v>28</v>
      </c>
      <c r="E274" s="26">
        <v>0</v>
      </c>
      <c r="F274" s="26">
        <v>0</v>
      </c>
      <c r="G274" s="26">
        <v>0</v>
      </c>
      <c r="H274" s="26">
        <v>0</v>
      </c>
      <c r="I274" s="26">
        <v>0</v>
      </c>
      <c r="J274" s="26">
        <v>0</v>
      </c>
      <c r="K274" s="26">
        <v>0</v>
      </c>
      <c r="L274" s="27">
        <v>0</v>
      </c>
      <c r="M274" s="27">
        <v>0</v>
      </c>
      <c r="N274" s="28">
        <v>0</v>
      </c>
      <c r="O274" s="26">
        <v>0</v>
      </c>
      <c r="P274" s="26">
        <v>0</v>
      </c>
      <c r="Q274" s="33">
        <v>0</v>
      </c>
      <c r="R274" s="34">
        <v>0</v>
      </c>
      <c r="S274" s="34">
        <v>0</v>
      </c>
      <c r="T274" s="20">
        <v>0</v>
      </c>
      <c r="U274" s="21" t="s">
        <v>24</v>
      </c>
      <c r="V274" s="22">
        <f>IFERROR(RAW[[#This Row],[ACTUAL GROSS]]/RAW[[#This Row],[CONVERTED]],0)</f>
        <v>0</v>
      </c>
      <c r="W274" s="22">
        <f>IFERROR(RAW[[#This Row],[SALES]]/RAW[[#This Row],[HOURLY PAY]],0)</f>
        <v>0</v>
      </c>
    </row>
    <row r="275" spans="1:23" x14ac:dyDescent="0.35">
      <c r="A275" s="23">
        <v>45227</v>
      </c>
      <c r="B275" s="24" t="s">
        <v>25</v>
      </c>
      <c r="C275" s="25" t="s">
        <v>36</v>
      </c>
      <c r="D275" s="14" t="s">
        <v>28</v>
      </c>
      <c r="E275" s="26">
        <v>1353</v>
      </c>
      <c r="F275" s="26">
        <v>215.35</v>
      </c>
      <c r="G275" s="26">
        <v>47</v>
      </c>
      <c r="H275" s="26">
        <v>54.120000000000005</v>
      </c>
      <c r="I275" s="26">
        <v>3.6178799999999995</v>
      </c>
      <c r="J275" s="26">
        <v>20</v>
      </c>
      <c r="K275" s="26">
        <v>157.61212</v>
      </c>
      <c r="L275" s="27">
        <v>7</v>
      </c>
      <c r="M275" s="27">
        <v>41</v>
      </c>
      <c r="N275" s="28">
        <v>7.6833333333333336</v>
      </c>
      <c r="O275" s="26">
        <v>16.365500000000001</v>
      </c>
      <c r="P275" s="26">
        <v>193.97762</v>
      </c>
      <c r="Q275" s="33">
        <v>220.97762</v>
      </c>
      <c r="R275" s="34">
        <v>1</v>
      </c>
      <c r="S275" s="34">
        <v>0</v>
      </c>
      <c r="T275" s="20">
        <v>0</v>
      </c>
      <c r="U275" s="21" t="s">
        <v>24</v>
      </c>
      <c r="V275" s="22">
        <f>IFERROR(RAW[[#This Row],[ACTUAL GROSS]]/RAW[[#This Row],[CONVERTED]],0)</f>
        <v>28.760644685466378</v>
      </c>
      <c r="W275" s="22">
        <f>IFERROR(RAW[[#This Row],[SALES]]/RAW[[#This Row],[HOURLY PAY]],0)</f>
        <v>82.673917692707221</v>
      </c>
    </row>
    <row r="276" spans="1:23" x14ac:dyDescent="0.35">
      <c r="A276" s="23">
        <v>45228</v>
      </c>
      <c r="B276" s="24" t="s">
        <v>21</v>
      </c>
      <c r="C276" s="25" t="s">
        <v>36</v>
      </c>
      <c r="D276" s="14" t="s">
        <v>29</v>
      </c>
      <c r="E276" s="26">
        <v>0</v>
      </c>
      <c r="F276" s="26">
        <v>0</v>
      </c>
      <c r="G276" s="26">
        <v>0</v>
      </c>
      <c r="H276" s="26">
        <v>0</v>
      </c>
      <c r="I276" s="26">
        <v>0</v>
      </c>
      <c r="J276" s="26">
        <v>0</v>
      </c>
      <c r="K276" s="26">
        <v>0</v>
      </c>
      <c r="L276" s="27">
        <v>0</v>
      </c>
      <c r="M276" s="27">
        <v>0</v>
      </c>
      <c r="N276" s="28">
        <v>0</v>
      </c>
      <c r="O276" s="26">
        <v>0</v>
      </c>
      <c r="P276" s="26">
        <v>0</v>
      </c>
      <c r="Q276" s="33">
        <v>0</v>
      </c>
      <c r="R276" s="34">
        <v>0</v>
      </c>
      <c r="S276" s="34">
        <v>0</v>
      </c>
      <c r="T276" s="20">
        <v>0</v>
      </c>
      <c r="U276" s="21" t="s">
        <v>24</v>
      </c>
      <c r="V276" s="22">
        <f>IFERROR(RAW[[#This Row],[ACTUAL GROSS]]/RAW[[#This Row],[CONVERTED]],0)</f>
        <v>0</v>
      </c>
      <c r="W276" s="22">
        <f>IFERROR(RAW[[#This Row],[SALES]]/RAW[[#This Row],[HOURLY PAY]],0)</f>
        <v>0</v>
      </c>
    </row>
    <row r="277" spans="1:23" x14ac:dyDescent="0.35">
      <c r="A277" s="23">
        <v>45228</v>
      </c>
      <c r="B277" s="24" t="s">
        <v>25</v>
      </c>
      <c r="C277" s="25" t="s">
        <v>36</v>
      </c>
      <c r="D277" s="14" t="s">
        <v>29</v>
      </c>
      <c r="E277" s="26">
        <v>0</v>
      </c>
      <c r="F277" s="26">
        <v>0</v>
      </c>
      <c r="G277" s="26">
        <v>0</v>
      </c>
      <c r="H277" s="26">
        <v>0</v>
      </c>
      <c r="I277" s="26">
        <v>0</v>
      </c>
      <c r="J277" s="26">
        <v>0</v>
      </c>
      <c r="K277" s="26">
        <v>0</v>
      </c>
      <c r="L277" s="27">
        <v>0</v>
      </c>
      <c r="M277" s="27">
        <v>0</v>
      </c>
      <c r="N277" s="28">
        <v>0</v>
      </c>
      <c r="O277" s="26">
        <v>0</v>
      </c>
      <c r="P277" s="26">
        <v>0</v>
      </c>
      <c r="Q277" s="33">
        <v>0</v>
      </c>
      <c r="R277" s="34">
        <v>0</v>
      </c>
      <c r="S277" s="34">
        <v>0</v>
      </c>
      <c r="T277" s="20">
        <v>0</v>
      </c>
      <c r="U277" s="21" t="s">
        <v>24</v>
      </c>
      <c r="V277" s="22">
        <f>IFERROR(RAW[[#This Row],[ACTUAL GROSS]]/RAW[[#This Row],[CONVERTED]],0)</f>
        <v>0</v>
      </c>
      <c r="W277" s="22">
        <f>IFERROR(RAW[[#This Row],[SALES]]/RAW[[#This Row],[HOURLY PAY]],0)</f>
        <v>0</v>
      </c>
    </row>
    <row r="278" spans="1:23" x14ac:dyDescent="0.35">
      <c r="A278" s="23">
        <v>45229</v>
      </c>
      <c r="B278" s="24" t="s">
        <v>21</v>
      </c>
      <c r="C278" s="25" t="s">
        <v>36</v>
      </c>
      <c r="D278" s="14" t="s">
        <v>30</v>
      </c>
      <c r="E278" s="26">
        <v>0</v>
      </c>
      <c r="F278" s="26">
        <v>0</v>
      </c>
      <c r="G278" s="26">
        <v>0</v>
      </c>
      <c r="H278" s="26">
        <v>0</v>
      </c>
      <c r="I278" s="26">
        <v>0</v>
      </c>
      <c r="J278" s="26">
        <v>0</v>
      </c>
      <c r="K278" s="26">
        <v>0</v>
      </c>
      <c r="L278" s="27">
        <v>0</v>
      </c>
      <c r="M278" s="27">
        <v>0</v>
      </c>
      <c r="N278" s="28">
        <v>0</v>
      </c>
      <c r="O278" s="26">
        <v>0</v>
      </c>
      <c r="P278" s="26">
        <v>0</v>
      </c>
      <c r="Q278" s="33">
        <v>0</v>
      </c>
      <c r="R278" s="34">
        <v>0</v>
      </c>
      <c r="S278" s="34">
        <v>0</v>
      </c>
      <c r="T278" s="20">
        <v>0</v>
      </c>
      <c r="U278" s="21" t="s">
        <v>24</v>
      </c>
      <c r="V278" s="22">
        <f>IFERROR(RAW[[#This Row],[ACTUAL GROSS]]/RAW[[#This Row],[CONVERTED]],0)</f>
        <v>0</v>
      </c>
      <c r="W278" s="22">
        <f>IFERROR(RAW[[#This Row],[SALES]]/RAW[[#This Row],[HOURLY PAY]],0)</f>
        <v>0</v>
      </c>
    </row>
    <row r="279" spans="1:23" x14ac:dyDescent="0.35">
      <c r="A279" s="23">
        <v>45229</v>
      </c>
      <c r="B279" s="24" t="s">
        <v>25</v>
      </c>
      <c r="C279" s="25" t="s">
        <v>36</v>
      </c>
      <c r="D279" s="14" t="s">
        <v>30</v>
      </c>
      <c r="E279" s="26">
        <v>593</v>
      </c>
      <c r="F279" s="26">
        <v>116.89</v>
      </c>
      <c r="G279" s="26">
        <v>0</v>
      </c>
      <c r="H279" s="26">
        <v>23.72</v>
      </c>
      <c r="I279" s="26">
        <v>1.9637519999999999</v>
      </c>
      <c r="J279" s="26">
        <v>0</v>
      </c>
      <c r="K279" s="26">
        <v>91.206248000000002</v>
      </c>
      <c r="L279" s="27">
        <v>3</v>
      </c>
      <c r="M279" s="27">
        <v>42</v>
      </c>
      <c r="N279" s="28">
        <v>3.7</v>
      </c>
      <c r="O279" s="26">
        <v>7.8810000000000002</v>
      </c>
      <c r="P279" s="26">
        <v>99.087248000000002</v>
      </c>
      <c r="Q279" s="33">
        <v>99.087248000000002</v>
      </c>
      <c r="R279" s="34">
        <v>1</v>
      </c>
      <c r="S279" s="34">
        <v>0</v>
      </c>
      <c r="T279" s="20">
        <v>0</v>
      </c>
      <c r="U279" s="21" t="s">
        <v>24</v>
      </c>
      <c r="V279" s="22">
        <f>IFERROR(RAW[[#This Row],[ACTUAL GROSS]]/RAW[[#This Row],[CONVERTED]],0)</f>
        <v>26.780337297297297</v>
      </c>
      <c r="W279" s="22">
        <f>IFERROR(RAW[[#This Row],[SALES]]/RAW[[#This Row],[HOURLY PAY]],0)</f>
        <v>75.244258342849889</v>
      </c>
    </row>
    <row r="280" spans="1:23" x14ac:dyDescent="0.35">
      <c r="A280" s="23">
        <v>45230</v>
      </c>
      <c r="B280" s="24" t="s">
        <v>21</v>
      </c>
      <c r="C280" s="25" t="s">
        <v>36</v>
      </c>
      <c r="D280" s="14" t="s">
        <v>31</v>
      </c>
      <c r="E280" s="26">
        <v>410</v>
      </c>
      <c r="F280" s="26">
        <v>82</v>
      </c>
      <c r="G280" s="26">
        <v>0</v>
      </c>
      <c r="H280" s="26">
        <v>16.399999999999999</v>
      </c>
      <c r="I280" s="26">
        <v>1.3775999999999999</v>
      </c>
      <c r="J280" s="26">
        <v>0</v>
      </c>
      <c r="K280" s="26">
        <v>64.222399999999993</v>
      </c>
      <c r="L280" s="27">
        <v>3</v>
      </c>
      <c r="M280" s="27">
        <v>13</v>
      </c>
      <c r="N280" s="28">
        <v>3.2166666666666668</v>
      </c>
      <c r="O280" s="26">
        <v>6.8514999999999997</v>
      </c>
      <c r="P280" s="26">
        <v>71.073899999999995</v>
      </c>
      <c r="Q280" s="33">
        <v>71.073899999999995</v>
      </c>
      <c r="R280" s="34">
        <v>1</v>
      </c>
      <c r="S280" s="34">
        <v>1</v>
      </c>
      <c r="T280" s="20">
        <v>0</v>
      </c>
      <c r="U280" s="21" t="s">
        <v>34</v>
      </c>
      <c r="V280" s="22">
        <f>IFERROR(RAW[[#This Row],[ACTUAL GROSS]]/RAW[[#This Row],[CONVERTED]],0)</f>
        <v>22.095512953367873</v>
      </c>
      <c r="W280" s="22">
        <f>IFERROR(RAW[[#This Row],[SALES]]/RAW[[#This Row],[HOURLY PAY]],0)</f>
        <v>59.840910749470922</v>
      </c>
    </row>
    <row r="281" spans="1:23" x14ac:dyDescent="0.35">
      <c r="A281" s="23">
        <v>45230</v>
      </c>
      <c r="B281" s="24" t="s">
        <v>25</v>
      </c>
      <c r="C281" s="25" t="s">
        <v>36</v>
      </c>
      <c r="D281" s="14" t="s">
        <v>31</v>
      </c>
      <c r="E281" s="26">
        <v>603</v>
      </c>
      <c r="F281" s="26">
        <v>113.15</v>
      </c>
      <c r="G281" s="26">
        <v>0</v>
      </c>
      <c r="H281" s="26">
        <v>24.12</v>
      </c>
      <c r="I281" s="26">
        <v>1.9009199999999999</v>
      </c>
      <c r="J281" s="26">
        <v>0</v>
      </c>
      <c r="K281" s="26">
        <v>87.129080000000002</v>
      </c>
      <c r="L281" s="27">
        <v>3</v>
      </c>
      <c r="M281" s="27">
        <v>37</v>
      </c>
      <c r="N281" s="28">
        <v>3.6166666666666667</v>
      </c>
      <c r="O281" s="26">
        <v>7.7035</v>
      </c>
      <c r="P281" s="26">
        <v>94.832580000000007</v>
      </c>
      <c r="Q281" s="33">
        <v>94.832580000000007</v>
      </c>
      <c r="R281" s="34">
        <v>1</v>
      </c>
      <c r="S281" s="34">
        <v>0</v>
      </c>
      <c r="T281" s="20">
        <v>1</v>
      </c>
      <c r="U281" s="21" t="s">
        <v>34</v>
      </c>
      <c r="V281" s="22">
        <f>IFERROR(RAW[[#This Row],[ACTUAL GROSS]]/RAW[[#This Row],[CONVERTED]],0)</f>
        <v>26.220989861751153</v>
      </c>
      <c r="W281" s="22">
        <f>IFERROR(RAW[[#This Row],[SALES]]/RAW[[#This Row],[HOURLY PAY]],0)</f>
        <v>78.27610826247809</v>
      </c>
    </row>
    <row r="282" spans="1:23" x14ac:dyDescent="0.35">
      <c r="A282" s="23">
        <v>45231</v>
      </c>
      <c r="B282" s="24" t="s">
        <v>21</v>
      </c>
      <c r="C282" s="25" t="s">
        <v>37</v>
      </c>
      <c r="D282" s="14" t="s">
        <v>23</v>
      </c>
      <c r="E282" s="26">
        <v>0</v>
      </c>
      <c r="F282" s="26">
        <v>0</v>
      </c>
      <c r="G282" s="26">
        <v>0</v>
      </c>
      <c r="H282" s="26">
        <v>0</v>
      </c>
      <c r="I282" s="26">
        <v>0</v>
      </c>
      <c r="J282" s="26">
        <v>0</v>
      </c>
      <c r="K282" s="26">
        <v>0</v>
      </c>
      <c r="L282" s="27">
        <v>0</v>
      </c>
      <c r="M282" s="27">
        <v>0</v>
      </c>
      <c r="N282" s="28">
        <v>0</v>
      </c>
      <c r="O282" s="26">
        <v>0</v>
      </c>
      <c r="P282" s="26">
        <v>0</v>
      </c>
      <c r="Q282" s="33">
        <v>0</v>
      </c>
      <c r="R282" s="34">
        <v>0</v>
      </c>
      <c r="S282" s="34">
        <v>0</v>
      </c>
      <c r="T282" s="20">
        <v>0</v>
      </c>
      <c r="U282" s="21" t="s">
        <v>24</v>
      </c>
      <c r="V282" s="22">
        <f>IFERROR(RAW[[#This Row],[ACTUAL GROSS]]/RAW[[#This Row],[CONVERTED]],0)</f>
        <v>0</v>
      </c>
      <c r="W282" s="22">
        <f>IFERROR(RAW[[#This Row],[SALES]]/RAW[[#This Row],[HOURLY PAY]],0)</f>
        <v>0</v>
      </c>
    </row>
    <row r="283" spans="1:23" x14ac:dyDescent="0.35">
      <c r="A283" s="23">
        <v>45231</v>
      </c>
      <c r="B283" s="24" t="s">
        <v>25</v>
      </c>
      <c r="C283" s="25" t="s">
        <v>37</v>
      </c>
      <c r="D283" s="14" t="s">
        <v>23</v>
      </c>
      <c r="E283" s="26">
        <v>0</v>
      </c>
      <c r="F283" s="26">
        <v>0</v>
      </c>
      <c r="G283" s="26">
        <v>0</v>
      </c>
      <c r="H283" s="26">
        <v>0</v>
      </c>
      <c r="I283" s="26">
        <v>0</v>
      </c>
      <c r="J283" s="26">
        <v>0</v>
      </c>
      <c r="K283" s="26">
        <v>0</v>
      </c>
      <c r="L283" s="27">
        <v>0</v>
      </c>
      <c r="M283" s="27">
        <v>0</v>
      </c>
      <c r="N283" s="28">
        <v>0</v>
      </c>
      <c r="O283" s="26">
        <v>0</v>
      </c>
      <c r="P283" s="26">
        <v>0</v>
      </c>
      <c r="Q283" s="33">
        <v>0</v>
      </c>
      <c r="R283" s="34">
        <v>0</v>
      </c>
      <c r="S283" s="34">
        <v>0</v>
      </c>
      <c r="T283" s="20">
        <v>0</v>
      </c>
      <c r="U283" s="21" t="s">
        <v>24</v>
      </c>
      <c r="V283" s="22">
        <f>IFERROR(RAW[[#This Row],[ACTUAL GROSS]]/RAW[[#This Row],[CONVERTED]],0)</f>
        <v>0</v>
      </c>
      <c r="W283" s="22">
        <f>IFERROR(RAW[[#This Row],[SALES]]/RAW[[#This Row],[HOURLY PAY]],0)</f>
        <v>0</v>
      </c>
    </row>
    <row r="284" spans="1:23" x14ac:dyDescent="0.35">
      <c r="A284" s="23">
        <v>45232</v>
      </c>
      <c r="B284" s="24" t="s">
        <v>21</v>
      </c>
      <c r="C284" s="25" t="s">
        <v>37</v>
      </c>
      <c r="D284" s="14" t="s">
        <v>26</v>
      </c>
      <c r="E284" s="26">
        <v>0</v>
      </c>
      <c r="F284" s="26">
        <v>0</v>
      </c>
      <c r="G284" s="26">
        <v>0</v>
      </c>
      <c r="H284" s="26">
        <v>0</v>
      </c>
      <c r="I284" s="26">
        <v>0</v>
      </c>
      <c r="J284" s="26">
        <v>0</v>
      </c>
      <c r="K284" s="26">
        <v>0</v>
      </c>
      <c r="L284" s="27">
        <v>0</v>
      </c>
      <c r="M284" s="27">
        <v>0</v>
      </c>
      <c r="N284" s="28">
        <v>0</v>
      </c>
      <c r="O284" s="26">
        <v>0</v>
      </c>
      <c r="P284" s="26">
        <v>0</v>
      </c>
      <c r="Q284" s="33">
        <v>0</v>
      </c>
      <c r="R284" s="34">
        <v>0</v>
      </c>
      <c r="S284" s="34">
        <v>0</v>
      </c>
      <c r="T284" s="20">
        <v>0</v>
      </c>
      <c r="U284" s="21" t="s">
        <v>24</v>
      </c>
      <c r="V284" s="31">
        <f>IFERROR(RAW[[#This Row],[ACTUAL GROSS]]/RAW[[#This Row],[CONVERTED]],0)</f>
        <v>0</v>
      </c>
      <c r="W284" s="22">
        <f>IFERROR(RAW[[#This Row],[SALES]]/RAW[[#This Row],[HOURLY PAY]],0)</f>
        <v>0</v>
      </c>
    </row>
    <row r="285" spans="1:23" x14ac:dyDescent="0.35">
      <c r="A285" s="23">
        <v>45232</v>
      </c>
      <c r="B285" s="24" t="s">
        <v>25</v>
      </c>
      <c r="C285" s="25" t="s">
        <v>37</v>
      </c>
      <c r="D285" s="14" t="s">
        <v>26</v>
      </c>
      <c r="E285" s="26">
        <v>0</v>
      </c>
      <c r="F285" s="26">
        <v>0</v>
      </c>
      <c r="G285" s="26">
        <v>0</v>
      </c>
      <c r="H285" s="26">
        <v>0</v>
      </c>
      <c r="I285" s="26">
        <v>0</v>
      </c>
      <c r="J285" s="26">
        <v>0</v>
      </c>
      <c r="K285" s="26">
        <v>0</v>
      </c>
      <c r="L285" s="27">
        <v>0</v>
      </c>
      <c r="M285" s="27">
        <v>0</v>
      </c>
      <c r="N285" s="28">
        <v>0</v>
      </c>
      <c r="O285" s="26">
        <v>0</v>
      </c>
      <c r="P285" s="26">
        <v>0</v>
      </c>
      <c r="Q285" s="33">
        <v>0</v>
      </c>
      <c r="R285" s="34">
        <v>0</v>
      </c>
      <c r="S285" s="34">
        <v>0</v>
      </c>
      <c r="T285" s="20">
        <v>0</v>
      </c>
      <c r="U285" s="21" t="s">
        <v>24</v>
      </c>
      <c r="V285" s="22">
        <f>IFERROR(RAW[[#This Row],[ACTUAL GROSS]]/RAW[[#This Row],[CONVERTED]],0)</f>
        <v>0</v>
      </c>
      <c r="W285" s="22">
        <f>IFERROR(RAW[[#This Row],[SALES]]/RAW[[#This Row],[HOURLY PAY]],0)</f>
        <v>0</v>
      </c>
    </row>
    <row r="286" spans="1:23" x14ac:dyDescent="0.35">
      <c r="A286" s="23">
        <v>45233</v>
      </c>
      <c r="B286" s="24" t="s">
        <v>21</v>
      </c>
      <c r="C286" s="25" t="s">
        <v>37</v>
      </c>
      <c r="D286" s="14" t="s">
        <v>27</v>
      </c>
      <c r="E286" s="26">
        <v>0</v>
      </c>
      <c r="F286" s="26">
        <v>0</v>
      </c>
      <c r="G286" s="26">
        <v>0</v>
      </c>
      <c r="H286" s="26">
        <v>0</v>
      </c>
      <c r="I286" s="26">
        <v>0</v>
      </c>
      <c r="J286" s="26">
        <v>0</v>
      </c>
      <c r="K286" s="26">
        <v>0</v>
      </c>
      <c r="L286" s="27">
        <v>0</v>
      </c>
      <c r="M286" s="27">
        <v>0</v>
      </c>
      <c r="N286" s="28">
        <v>0</v>
      </c>
      <c r="O286" s="26">
        <v>0</v>
      </c>
      <c r="P286" s="26">
        <v>0</v>
      </c>
      <c r="Q286" s="33">
        <v>0</v>
      </c>
      <c r="R286" s="34">
        <v>0</v>
      </c>
      <c r="S286" s="34">
        <v>0</v>
      </c>
      <c r="T286" s="20">
        <v>0</v>
      </c>
      <c r="U286" s="21" t="s">
        <v>24</v>
      </c>
      <c r="V286" s="22">
        <f>IFERROR(RAW[[#This Row],[ACTUAL GROSS]]/RAW[[#This Row],[CONVERTED]],0)</f>
        <v>0</v>
      </c>
      <c r="W286" s="22">
        <f>IFERROR(RAW[[#This Row],[SALES]]/RAW[[#This Row],[HOURLY PAY]],0)</f>
        <v>0</v>
      </c>
    </row>
    <row r="287" spans="1:23" x14ac:dyDescent="0.35">
      <c r="A287" s="23">
        <v>45233</v>
      </c>
      <c r="B287" s="24" t="s">
        <v>25</v>
      </c>
      <c r="C287" s="25" t="s">
        <v>37</v>
      </c>
      <c r="D287" s="14" t="s">
        <v>27</v>
      </c>
      <c r="E287" s="26">
        <v>1618.5</v>
      </c>
      <c r="F287" s="26">
        <v>317.17</v>
      </c>
      <c r="G287" s="26">
        <v>71</v>
      </c>
      <c r="H287" s="26">
        <v>64.739999999999995</v>
      </c>
      <c r="I287" s="26">
        <v>5.3284560000000001</v>
      </c>
      <c r="J287" s="26">
        <v>0</v>
      </c>
      <c r="K287" s="26">
        <v>247.10154400000002</v>
      </c>
      <c r="L287" s="27">
        <v>7</v>
      </c>
      <c r="M287" s="27">
        <v>5</v>
      </c>
      <c r="N287" s="28">
        <v>7.083333333333333</v>
      </c>
      <c r="O287" s="26">
        <v>15.087499999999999</v>
      </c>
      <c r="P287" s="26">
        <v>262.18904400000002</v>
      </c>
      <c r="Q287" s="33">
        <v>333.18904399999997</v>
      </c>
      <c r="R287" s="34">
        <v>1</v>
      </c>
      <c r="S287" s="34">
        <v>0</v>
      </c>
      <c r="T287" s="20">
        <v>0</v>
      </c>
      <c r="U287" s="21" t="s">
        <v>24</v>
      </c>
      <c r="V287" s="22">
        <f>IFERROR(RAW[[#This Row],[ACTUAL GROSS]]/RAW[[#This Row],[CONVERTED]],0)</f>
        <v>47.038453270588235</v>
      </c>
      <c r="W287" s="22">
        <f>IFERROR(RAW[[#This Row],[SALES]]/RAW[[#This Row],[HOURLY PAY]],0)</f>
        <v>107.27423363711682</v>
      </c>
    </row>
    <row r="288" spans="1:23" x14ac:dyDescent="0.35">
      <c r="A288" s="23">
        <v>45234</v>
      </c>
      <c r="B288" s="24" t="s">
        <v>21</v>
      </c>
      <c r="C288" s="25" t="s">
        <v>37</v>
      </c>
      <c r="D288" s="14" t="s">
        <v>28</v>
      </c>
      <c r="E288" s="26">
        <v>0</v>
      </c>
      <c r="F288" s="26">
        <v>0</v>
      </c>
      <c r="G288" s="26">
        <v>0</v>
      </c>
      <c r="H288" s="26">
        <v>0</v>
      </c>
      <c r="I288" s="26">
        <v>0</v>
      </c>
      <c r="J288" s="26">
        <v>0</v>
      </c>
      <c r="K288" s="26">
        <v>0</v>
      </c>
      <c r="L288" s="27">
        <v>0</v>
      </c>
      <c r="M288" s="27">
        <v>0</v>
      </c>
      <c r="N288" s="28">
        <v>0</v>
      </c>
      <c r="O288" s="26">
        <v>0</v>
      </c>
      <c r="P288" s="26">
        <v>0</v>
      </c>
      <c r="Q288" s="33">
        <v>0</v>
      </c>
      <c r="R288" s="34">
        <v>0</v>
      </c>
      <c r="S288" s="34">
        <v>0</v>
      </c>
      <c r="T288" s="20">
        <v>0</v>
      </c>
      <c r="U288" s="21" t="s">
        <v>24</v>
      </c>
      <c r="V288" s="22">
        <f>IFERROR(RAW[[#This Row],[ACTUAL GROSS]]/RAW[[#This Row],[CONVERTED]],0)</f>
        <v>0</v>
      </c>
      <c r="W288" s="22">
        <f>IFERROR(RAW[[#This Row],[SALES]]/RAW[[#This Row],[HOURLY PAY]],0)</f>
        <v>0</v>
      </c>
    </row>
    <row r="289" spans="1:23" x14ac:dyDescent="0.35">
      <c r="A289" s="23">
        <v>45234</v>
      </c>
      <c r="B289" s="24" t="s">
        <v>25</v>
      </c>
      <c r="C289" s="25" t="s">
        <v>37</v>
      </c>
      <c r="D289" s="14" t="s">
        <v>28</v>
      </c>
      <c r="E289" s="26">
        <v>1228.5</v>
      </c>
      <c r="F289" s="26">
        <v>196.16</v>
      </c>
      <c r="G289" s="26">
        <v>36</v>
      </c>
      <c r="H289" s="26">
        <v>49.14</v>
      </c>
      <c r="I289" s="26">
        <v>3.2954879999999998</v>
      </c>
      <c r="J289" s="26">
        <v>14</v>
      </c>
      <c r="K289" s="26">
        <v>143.724512</v>
      </c>
      <c r="L289" s="27">
        <v>6</v>
      </c>
      <c r="M289" s="27">
        <v>51</v>
      </c>
      <c r="N289" s="28">
        <v>6.85</v>
      </c>
      <c r="O289" s="26">
        <v>14.590499999999999</v>
      </c>
      <c r="P289" s="26">
        <v>172.315012</v>
      </c>
      <c r="Q289" s="33">
        <v>194.315012</v>
      </c>
      <c r="R289" s="34">
        <v>1</v>
      </c>
      <c r="S289" s="34">
        <v>0</v>
      </c>
      <c r="T289" s="20">
        <v>0</v>
      </c>
      <c r="U289" s="21" t="s">
        <v>24</v>
      </c>
      <c r="V289" s="22">
        <f>IFERROR(RAW[[#This Row],[ACTUAL GROSS]]/RAW[[#This Row],[CONVERTED]],0)</f>
        <v>28.367155036496353</v>
      </c>
      <c r="W289" s="22">
        <f>IFERROR(RAW[[#This Row],[SALES]]/RAW[[#This Row],[HOURLY PAY]],0)</f>
        <v>84.198622391282001</v>
      </c>
    </row>
    <row r="290" spans="1:23" x14ac:dyDescent="0.35">
      <c r="A290" s="23">
        <v>45235</v>
      </c>
      <c r="B290" s="24" t="s">
        <v>21</v>
      </c>
      <c r="C290" s="25" t="s">
        <v>37</v>
      </c>
      <c r="D290" s="14" t="s">
        <v>29</v>
      </c>
      <c r="E290" s="26">
        <v>0</v>
      </c>
      <c r="F290" s="26">
        <v>0</v>
      </c>
      <c r="G290" s="26">
        <v>0</v>
      </c>
      <c r="H290" s="26">
        <v>0</v>
      </c>
      <c r="I290" s="26">
        <v>0</v>
      </c>
      <c r="J290" s="26">
        <v>0</v>
      </c>
      <c r="K290" s="26">
        <v>0</v>
      </c>
      <c r="L290" s="27">
        <v>0</v>
      </c>
      <c r="M290" s="27">
        <v>0</v>
      </c>
      <c r="N290" s="28">
        <v>0</v>
      </c>
      <c r="O290" s="26">
        <v>0</v>
      </c>
      <c r="P290" s="26">
        <v>0</v>
      </c>
      <c r="Q290" s="33">
        <v>0</v>
      </c>
      <c r="R290" s="34">
        <v>0</v>
      </c>
      <c r="S290" s="34">
        <v>0</v>
      </c>
      <c r="T290" s="20">
        <v>0</v>
      </c>
      <c r="U290" s="21" t="s">
        <v>24</v>
      </c>
      <c r="V290" s="22">
        <f>IFERROR(RAW[[#This Row],[ACTUAL GROSS]]/RAW[[#This Row],[CONVERTED]],0)</f>
        <v>0</v>
      </c>
      <c r="W290" s="22">
        <f>IFERROR(RAW[[#This Row],[SALES]]/RAW[[#This Row],[HOURLY PAY]],0)</f>
        <v>0</v>
      </c>
    </row>
    <row r="291" spans="1:23" x14ac:dyDescent="0.35">
      <c r="A291" s="23">
        <v>45235</v>
      </c>
      <c r="B291" s="24" t="s">
        <v>25</v>
      </c>
      <c r="C291" s="25" t="s">
        <v>37</v>
      </c>
      <c r="D291" s="14" t="s">
        <v>29</v>
      </c>
      <c r="E291" s="26">
        <v>0</v>
      </c>
      <c r="F291" s="26">
        <v>0</v>
      </c>
      <c r="G291" s="26">
        <v>0</v>
      </c>
      <c r="H291" s="26">
        <v>0</v>
      </c>
      <c r="I291" s="26">
        <v>0</v>
      </c>
      <c r="J291" s="26">
        <v>0</v>
      </c>
      <c r="K291" s="26">
        <v>0</v>
      </c>
      <c r="L291" s="27">
        <v>0</v>
      </c>
      <c r="M291" s="27">
        <v>0</v>
      </c>
      <c r="N291" s="28">
        <v>0</v>
      </c>
      <c r="O291" s="26">
        <v>0</v>
      </c>
      <c r="P291" s="26">
        <v>0</v>
      </c>
      <c r="Q291" s="33">
        <v>0</v>
      </c>
      <c r="R291" s="34">
        <v>0</v>
      </c>
      <c r="S291" s="34">
        <v>0</v>
      </c>
      <c r="T291" s="20">
        <v>0</v>
      </c>
      <c r="U291" s="21" t="s">
        <v>24</v>
      </c>
      <c r="V291" s="22">
        <f>IFERROR(RAW[[#This Row],[ACTUAL GROSS]]/RAW[[#This Row],[CONVERTED]],0)</f>
        <v>0</v>
      </c>
      <c r="W291" s="22">
        <f>IFERROR(RAW[[#This Row],[SALES]]/RAW[[#This Row],[HOURLY PAY]],0)</f>
        <v>0</v>
      </c>
    </row>
    <row r="292" spans="1:23" x14ac:dyDescent="0.35">
      <c r="A292" s="23">
        <v>45236</v>
      </c>
      <c r="B292" s="24" t="s">
        <v>21</v>
      </c>
      <c r="C292" s="25" t="s">
        <v>37</v>
      </c>
      <c r="D292" s="14" t="s">
        <v>30</v>
      </c>
      <c r="E292" s="26">
        <v>0</v>
      </c>
      <c r="F292" s="26">
        <v>0</v>
      </c>
      <c r="G292" s="26">
        <v>0</v>
      </c>
      <c r="H292" s="26">
        <v>0</v>
      </c>
      <c r="I292" s="26">
        <v>0</v>
      </c>
      <c r="J292" s="26">
        <v>0</v>
      </c>
      <c r="K292" s="26">
        <v>0</v>
      </c>
      <c r="L292" s="27">
        <v>0</v>
      </c>
      <c r="M292" s="27">
        <v>0</v>
      </c>
      <c r="N292" s="28">
        <v>0</v>
      </c>
      <c r="O292" s="26">
        <v>0</v>
      </c>
      <c r="P292" s="26">
        <v>0</v>
      </c>
      <c r="Q292" s="33">
        <v>0</v>
      </c>
      <c r="R292" s="34">
        <v>0</v>
      </c>
      <c r="S292" s="34">
        <v>0</v>
      </c>
      <c r="T292" s="20">
        <v>0</v>
      </c>
      <c r="U292" s="21" t="s">
        <v>24</v>
      </c>
      <c r="V292" s="22">
        <f>IFERROR(RAW[[#This Row],[ACTUAL GROSS]]/RAW[[#This Row],[CONVERTED]],0)</f>
        <v>0</v>
      </c>
      <c r="W292" s="22">
        <f>IFERROR(RAW[[#This Row],[SALES]]/RAW[[#This Row],[HOURLY PAY]],0)</f>
        <v>0</v>
      </c>
    </row>
    <row r="293" spans="1:23" x14ac:dyDescent="0.35">
      <c r="A293" s="23">
        <v>45236</v>
      </c>
      <c r="B293" s="24" t="s">
        <v>25</v>
      </c>
      <c r="C293" s="25" t="s">
        <v>37</v>
      </c>
      <c r="D293" s="14" t="s">
        <v>30</v>
      </c>
      <c r="E293" s="26">
        <v>1127.25</v>
      </c>
      <c r="F293" s="26">
        <v>214.92</v>
      </c>
      <c r="G293" s="26">
        <v>14</v>
      </c>
      <c r="H293" s="26">
        <v>45.09</v>
      </c>
      <c r="I293" s="26">
        <v>3.6106559999999996</v>
      </c>
      <c r="J293" s="26">
        <v>4.95</v>
      </c>
      <c r="K293" s="26">
        <v>166.21934399999998</v>
      </c>
      <c r="L293" s="27">
        <v>6</v>
      </c>
      <c r="M293" s="27">
        <v>24</v>
      </c>
      <c r="N293" s="28">
        <v>6.4</v>
      </c>
      <c r="O293" s="26">
        <v>13.632</v>
      </c>
      <c r="P293" s="26">
        <v>184.80134399999997</v>
      </c>
      <c r="Q293" s="33">
        <v>193.85134399999998</v>
      </c>
      <c r="R293" s="34">
        <v>1</v>
      </c>
      <c r="S293" s="34">
        <v>0</v>
      </c>
      <c r="T293" s="20">
        <v>0</v>
      </c>
      <c r="U293" s="21" t="s">
        <v>24</v>
      </c>
      <c r="V293" s="22">
        <f>IFERROR(RAW[[#This Row],[ACTUAL GROSS]]/RAW[[#This Row],[CONVERTED]],0)</f>
        <v>30.289272499999996</v>
      </c>
      <c r="W293" s="22">
        <f>IFERROR(RAW[[#This Row],[SALES]]/RAW[[#This Row],[HOURLY PAY]],0)</f>
        <v>82.691461267605632</v>
      </c>
    </row>
    <row r="294" spans="1:23" x14ac:dyDescent="0.35">
      <c r="A294" s="23">
        <v>45237</v>
      </c>
      <c r="B294" s="24" t="s">
        <v>21</v>
      </c>
      <c r="C294" s="25" t="s">
        <v>37</v>
      </c>
      <c r="D294" s="14" t="s">
        <v>31</v>
      </c>
      <c r="E294" s="26">
        <v>591.5</v>
      </c>
      <c r="F294" s="26">
        <v>117.27</v>
      </c>
      <c r="G294" s="26">
        <v>0</v>
      </c>
      <c r="H294" s="26">
        <v>23.66</v>
      </c>
      <c r="I294" s="26">
        <v>1.9701359999999999</v>
      </c>
      <c r="J294" s="26">
        <v>0</v>
      </c>
      <c r="K294" s="26">
        <v>91.639863999999989</v>
      </c>
      <c r="L294" s="27">
        <v>3</v>
      </c>
      <c r="M294" s="27">
        <v>3</v>
      </c>
      <c r="N294" s="28">
        <v>3.05</v>
      </c>
      <c r="O294" s="26">
        <v>6.4964999999999993</v>
      </c>
      <c r="P294" s="26">
        <v>98.136363999999986</v>
      </c>
      <c r="Q294" s="33">
        <v>98.136363999999986</v>
      </c>
      <c r="R294" s="34">
        <v>1</v>
      </c>
      <c r="S294" s="34">
        <v>1</v>
      </c>
      <c r="T294" s="20">
        <v>0</v>
      </c>
      <c r="U294" s="21" t="s">
        <v>34</v>
      </c>
      <c r="V294" s="22">
        <f>IFERROR(RAW[[#This Row],[ACTUAL GROSS]]/RAW[[#This Row],[CONVERTED]],0)</f>
        <v>32.175857049180323</v>
      </c>
      <c r="W294" s="22">
        <f>IFERROR(RAW[[#This Row],[SALES]]/RAW[[#This Row],[HOURLY PAY]],0)</f>
        <v>91.049026398830151</v>
      </c>
    </row>
    <row r="295" spans="1:23" x14ac:dyDescent="0.35">
      <c r="A295" s="23">
        <v>45237</v>
      </c>
      <c r="B295" s="24" t="s">
        <v>25</v>
      </c>
      <c r="C295" s="25" t="s">
        <v>37</v>
      </c>
      <c r="D295" s="14" t="s">
        <v>31</v>
      </c>
      <c r="E295" s="26">
        <v>947.5</v>
      </c>
      <c r="F295" s="26">
        <v>148.53</v>
      </c>
      <c r="G295" s="26">
        <v>58</v>
      </c>
      <c r="H295" s="26">
        <v>37.9</v>
      </c>
      <c r="I295" s="26">
        <v>2.495304</v>
      </c>
      <c r="J295" s="26">
        <v>18</v>
      </c>
      <c r="K295" s="26">
        <v>108.13469600000001</v>
      </c>
      <c r="L295" s="27">
        <v>5</v>
      </c>
      <c r="M295" s="27">
        <v>2</v>
      </c>
      <c r="N295" s="28">
        <v>5.0333333333333332</v>
      </c>
      <c r="O295" s="26">
        <v>10.721</v>
      </c>
      <c r="P295" s="26">
        <v>136.85569599999999</v>
      </c>
      <c r="Q295" s="33">
        <v>176.85569600000002</v>
      </c>
      <c r="R295" s="34">
        <v>1</v>
      </c>
      <c r="S295" s="34">
        <v>0</v>
      </c>
      <c r="T295" s="20">
        <v>1</v>
      </c>
      <c r="U295" s="21" t="s">
        <v>34</v>
      </c>
      <c r="V295" s="22">
        <f>IFERROR(RAW[[#This Row],[ACTUAL GROSS]]/RAW[[#This Row],[CONVERTED]],0)</f>
        <v>35.136893245033122</v>
      </c>
      <c r="W295" s="22">
        <f>IFERROR(RAW[[#This Row],[SALES]]/RAW[[#This Row],[HOURLY PAY]],0)</f>
        <v>88.377949818113976</v>
      </c>
    </row>
    <row r="296" spans="1:23" x14ac:dyDescent="0.35">
      <c r="A296" s="23">
        <v>45238</v>
      </c>
      <c r="B296" s="24" t="s">
        <v>21</v>
      </c>
      <c r="C296" s="25" t="s">
        <v>37</v>
      </c>
      <c r="D296" s="14" t="s">
        <v>23</v>
      </c>
      <c r="E296" s="26">
        <v>0</v>
      </c>
      <c r="F296" s="26">
        <v>0</v>
      </c>
      <c r="G296" s="26">
        <v>0</v>
      </c>
      <c r="H296" s="26">
        <v>0</v>
      </c>
      <c r="I296" s="26">
        <v>0</v>
      </c>
      <c r="J296" s="26">
        <v>0</v>
      </c>
      <c r="K296" s="26">
        <v>0</v>
      </c>
      <c r="L296" s="27">
        <v>0</v>
      </c>
      <c r="M296" s="27">
        <v>0</v>
      </c>
      <c r="N296" s="28">
        <v>0</v>
      </c>
      <c r="O296" s="26">
        <v>0</v>
      </c>
      <c r="P296" s="26">
        <v>0</v>
      </c>
      <c r="Q296" s="33">
        <v>0</v>
      </c>
      <c r="R296" s="34">
        <v>0</v>
      </c>
      <c r="S296" s="34">
        <v>0</v>
      </c>
      <c r="T296" s="20">
        <v>0</v>
      </c>
      <c r="U296" s="21" t="s">
        <v>24</v>
      </c>
      <c r="V296" s="22">
        <f>IFERROR(RAW[[#This Row],[ACTUAL GROSS]]/RAW[[#This Row],[CONVERTED]],0)</f>
        <v>0</v>
      </c>
      <c r="W296" s="22">
        <f>IFERROR(RAW[[#This Row],[SALES]]/RAW[[#This Row],[HOURLY PAY]],0)</f>
        <v>0</v>
      </c>
    </row>
    <row r="297" spans="1:23" x14ac:dyDescent="0.35">
      <c r="A297" s="23">
        <v>45238</v>
      </c>
      <c r="B297" s="24" t="s">
        <v>25</v>
      </c>
      <c r="C297" s="25" t="s">
        <v>37</v>
      </c>
      <c r="D297" s="14" t="s">
        <v>23</v>
      </c>
      <c r="E297" s="26">
        <v>0</v>
      </c>
      <c r="F297" s="26">
        <v>0</v>
      </c>
      <c r="G297" s="26">
        <v>0</v>
      </c>
      <c r="H297" s="26">
        <v>0</v>
      </c>
      <c r="I297" s="26">
        <v>0</v>
      </c>
      <c r="J297" s="26">
        <v>0</v>
      </c>
      <c r="K297" s="26">
        <v>0</v>
      </c>
      <c r="L297" s="27">
        <v>0</v>
      </c>
      <c r="M297" s="27">
        <v>0</v>
      </c>
      <c r="N297" s="28">
        <v>0</v>
      </c>
      <c r="O297" s="26">
        <v>0</v>
      </c>
      <c r="P297" s="26">
        <v>0</v>
      </c>
      <c r="Q297" s="33">
        <v>0</v>
      </c>
      <c r="R297" s="34">
        <v>0</v>
      </c>
      <c r="S297" s="34">
        <v>0</v>
      </c>
      <c r="T297" s="20">
        <v>0</v>
      </c>
      <c r="U297" s="21" t="s">
        <v>24</v>
      </c>
      <c r="V297" s="22">
        <f>IFERROR(RAW[[#This Row],[ACTUAL GROSS]]/RAW[[#This Row],[CONVERTED]],0)</f>
        <v>0</v>
      </c>
      <c r="W297" s="22">
        <f>IFERROR(RAW[[#This Row],[SALES]]/RAW[[#This Row],[HOURLY PAY]],0)</f>
        <v>0</v>
      </c>
    </row>
    <row r="298" spans="1:23" x14ac:dyDescent="0.35">
      <c r="A298" s="23">
        <v>45239</v>
      </c>
      <c r="B298" s="24" t="s">
        <v>21</v>
      </c>
      <c r="C298" s="25" t="s">
        <v>37</v>
      </c>
      <c r="D298" s="14" t="s">
        <v>26</v>
      </c>
      <c r="E298" s="26">
        <v>0</v>
      </c>
      <c r="F298" s="26">
        <v>0</v>
      </c>
      <c r="G298" s="26">
        <v>0</v>
      </c>
      <c r="H298" s="26">
        <v>0</v>
      </c>
      <c r="I298" s="26">
        <v>0</v>
      </c>
      <c r="J298" s="26">
        <v>0</v>
      </c>
      <c r="K298" s="26">
        <v>0</v>
      </c>
      <c r="L298" s="27">
        <v>0</v>
      </c>
      <c r="M298" s="27">
        <v>0</v>
      </c>
      <c r="N298" s="28">
        <v>0</v>
      </c>
      <c r="O298" s="26">
        <v>0</v>
      </c>
      <c r="P298" s="26">
        <v>0</v>
      </c>
      <c r="Q298" s="33">
        <v>0</v>
      </c>
      <c r="R298" s="34">
        <v>0</v>
      </c>
      <c r="S298" s="34">
        <v>0</v>
      </c>
      <c r="T298" s="20">
        <v>0</v>
      </c>
      <c r="U298" s="21" t="s">
        <v>24</v>
      </c>
      <c r="V298" s="31">
        <f>IFERROR(RAW[[#This Row],[ACTUAL GROSS]]/RAW[[#This Row],[CONVERTED]],0)</f>
        <v>0</v>
      </c>
      <c r="W298" s="22">
        <f>IFERROR(RAW[[#This Row],[SALES]]/RAW[[#This Row],[HOURLY PAY]],0)</f>
        <v>0</v>
      </c>
    </row>
    <row r="299" spans="1:23" x14ac:dyDescent="0.35">
      <c r="A299" s="23">
        <v>45239</v>
      </c>
      <c r="B299" s="24" t="s">
        <v>25</v>
      </c>
      <c r="C299" s="25" t="s">
        <v>37</v>
      </c>
      <c r="D299" s="14" t="s">
        <v>26</v>
      </c>
      <c r="E299" s="26">
        <v>0</v>
      </c>
      <c r="F299" s="26">
        <v>0</v>
      </c>
      <c r="G299" s="26">
        <v>0</v>
      </c>
      <c r="H299" s="26">
        <v>0</v>
      </c>
      <c r="I299" s="26">
        <v>0</v>
      </c>
      <c r="J299" s="26">
        <v>0</v>
      </c>
      <c r="K299" s="26">
        <v>0</v>
      </c>
      <c r="L299" s="27">
        <v>0</v>
      </c>
      <c r="M299" s="27">
        <v>0</v>
      </c>
      <c r="N299" s="28">
        <v>0</v>
      </c>
      <c r="O299" s="26">
        <v>0</v>
      </c>
      <c r="P299" s="26">
        <v>0</v>
      </c>
      <c r="Q299" s="33">
        <v>0</v>
      </c>
      <c r="R299" s="34">
        <v>0</v>
      </c>
      <c r="S299" s="34">
        <v>0</v>
      </c>
      <c r="T299" s="20">
        <v>0</v>
      </c>
      <c r="U299" s="21" t="s">
        <v>24</v>
      </c>
      <c r="V299" s="22">
        <f>IFERROR(RAW[[#This Row],[ACTUAL GROSS]]/RAW[[#This Row],[CONVERTED]],0)</f>
        <v>0</v>
      </c>
      <c r="W299" s="22">
        <f>IFERROR(RAW[[#This Row],[SALES]]/RAW[[#This Row],[HOURLY PAY]],0)</f>
        <v>0</v>
      </c>
    </row>
    <row r="300" spans="1:23" x14ac:dyDescent="0.35">
      <c r="A300" s="23">
        <v>45240</v>
      </c>
      <c r="B300" s="24" t="s">
        <v>21</v>
      </c>
      <c r="C300" s="25" t="s">
        <v>37</v>
      </c>
      <c r="D300" s="14" t="s">
        <v>27</v>
      </c>
      <c r="E300" s="26">
        <v>0</v>
      </c>
      <c r="F300" s="26">
        <v>0</v>
      </c>
      <c r="G300" s="26">
        <v>0</v>
      </c>
      <c r="H300" s="26">
        <v>0</v>
      </c>
      <c r="I300" s="26">
        <v>0</v>
      </c>
      <c r="J300" s="26">
        <v>0</v>
      </c>
      <c r="K300" s="26">
        <v>0</v>
      </c>
      <c r="L300" s="27">
        <v>0</v>
      </c>
      <c r="M300" s="27">
        <v>0</v>
      </c>
      <c r="N300" s="28">
        <v>0</v>
      </c>
      <c r="O300" s="26">
        <v>0</v>
      </c>
      <c r="P300" s="26">
        <v>0</v>
      </c>
      <c r="Q300" s="33">
        <v>0</v>
      </c>
      <c r="R300" s="34">
        <v>0</v>
      </c>
      <c r="S300" s="34">
        <v>0</v>
      </c>
      <c r="T300" s="20">
        <v>0</v>
      </c>
      <c r="U300" s="21" t="s">
        <v>24</v>
      </c>
      <c r="V300" s="22">
        <f>IFERROR(RAW[[#This Row],[ACTUAL GROSS]]/RAW[[#This Row],[CONVERTED]],0)</f>
        <v>0</v>
      </c>
      <c r="W300" s="22">
        <f>IFERROR(RAW[[#This Row],[SALES]]/RAW[[#This Row],[HOURLY PAY]],0)</f>
        <v>0</v>
      </c>
    </row>
    <row r="301" spans="1:23" x14ac:dyDescent="0.35">
      <c r="A301" s="23">
        <v>45240</v>
      </c>
      <c r="B301" s="24" t="s">
        <v>25</v>
      </c>
      <c r="C301" s="25" t="s">
        <v>37</v>
      </c>
      <c r="D301" s="14" t="s">
        <v>27</v>
      </c>
      <c r="E301" s="26">
        <v>1505</v>
      </c>
      <c r="F301" s="26">
        <v>280.58999999999997</v>
      </c>
      <c r="G301" s="26">
        <v>6</v>
      </c>
      <c r="H301" s="26">
        <v>60.2</v>
      </c>
      <c r="I301" s="26">
        <v>4.7139119999999997</v>
      </c>
      <c r="J301" s="26">
        <v>2.5</v>
      </c>
      <c r="K301" s="26">
        <v>215.67608799999999</v>
      </c>
      <c r="L301" s="27">
        <v>6</v>
      </c>
      <c r="M301" s="27">
        <v>46</v>
      </c>
      <c r="N301" s="28">
        <v>6.7666666666666666</v>
      </c>
      <c r="O301" s="26">
        <v>14.412999999999998</v>
      </c>
      <c r="P301" s="26">
        <v>232.589088</v>
      </c>
      <c r="Q301" s="33">
        <v>236.089088</v>
      </c>
      <c r="R301" s="34">
        <v>1</v>
      </c>
      <c r="S301" s="34">
        <v>0</v>
      </c>
      <c r="T301" s="20">
        <v>0</v>
      </c>
      <c r="U301" s="21" t="s">
        <v>24</v>
      </c>
      <c r="V301" s="22">
        <f>IFERROR(RAW[[#This Row],[ACTUAL GROSS]]/RAW[[#This Row],[CONVERTED]],0)</f>
        <v>34.890013004926111</v>
      </c>
      <c r="W301" s="22">
        <f>IFERROR(RAW[[#This Row],[SALES]]/RAW[[#This Row],[HOURLY PAY]],0)</f>
        <v>104.41962117532783</v>
      </c>
    </row>
    <row r="302" spans="1:23" x14ac:dyDescent="0.35">
      <c r="A302" s="23">
        <v>45241</v>
      </c>
      <c r="B302" s="24" t="s">
        <v>21</v>
      </c>
      <c r="C302" s="25" t="s">
        <v>37</v>
      </c>
      <c r="D302" s="14" t="s">
        <v>28</v>
      </c>
      <c r="E302" s="26">
        <v>0</v>
      </c>
      <c r="F302" s="26">
        <v>0</v>
      </c>
      <c r="G302" s="26">
        <v>0</v>
      </c>
      <c r="H302" s="26">
        <v>0</v>
      </c>
      <c r="I302" s="26">
        <v>0</v>
      </c>
      <c r="J302" s="26">
        <v>0</v>
      </c>
      <c r="K302" s="26">
        <v>0</v>
      </c>
      <c r="L302" s="27">
        <v>0</v>
      </c>
      <c r="M302" s="27">
        <v>0</v>
      </c>
      <c r="N302" s="28">
        <v>0</v>
      </c>
      <c r="O302" s="26">
        <v>0</v>
      </c>
      <c r="P302" s="26">
        <v>0</v>
      </c>
      <c r="Q302" s="33">
        <v>0</v>
      </c>
      <c r="R302" s="34">
        <v>0</v>
      </c>
      <c r="S302" s="34">
        <v>0</v>
      </c>
      <c r="T302" s="20">
        <v>0</v>
      </c>
      <c r="U302" s="21" t="s">
        <v>24</v>
      </c>
      <c r="V302" s="22">
        <f>IFERROR(RAW[[#This Row],[ACTUAL GROSS]]/RAW[[#This Row],[CONVERTED]],0)</f>
        <v>0</v>
      </c>
      <c r="W302" s="22">
        <f>IFERROR(RAW[[#This Row],[SALES]]/RAW[[#This Row],[HOURLY PAY]],0)</f>
        <v>0</v>
      </c>
    </row>
    <row r="303" spans="1:23" x14ac:dyDescent="0.35">
      <c r="A303" s="23">
        <v>45241</v>
      </c>
      <c r="B303" s="24" t="s">
        <v>25</v>
      </c>
      <c r="C303" s="25" t="s">
        <v>37</v>
      </c>
      <c r="D303" s="14" t="s">
        <v>28</v>
      </c>
      <c r="E303" s="26">
        <v>1098</v>
      </c>
      <c r="F303" s="26">
        <v>145.76</v>
      </c>
      <c r="G303" s="26">
        <v>93</v>
      </c>
      <c r="H303" s="26">
        <v>43.92</v>
      </c>
      <c r="I303" s="26">
        <v>2.4487679999999998</v>
      </c>
      <c r="J303" s="26">
        <v>25</v>
      </c>
      <c r="K303" s="26">
        <v>99.391231999999988</v>
      </c>
      <c r="L303" s="27">
        <v>6</v>
      </c>
      <c r="M303" s="27">
        <v>19</v>
      </c>
      <c r="N303" s="28">
        <v>6.3166666666666664</v>
      </c>
      <c r="O303" s="26">
        <v>13.454499999999999</v>
      </c>
      <c r="P303" s="26">
        <v>137.845732</v>
      </c>
      <c r="Q303" s="33">
        <v>205.845732</v>
      </c>
      <c r="R303" s="34">
        <v>1</v>
      </c>
      <c r="S303" s="34">
        <v>0</v>
      </c>
      <c r="T303" s="20">
        <v>0</v>
      </c>
      <c r="U303" s="21" t="s">
        <v>24</v>
      </c>
      <c r="V303" s="22">
        <f>IFERROR(RAW[[#This Row],[ACTUAL GROSS]]/RAW[[#This Row],[CONVERTED]],0)</f>
        <v>32.58771482849604</v>
      </c>
      <c r="W303" s="22">
        <f>IFERROR(RAW[[#This Row],[SALES]]/RAW[[#This Row],[HOURLY PAY]],0)</f>
        <v>81.608383812107476</v>
      </c>
    </row>
    <row r="304" spans="1:23" x14ac:dyDescent="0.35">
      <c r="A304" s="23">
        <v>45242</v>
      </c>
      <c r="B304" s="24" t="s">
        <v>21</v>
      </c>
      <c r="C304" s="25" t="s">
        <v>37</v>
      </c>
      <c r="D304" s="14" t="s">
        <v>29</v>
      </c>
      <c r="E304" s="26">
        <v>0</v>
      </c>
      <c r="F304" s="26">
        <v>0</v>
      </c>
      <c r="G304" s="26">
        <v>0</v>
      </c>
      <c r="H304" s="26">
        <v>0</v>
      </c>
      <c r="I304" s="26">
        <v>0</v>
      </c>
      <c r="J304" s="26">
        <v>0</v>
      </c>
      <c r="K304" s="26">
        <v>0</v>
      </c>
      <c r="L304" s="27">
        <v>0</v>
      </c>
      <c r="M304" s="27">
        <v>0</v>
      </c>
      <c r="N304" s="28">
        <v>0</v>
      </c>
      <c r="O304" s="26">
        <v>0</v>
      </c>
      <c r="P304" s="26">
        <v>0</v>
      </c>
      <c r="Q304" s="33">
        <v>0</v>
      </c>
      <c r="R304" s="34">
        <v>0</v>
      </c>
      <c r="S304" s="34">
        <v>0</v>
      </c>
      <c r="T304" s="20">
        <v>0</v>
      </c>
      <c r="U304" s="21" t="s">
        <v>24</v>
      </c>
      <c r="V304" s="22">
        <f>IFERROR(RAW[[#This Row],[ACTUAL GROSS]]/RAW[[#This Row],[CONVERTED]],0)</f>
        <v>0</v>
      </c>
      <c r="W304" s="22">
        <f>IFERROR(RAW[[#This Row],[SALES]]/RAW[[#This Row],[HOURLY PAY]],0)</f>
        <v>0</v>
      </c>
    </row>
    <row r="305" spans="1:23" x14ac:dyDescent="0.35">
      <c r="A305" s="23">
        <v>45242</v>
      </c>
      <c r="B305" s="24" t="s">
        <v>25</v>
      </c>
      <c r="C305" s="25" t="s">
        <v>37</v>
      </c>
      <c r="D305" s="14" t="s">
        <v>29</v>
      </c>
      <c r="E305" s="26">
        <v>1284</v>
      </c>
      <c r="F305" s="26">
        <v>251.77</v>
      </c>
      <c r="G305" s="26">
        <v>0</v>
      </c>
      <c r="H305" s="26">
        <v>51.36</v>
      </c>
      <c r="I305" s="26">
        <v>4.2297359999999999</v>
      </c>
      <c r="J305" s="26">
        <v>0</v>
      </c>
      <c r="K305" s="26">
        <v>196.18026400000002</v>
      </c>
      <c r="L305" s="27">
        <v>6</v>
      </c>
      <c r="M305" s="27">
        <v>33</v>
      </c>
      <c r="N305" s="28">
        <v>6.55</v>
      </c>
      <c r="O305" s="26">
        <v>13.951499999999999</v>
      </c>
      <c r="P305" s="26">
        <v>210.13176400000003</v>
      </c>
      <c r="Q305" s="33">
        <v>210.13176400000003</v>
      </c>
      <c r="R305" s="34">
        <v>1</v>
      </c>
      <c r="S305" s="34">
        <v>0</v>
      </c>
      <c r="T305" s="20">
        <v>0</v>
      </c>
      <c r="U305" s="21" t="s">
        <v>24</v>
      </c>
      <c r="V305" s="22">
        <f>IFERROR(RAW[[#This Row],[ACTUAL GROSS]]/RAW[[#This Row],[CONVERTED]],0)</f>
        <v>32.081185343511457</v>
      </c>
      <c r="W305" s="22">
        <f>IFERROR(RAW[[#This Row],[SALES]]/RAW[[#This Row],[HOURLY PAY]],0)</f>
        <v>92.033114718847443</v>
      </c>
    </row>
    <row r="306" spans="1:23" x14ac:dyDescent="0.35">
      <c r="A306" s="23">
        <v>45243</v>
      </c>
      <c r="B306" s="24" t="s">
        <v>21</v>
      </c>
      <c r="C306" s="25" t="s">
        <v>37</v>
      </c>
      <c r="D306" s="14" t="s">
        <v>30</v>
      </c>
      <c r="E306" s="26">
        <v>568</v>
      </c>
      <c r="F306" s="26">
        <v>112.02</v>
      </c>
      <c r="G306" s="26">
        <v>0</v>
      </c>
      <c r="H306" s="26">
        <v>22.72</v>
      </c>
      <c r="I306" s="26">
        <v>1.8819359999999998</v>
      </c>
      <c r="J306" s="26">
        <v>0</v>
      </c>
      <c r="K306" s="26">
        <v>87.418064000000001</v>
      </c>
      <c r="L306" s="27">
        <v>4</v>
      </c>
      <c r="M306" s="27">
        <v>38</v>
      </c>
      <c r="N306" s="28">
        <v>4.6333333333333337</v>
      </c>
      <c r="O306" s="26">
        <v>9.8689999999999998</v>
      </c>
      <c r="P306" s="26">
        <v>97.287064000000001</v>
      </c>
      <c r="Q306" s="33">
        <v>97.287064000000001</v>
      </c>
      <c r="R306" s="34">
        <v>1</v>
      </c>
      <c r="S306" s="34">
        <v>1</v>
      </c>
      <c r="T306" s="20">
        <v>0</v>
      </c>
      <c r="U306" s="21" t="s">
        <v>24</v>
      </c>
      <c r="V306" s="22">
        <f>IFERROR(RAW[[#This Row],[ACTUAL GROSS]]/RAW[[#This Row],[CONVERTED]],0)</f>
        <v>20.997208057553955</v>
      </c>
      <c r="W306" s="22">
        <f>IFERROR(RAW[[#This Row],[SALES]]/RAW[[#This Row],[HOURLY PAY]],0)</f>
        <v>57.553956834532379</v>
      </c>
    </row>
    <row r="307" spans="1:23" x14ac:dyDescent="0.35">
      <c r="A307" s="23">
        <v>45243</v>
      </c>
      <c r="B307" s="24" t="s">
        <v>25</v>
      </c>
      <c r="C307" s="25" t="s">
        <v>37</v>
      </c>
      <c r="D307" s="14" t="s">
        <v>30</v>
      </c>
      <c r="E307" s="26">
        <v>0</v>
      </c>
      <c r="F307" s="26">
        <v>0</v>
      </c>
      <c r="G307" s="26">
        <v>0</v>
      </c>
      <c r="H307" s="26">
        <v>0</v>
      </c>
      <c r="I307" s="26">
        <v>0</v>
      </c>
      <c r="J307" s="26">
        <v>0</v>
      </c>
      <c r="K307" s="26">
        <v>0</v>
      </c>
      <c r="L307" s="27">
        <v>0</v>
      </c>
      <c r="M307" s="27">
        <v>0</v>
      </c>
      <c r="N307" s="28">
        <v>0</v>
      </c>
      <c r="O307" s="26">
        <v>0</v>
      </c>
      <c r="P307" s="26">
        <v>0</v>
      </c>
      <c r="Q307" s="33">
        <v>0</v>
      </c>
      <c r="R307" s="34">
        <v>0</v>
      </c>
      <c r="S307" s="34">
        <v>0</v>
      </c>
      <c r="T307" s="20">
        <v>0</v>
      </c>
      <c r="U307" s="21" t="s">
        <v>24</v>
      </c>
      <c r="V307" s="22">
        <f>IFERROR(RAW[[#This Row],[ACTUAL GROSS]]/RAW[[#This Row],[CONVERTED]],0)</f>
        <v>0</v>
      </c>
      <c r="W307" s="22">
        <f>IFERROR(RAW[[#This Row],[SALES]]/RAW[[#This Row],[HOURLY PAY]],0)</f>
        <v>0</v>
      </c>
    </row>
    <row r="308" spans="1:23" x14ac:dyDescent="0.35">
      <c r="A308" s="23">
        <v>45244</v>
      </c>
      <c r="B308" s="24" t="s">
        <v>21</v>
      </c>
      <c r="C308" s="25" t="s">
        <v>37</v>
      </c>
      <c r="D308" s="14" t="s">
        <v>31</v>
      </c>
      <c r="E308" s="26">
        <v>988</v>
      </c>
      <c r="F308" s="26">
        <v>166.58</v>
      </c>
      <c r="G308" s="26">
        <v>15</v>
      </c>
      <c r="H308" s="26">
        <v>39.520000000000003</v>
      </c>
      <c r="I308" s="26">
        <v>2.7985440000000001</v>
      </c>
      <c r="J308" s="26">
        <v>2.75</v>
      </c>
      <c r="K308" s="26">
        <v>124.26145600000001</v>
      </c>
      <c r="L308" s="27">
        <v>4</v>
      </c>
      <c r="M308" s="27">
        <v>32</v>
      </c>
      <c r="N308" s="28">
        <v>4.5333333333333332</v>
      </c>
      <c r="O308" s="26">
        <v>9.6559999999999988</v>
      </c>
      <c r="P308" s="26">
        <v>136.66745600000002</v>
      </c>
      <c r="Q308" s="33">
        <v>148.91745600000002</v>
      </c>
      <c r="R308" s="34">
        <v>1</v>
      </c>
      <c r="S308" s="34">
        <v>1</v>
      </c>
      <c r="T308" s="20">
        <v>0</v>
      </c>
      <c r="U308" s="21" t="s">
        <v>24</v>
      </c>
      <c r="V308" s="22">
        <f>IFERROR(RAW[[#This Row],[ACTUAL GROSS]]/RAW[[#This Row],[CONVERTED]],0)</f>
        <v>32.849438823529418</v>
      </c>
      <c r="W308" s="22">
        <f>IFERROR(RAW[[#This Row],[SALES]]/RAW[[#This Row],[HOURLY PAY]],0)</f>
        <v>102.31980115990059</v>
      </c>
    </row>
    <row r="309" spans="1:23" x14ac:dyDescent="0.35">
      <c r="A309" s="23">
        <v>45244</v>
      </c>
      <c r="B309" s="24" t="s">
        <v>25</v>
      </c>
      <c r="C309" s="25" t="s">
        <v>37</v>
      </c>
      <c r="D309" s="14" t="s">
        <v>31</v>
      </c>
      <c r="E309" s="26">
        <v>0</v>
      </c>
      <c r="F309" s="26">
        <v>0</v>
      </c>
      <c r="G309" s="26">
        <v>0</v>
      </c>
      <c r="H309" s="26">
        <v>0</v>
      </c>
      <c r="I309" s="26">
        <v>0</v>
      </c>
      <c r="J309" s="26">
        <v>0</v>
      </c>
      <c r="K309" s="26">
        <v>0</v>
      </c>
      <c r="L309" s="27">
        <v>0</v>
      </c>
      <c r="M309" s="27">
        <v>0</v>
      </c>
      <c r="N309" s="28">
        <v>0</v>
      </c>
      <c r="O309" s="26">
        <v>0</v>
      </c>
      <c r="P309" s="26">
        <v>0</v>
      </c>
      <c r="Q309" s="33">
        <v>0</v>
      </c>
      <c r="R309" s="34">
        <v>0</v>
      </c>
      <c r="S309" s="34">
        <v>0</v>
      </c>
      <c r="T309" s="20">
        <v>0</v>
      </c>
      <c r="U309" s="21" t="s">
        <v>24</v>
      </c>
      <c r="V309" s="22">
        <f>IFERROR(RAW[[#This Row],[ACTUAL GROSS]]/RAW[[#This Row],[CONVERTED]],0)</f>
        <v>0</v>
      </c>
      <c r="W309" s="22">
        <f>IFERROR(RAW[[#This Row],[SALES]]/RAW[[#This Row],[HOURLY PAY]],0)</f>
        <v>0</v>
      </c>
    </row>
    <row r="310" spans="1:23" x14ac:dyDescent="0.35">
      <c r="A310" s="23">
        <v>45245</v>
      </c>
      <c r="B310" s="24" t="s">
        <v>21</v>
      </c>
      <c r="C310" s="25" t="s">
        <v>37</v>
      </c>
      <c r="D310" s="14" t="s">
        <v>23</v>
      </c>
      <c r="E310" s="26">
        <v>731</v>
      </c>
      <c r="F310" s="26">
        <v>129.71</v>
      </c>
      <c r="G310" s="26">
        <v>0</v>
      </c>
      <c r="H310" s="26">
        <v>29.240000000000002</v>
      </c>
      <c r="I310" s="26">
        <v>2.179128</v>
      </c>
      <c r="J310" s="26">
        <v>0</v>
      </c>
      <c r="K310" s="26">
        <v>98.290872000000007</v>
      </c>
      <c r="L310" s="27">
        <v>3</v>
      </c>
      <c r="M310" s="27">
        <v>46</v>
      </c>
      <c r="N310" s="28">
        <v>3.7666666666666666</v>
      </c>
      <c r="O310" s="26">
        <v>8.0229999999999997</v>
      </c>
      <c r="P310" s="26">
        <v>106.313872</v>
      </c>
      <c r="Q310" s="33">
        <v>106.313872</v>
      </c>
      <c r="R310" s="34">
        <v>1</v>
      </c>
      <c r="S310" s="34">
        <v>1</v>
      </c>
      <c r="T310" s="20">
        <v>0</v>
      </c>
      <c r="U310" s="21" t="s">
        <v>24</v>
      </c>
      <c r="V310" s="237">
        <f>IFERROR(RAW[[#This Row],[ACTUAL GROSS]]/RAW[[#This Row],[CONVERTED]],0)</f>
        <v>28.224921769911507</v>
      </c>
      <c r="W310" s="22">
        <f>IFERROR(RAW[[#This Row],[SALES]]/RAW[[#This Row],[HOURLY PAY]],0)</f>
        <v>91.11304998130376</v>
      </c>
    </row>
    <row r="311" spans="1:23" x14ac:dyDescent="0.35">
      <c r="A311" s="23">
        <v>45245</v>
      </c>
      <c r="B311" s="24" t="s">
        <v>25</v>
      </c>
      <c r="C311" s="25" t="s">
        <v>37</v>
      </c>
      <c r="D311" s="14" t="s">
        <v>23</v>
      </c>
      <c r="E311" s="26">
        <v>0</v>
      </c>
      <c r="F311" s="26">
        <v>0</v>
      </c>
      <c r="G311" s="26">
        <v>0</v>
      </c>
      <c r="H311" s="26">
        <v>0</v>
      </c>
      <c r="I311" s="26">
        <v>0</v>
      </c>
      <c r="J311" s="26">
        <v>0</v>
      </c>
      <c r="K311" s="26">
        <v>0</v>
      </c>
      <c r="L311" s="27">
        <v>0</v>
      </c>
      <c r="M311" s="27">
        <v>0</v>
      </c>
      <c r="N311" s="28">
        <v>0</v>
      </c>
      <c r="O311" s="26">
        <v>0</v>
      </c>
      <c r="P311" s="26">
        <v>0</v>
      </c>
      <c r="Q311" s="33">
        <v>0</v>
      </c>
      <c r="R311" s="34">
        <v>0</v>
      </c>
      <c r="S311" s="34">
        <v>0</v>
      </c>
      <c r="T311" s="20">
        <v>0</v>
      </c>
      <c r="U311" s="21" t="s">
        <v>24</v>
      </c>
      <c r="V311" s="22">
        <f>IFERROR(RAW[[#This Row],[ACTUAL GROSS]]/RAW[[#This Row],[CONVERTED]],0)</f>
        <v>0</v>
      </c>
      <c r="W311" s="22">
        <f>IFERROR(RAW[[#This Row],[SALES]]/RAW[[#This Row],[HOURLY PAY]],0)</f>
        <v>0</v>
      </c>
    </row>
    <row r="312" spans="1:23" x14ac:dyDescent="0.35">
      <c r="A312" s="23">
        <v>45246</v>
      </c>
      <c r="B312" s="24" t="s">
        <v>21</v>
      </c>
      <c r="C312" s="25" t="s">
        <v>37</v>
      </c>
      <c r="D312" s="14" t="s">
        <v>26</v>
      </c>
      <c r="E312" s="26">
        <v>0</v>
      </c>
      <c r="F312" s="26">
        <v>0</v>
      </c>
      <c r="G312" s="26">
        <v>0</v>
      </c>
      <c r="H312" s="26">
        <v>0</v>
      </c>
      <c r="I312" s="26">
        <v>0</v>
      </c>
      <c r="J312" s="26">
        <v>0</v>
      </c>
      <c r="K312" s="26">
        <v>0</v>
      </c>
      <c r="L312" s="27">
        <v>0</v>
      </c>
      <c r="M312" s="27">
        <v>0</v>
      </c>
      <c r="N312" s="28">
        <v>0</v>
      </c>
      <c r="O312" s="26">
        <v>0</v>
      </c>
      <c r="P312" s="26">
        <v>0</v>
      </c>
      <c r="Q312" s="33">
        <v>0</v>
      </c>
      <c r="R312" s="34">
        <v>0</v>
      </c>
      <c r="S312" s="34">
        <v>0</v>
      </c>
      <c r="T312" s="20">
        <v>0</v>
      </c>
      <c r="U312" s="21" t="s">
        <v>24</v>
      </c>
      <c r="V312" s="22">
        <f>IFERROR(RAW[[#This Row],[ACTUAL GROSS]]/RAW[[#This Row],[CONVERTED]],0)</f>
        <v>0</v>
      </c>
      <c r="W312" s="22">
        <f>IFERROR(RAW[[#This Row],[SALES]]/RAW[[#This Row],[HOURLY PAY]],0)</f>
        <v>0</v>
      </c>
    </row>
    <row r="313" spans="1:23" x14ac:dyDescent="0.35">
      <c r="A313" s="23">
        <v>45246</v>
      </c>
      <c r="B313" s="24" t="s">
        <v>25</v>
      </c>
      <c r="C313" s="25" t="s">
        <v>37</v>
      </c>
      <c r="D313" s="14" t="s">
        <v>26</v>
      </c>
      <c r="E313" s="26">
        <v>0</v>
      </c>
      <c r="F313" s="26">
        <v>0</v>
      </c>
      <c r="G313" s="26">
        <v>0</v>
      </c>
      <c r="H313" s="26">
        <v>0</v>
      </c>
      <c r="I313" s="26">
        <v>0</v>
      </c>
      <c r="J313" s="26">
        <v>0</v>
      </c>
      <c r="K313" s="26">
        <v>0</v>
      </c>
      <c r="L313" s="27">
        <v>0</v>
      </c>
      <c r="M313" s="27">
        <v>0</v>
      </c>
      <c r="N313" s="28">
        <v>0</v>
      </c>
      <c r="O313" s="26">
        <v>0</v>
      </c>
      <c r="P313" s="26">
        <v>0</v>
      </c>
      <c r="Q313" s="33">
        <v>0</v>
      </c>
      <c r="R313" s="34">
        <v>0</v>
      </c>
      <c r="S313" s="34">
        <v>0</v>
      </c>
      <c r="T313" s="20">
        <v>0</v>
      </c>
      <c r="U313" s="21" t="s">
        <v>24</v>
      </c>
      <c r="V313" s="22">
        <f>IFERROR(RAW[[#This Row],[ACTUAL GROSS]]/RAW[[#This Row],[CONVERTED]],0)</f>
        <v>0</v>
      </c>
      <c r="W313" s="22">
        <f>IFERROR(RAW[[#This Row],[SALES]]/RAW[[#This Row],[HOURLY PAY]],0)</f>
        <v>0</v>
      </c>
    </row>
    <row r="314" spans="1:23" x14ac:dyDescent="0.35">
      <c r="A314" s="23">
        <v>45247</v>
      </c>
      <c r="B314" s="24" t="s">
        <v>21</v>
      </c>
      <c r="C314" s="25" t="s">
        <v>37</v>
      </c>
      <c r="D314" s="14" t="s">
        <v>27</v>
      </c>
      <c r="E314" s="26">
        <v>0</v>
      </c>
      <c r="F314" s="26">
        <v>0</v>
      </c>
      <c r="G314" s="26">
        <v>0</v>
      </c>
      <c r="H314" s="26">
        <v>0</v>
      </c>
      <c r="I314" s="26">
        <v>0</v>
      </c>
      <c r="J314" s="26">
        <v>0</v>
      </c>
      <c r="K314" s="26">
        <v>0</v>
      </c>
      <c r="L314" s="27">
        <v>0</v>
      </c>
      <c r="M314" s="27">
        <v>0</v>
      </c>
      <c r="N314" s="28">
        <v>0</v>
      </c>
      <c r="O314" s="26">
        <v>0</v>
      </c>
      <c r="P314" s="26">
        <v>0</v>
      </c>
      <c r="Q314" s="33">
        <v>0</v>
      </c>
      <c r="R314" s="34">
        <v>0</v>
      </c>
      <c r="S314" s="34">
        <v>0</v>
      </c>
      <c r="T314" s="20">
        <v>0</v>
      </c>
      <c r="U314" s="21" t="s">
        <v>24</v>
      </c>
      <c r="V314" s="22">
        <f>IFERROR(RAW[[#This Row],[ACTUAL GROSS]]/RAW[[#This Row],[CONVERTED]],0)</f>
        <v>0</v>
      </c>
      <c r="W314" s="22">
        <f>IFERROR(RAW[[#This Row],[SALES]]/RAW[[#This Row],[HOURLY PAY]],0)</f>
        <v>0</v>
      </c>
    </row>
    <row r="315" spans="1:23" x14ac:dyDescent="0.35">
      <c r="A315" s="23">
        <v>45247</v>
      </c>
      <c r="B315" s="24" t="s">
        <v>25</v>
      </c>
      <c r="C315" s="25" t="s">
        <v>37</v>
      </c>
      <c r="D315" s="14" t="s">
        <v>27</v>
      </c>
      <c r="E315" s="26">
        <v>1036.5</v>
      </c>
      <c r="F315" s="26">
        <v>195.1</v>
      </c>
      <c r="G315" s="26">
        <v>0</v>
      </c>
      <c r="H315" s="26">
        <v>41.46</v>
      </c>
      <c r="I315" s="26">
        <v>3.2776799999999997</v>
      </c>
      <c r="J315" s="26">
        <v>0</v>
      </c>
      <c r="K315" s="26">
        <v>150.36232000000001</v>
      </c>
      <c r="L315" s="27">
        <v>5</v>
      </c>
      <c r="M315" s="27">
        <v>51</v>
      </c>
      <c r="N315" s="28">
        <v>5.85</v>
      </c>
      <c r="O315" s="26">
        <v>12.460499999999998</v>
      </c>
      <c r="P315" s="26">
        <v>162.82282000000001</v>
      </c>
      <c r="Q315" s="33">
        <v>162.82282000000001</v>
      </c>
      <c r="R315" s="34">
        <v>1</v>
      </c>
      <c r="S315" s="34">
        <v>0</v>
      </c>
      <c r="T315" s="20">
        <v>0</v>
      </c>
      <c r="U315" s="21" t="s">
        <v>24</v>
      </c>
      <c r="V315" s="22">
        <f>IFERROR(RAW[[#This Row],[ACTUAL GROSS]]/RAW[[#This Row],[CONVERTED]],0)</f>
        <v>27.832960683760685</v>
      </c>
      <c r="W315" s="22">
        <f>IFERROR(RAW[[#This Row],[SALES]]/RAW[[#This Row],[HOURLY PAY]],0)</f>
        <v>83.182857830745164</v>
      </c>
    </row>
    <row r="316" spans="1:23" x14ac:dyDescent="0.35">
      <c r="A316" s="23">
        <v>45248</v>
      </c>
      <c r="B316" s="24" t="s">
        <v>21</v>
      </c>
      <c r="C316" s="25" t="s">
        <v>37</v>
      </c>
      <c r="D316" s="14" t="s">
        <v>28</v>
      </c>
      <c r="E316" s="26">
        <v>0</v>
      </c>
      <c r="F316" s="26">
        <v>0</v>
      </c>
      <c r="G316" s="26">
        <v>0</v>
      </c>
      <c r="H316" s="26">
        <v>0</v>
      </c>
      <c r="I316" s="26">
        <v>0</v>
      </c>
      <c r="J316" s="26">
        <v>0</v>
      </c>
      <c r="K316" s="26">
        <v>0</v>
      </c>
      <c r="L316" s="27">
        <v>0</v>
      </c>
      <c r="M316" s="27">
        <v>0</v>
      </c>
      <c r="N316" s="28">
        <v>0</v>
      </c>
      <c r="O316" s="26">
        <v>0</v>
      </c>
      <c r="P316" s="26">
        <v>0</v>
      </c>
      <c r="Q316" s="33">
        <v>0</v>
      </c>
      <c r="R316" s="34">
        <v>0</v>
      </c>
      <c r="S316" s="34">
        <v>0</v>
      </c>
      <c r="T316" s="20">
        <v>0</v>
      </c>
      <c r="U316" s="21" t="s">
        <v>24</v>
      </c>
      <c r="V316" s="22">
        <f>IFERROR(RAW[[#This Row],[ACTUAL GROSS]]/RAW[[#This Row],[CONVERTED]],0)</f>
        <v>0</v>
      </c>
      <c r="W316" s="22">
        <f>IFERROR(RAW[[#This Row],[SALES]]/RAW[[#This Row],[HOURLY PAY]],0)</f>
        <v>0</v>
      </c>
    </row>
    <row r="317" spans="1:23" x14ac:dyDescent="0.35">
      <c r="A317" s="23">
        <v>45248</v>
      </c>
      <c r="B317" s="24" t="s">
        <v>25</v>
      </c>
      <c r="C317" s="25" t="s">
        <v>37</v>
      </c>
      <c r="D317" s="14" t="s">
        <v>28</v>
      </c>
      <c r="E317" s="26">
        <v>1264</v>
      </c>
      <c r="F317" s="26">
        <v>207.97</v>
      </c>
      <c r="G317" s="26">
        <v>47</v>
      </c>
      <c r="H317" s="26">
        <v>50.56</v>
      </c>
      <c r="I317" s="26">
        <v>3.4938959999999999</v>
      </c>
      <c r="J317" s="26">
        <v>3.5</v>
      </c>
      <c r="K317" s="26">
        <v>153.91610399999999</v>
      </c>
      <c r="L317" s="27">
        <v>4</v>
      </c>
      <c r="M317" s="27">
        <v>35</v>
      </c>
      <c r="N317" s="28">
        <v>4.583333333333333</v>
      </c>
      <c r="O317" s="26">
        <v>9.7624999999999993</v>
      </c>
      <c r="P317" s="26">
        <v>167.17860399999998</v>
      </c>
      <c r="Q317" s="33">
        <v>210.67860399999998</v>
      </c>
      <c r="R317" s="34">
        <v>1</v>
      </c>
      <c r="S317" s="34">
        <v>0</v>
      </c>
      <c r="T317" s="20">
        <v>0</v>
      </c>
      <c r="U317" s="21" t="s">
        <v>24</v>
      </c>
      <c r="V317" s="22">
        <f>IFERROR(RAW[[#This Row],[ACTUAL GROSS]]/RAW[[#This Row],[CONVERTED]],0)</f>
        <v>45.966240872727269</v>
      </c>
      <c r="W317" s="22">
        <f>IFERROR(RAW[[#This Row],[SALES]]/RAW[[#This Row],[HOURLY PAY]],0)</f>
        <v>129.4750320102433</v>
      </c>
    </row>
    <row r="318" spans="1:23" x14ac:dyDescent="0.35">
      <c r="A318" s="23">
        <v>45249</v>
      </c>
      <c r="B318" s="24" t="s">
        <v>21</v>
      </c>
      <c r="C318" s="25" t="s">
        <v>37</v>
      </c>
      <c r="D318" s="14" t="s">
        <v>29</v>
      </c>
      <c r="E318" s="26">
        <v>0</v>
      </c>
      <c r="F318" s="26">
        <v>0</v>
      </c>
      <c r="G318" s="26">
        <v>0</v>
      </c>
      <c r="H318" s="26">
        <v>0</v>
      </c>
      <c r="I318" s="26">
        <v>0</v>
      </c>
      <c r="J318" s="26">
        <v>0</v>
      </c>
      <c r="K318" s="26">
        <v>0</v>
      </c>
      <c r="L318" s="27">
        <v>0</v>
      </c>
      <c r="M318" s="27">
        <v>0</v>
      </c>
      <c r="N318" s="28">
        <v>0</v>
      </c>
      <c r="O318" s="26">
        <v>0</v>
      </c>
      <c r="P318" s="26">
        <v>0</v>
      </c>
      <c r="Q318" s="33">
        <v>0</v>
      </c>
      <c r="R318" s="34">
        <v>0</v>
      </c>
      <c r="S318" s="34">
        <v>0</v>
      </c>
      <c r="T318" s="20">
        <v>0</v>
      </c>
      <c r="U318" s="21" t="s">
        <v>24</v>
      </c>
      <c r="V318" s="22">
        <f>IFERROR(RAW[[#This Row],[ACTUAL GROSS]]/RAW[[#This Row],[CONVERTED]],0)</f>
        <v>0</v>
      </c>
      <c r="W318" s="22">
        <f>IFERROR(RAW[[#This Row],[SALES]]/RAW[[#This Row],[HOURLY PAY]],0)</f>
        <v>0</v>
      </c>
    </row>
    <row r="319" spans="1:23" x14ac:dyDescent="0.35">
      <c r="A319" s="23">
        <v>45249</v>
      </c>
      <c r="B319" s="24" t="s">
        <v>25</v>
      </c>
      <c r="C319" s="25" t="s">
        <v>37</v>
      </c>
      <c r="D319" s="14" t="s">
        <v>29</v>
      </c>
      <c r="E319" s="26">
        <v>0</v>
      </c>
      <c r="F319" s="26">
        <v>0</v>
      </c>
      <c r="G319" s="26">
        <v>0</v>
      </c>
      <c r="H319" s="26">
        <v>0</v>
      </c>
      <c r="I319" s="26">
        <v>0</v>
      </c>
      <c r="J319" s="26">
        <v>0</v>
      </c>
      <c r="K319" s="26">
        <v>0</v>
      </c>
      <c r="L319" s="27">
        <v>0</v>
      </c>
      <c r="M319" s="27">
        <v>0</v>
      </c>
      <c r="N319" s="28">
        <v>0</v>
      </c>
      <c r="O319" s="26">
        <v>0</v>
      </c>
      <c r="P319" s="26">
        <v>0</v>
      </c>
      <c r="Q319" s="33">
        <v>0</v>
      </c>
      <c r="R319" s="34">
        <v>0</v>
      </c>
      <c r="S319" s="34">
        <v>0</v>
      </c>
      <c r="T319" s="20">
        <v>0</v>
      </c>
      <c r="U319" s="21" t="s">
        <v>24</v>
      </c>
      <c r="V319" s="22">
        <f>IFERROR(RAW[[#This Row],[ACTUAL GROSS]]/RAW[[#This Row],[CONVERTED]],0)</f>
        <v>0</v>
      </c>
      <c r="W319" s="22">
        <f>IFERROR(RAW[[#This Row],[SALES]]/RAW[[#This Row],[HOURLY PAY]],0)</f>
        <v>0</v>
      </c>
    </row>
    <row r="320" spans="1:23" x14ac:dyDescent="0.35">
      <c r="A320" s="23">
        <v>45250</v>
      </c>
      <c r="B320" s="24" t="s">
        <v>21</v>
      </c>
      <c r="C320" s="25" t="s">
        <v>37</v>
      </c>
      <c r="D320" s="14" t="s">
        <v>30</v>
      </c>
      <c r="E320" s="26">
        <v>0</v>
      </c>
      <c r="F320" s="26">
        <v>0</v>
      </c>
      <c r="G320" s="26">
        <v>0</v>
      </c>
      <c r="H320" s="26">
        <v>0</v>
      </c>
      <c r="I320" s="26">
        <v>0</v>
      </c>
      <c r="J320" s="26">
        <v>0</v>
      </c>
      <c r="K320" s="26">
        <v>0</v>
      </c>
      <c r="L320" s="27">
        <v>0</v>
      </c>
      <c r="M320" s="27">
        <v>0</v>
      </c>
      <c r="N320" s="28">
        <v>0</v>
      </c>
      <c r="O320" s="26">
        <v>0</v>
      </c>
      <c r="P320" s="26">
        <v>0</v>
      </c>
      <c r="Q320" s="33">
        <v>0</v>
      </c>
      <c r="R320" s="34">
        <v>0</v>
      </c>
      <c r="S320" s="34">
        <v>0</v>
      </c>
      <c r="T320" s="20">
        <v>0</v>
      </c>
      <c r="U320" s="21" t="s">
        <v>24</v>
      </c>
      <c r="V320" s="22">
        <f>IFERROR(RAW[[#This Row],[ACTUAL GROSS]]/RAW[[#This Row],[CONVERTED]],0)</f>
        <v>0</v>
      </c>
      <c r="W320" s="22">
        <f>IFERROR(RAW[[#This Row],[SALES]]/RAW[[#This Row],[HOURLY PAY]],0)</f>
        <v>0</v>
      </c>
    </row>
    <row r="321" spans="1:23" x14ac:dyDescent="0.35">
      <c r="A321" s="23">
        <v>45250</v>
      </c>
      <c r="B321" s="24" t="s">
        <v>25</v>
      </c>
      <c r="C321" s="25" t="s">
        <v>37</v>
      </c>
      <c r="D321" s="14" t="s">
        <v>30</v>
      </c>
      <c r="E321" s="26">
        <v>1271</v>
      </c>
      <c r="F321" s="26">
        <v>288.26</v>
      </c>
      <c r="G321" s="26">
        <v>0</v>
      </c>
      <c r="H321" s="26">
        <v>50.84</v>
      </c>
      <c r="I321" s="26">
        <v>4.8427679999999995</v>
      </c>
      <c r="J321" s="26">
        <v>0</v>
      </c>
      <c r="K321" s="26">
        <v>232.57723199999998</v>
      </c>
      <c r="L321" s="27">
        <v>6</v>
      </c>
      <c r="M321" s="27">
        <v>27</v>
      </c>
      <c r="N321" s="28">
        <v>6.45</v>
      </c>
      <c r="O321" s="26">
        <v>13.7385</v>
      </c>
      <c r="P321" s="26">
        <v>246.31573199999997</v>
      </c>
      <c r="Q321" s="33">
        <v>246.31573199999997</v>
      </c>
      <c r="R321" s="34">
        <v>1</v>
      </c>
      <c r="S321" s="34">
        <v>0</v>
      </c>
      <c r="T321" s="20">
        <v>0</v>
      </c>
      <c r="U321" s="21" t="s">
        <v>24</v>
      </c>
      <c r="V321" s="22">
        <f>IFERROR(RAW[[#This Row],[ACTUAL GROSS]]/RAW[[#This Row],[CONVERTED]],0)</f>
        <v>38.188485581395341</v>
      </c>
      <c r="W321" s="22">
        <f>IFERROR(RAW[[#This Row],[SALES]]/RAW[[#This Row],[HOURLY PAY]],0)</f>
        <v>92.513738763329329</v>
      </c>
    </row>
    <row r="322" spans="1:23" x14ac:dyDescent="0.35">
      <c r="A322" s="23">
        <v>45251</v>
      </c>
      <c r="B322" s="24" t="s">
        <v>21</v>
      </c>
      <c r="C322" s="25" t="s">
        <v>37</v>
      </c>
      <c r="D322" s="14" t="s">
        <v>31</v>
      </c>
      <c r="E322" s="26">
        <v>410</v>
      </c>
      <c r="F322" s="26">
        <v>80.06</v>
      </c>
      <c r="G322" s="26">
        <v>0</v>
      </c>
      <c r="H322" s="26">
        <v>16.399999999999999</v>
      </c>
      <c r="I322" s="26">
        <v>1.345008</v>
      </c>
      <c r="J322" s="26">
        <v>0</v>
      </c>
      <c r="K322" s="26">
        <v>62.314992000000004</v>
      </c>
      <c r="L322" s="27">
        <v>3</v>
      </c>
      <c r="M322" s="27">
        <v>15</v>
      </c>
      <c r="N322" s="28">
        <v>3.25</v>
      </c>
      <c r="O322" s="26">
        <v>6.9224999999999994</v>
      </c>
      <c r="P322" s="26">
        <v>69.237492000000003</v>
      </c>
      <c r="Q322" s="33">
        <v>69.237492000000003</v>
      </c>
      <c r="R322" s="34">
        <v>1</v>
      </c>
      <c r="S322" s="34">
        <v>1</v>
      </c>
      <c r="T322" s="20">
        <v>0</v>
      </c>
      <c r="U322" s="21" t="s">
        <v>34</v>
      </c>
      <c r="V322" s="22">
        <f>IFERROR(RAW[[#This Row],[ACTUAL GROSS]]/RAW[[#This Row],[CONVERTED]],0)</f>
        <v>21.303843692307694</v>
      </c>
      <c r="W322" s="22">
        <f>IFERROR(RAW[[#This Row],[SALES]]/RAW[[#This Row],[HOURLY PAY]],0)</f>
        <v>59.22715781870712</v>
      </c>
    </row>
    <row r="323" spans="1:23" x14ac:dyDescent="0.35">
      <c r="A323" s="23">
        <v>45251</v>
      </c>
      <c r="B323" s="24" t="s">
        <v>25</v>
      </c>
      <c r="C323" s="25" t="s">
        <v>37</v>
      </c>
      <c r="D323" s="14" t="s">
        <v>31</v>
      </c>
      <c r="E323" s="26">
        <v>1448</v>
      </c>
      <c r="F323" s="26">
        <v>274.3</v>
      </c>
      <c r="G323" s="26">
        <v>20</v>
      </c>
      <c r="H323" s="26">
        <v>57.92</v>
      </c>
      <c r="I323" s="26">
        <v>4.6082400000000003</v>
      </c>
      <c r="J323" s="26">
        <v>0</v>
      </c>
      <c r="K323" s="26">
        <v>211.77176</v>
      </c>
      <c r="L323" s="27">
        <v>4</v>
      </c>
      <c r="M323" s="27">
        <v>45</v>
      </c>
      <c r="N323" s="28">
        <v>4.75</v>
      </c>
      <c r="O323" s="26">
        <v>10.1175</v>
      </c>
      <c r="P323" s="26">
        <v>221.88926000000001</v>
      </c>
      <c r="Q323" s="33">
        <v>241.88926000000001</v>
      </c>
      <c r="R323" s="34">
        <v>1</v>
      </c>
      <c r="S323" s="34">
        <v>0</v>
      </c>
      <c r="T323" s="20">
        <v>1</v>
      </c>
      <c r="U323" s="21" t="s">
        <v>34</v>
      </c>
      <c r="V323" s="22">
        <f>IFERROR(RAW[[#This Row],[ACTUAL GROSS]]/RAW[[#This Row],[CONVERTED]],0)</f>
        <v>50.924054736842109</v>
      </c>
      <c r="W323" s="22">
        <f>IFERROR(RAW[[#This Row],[SALES]]/RAW[[#This Row],[HOURLY PAY]],0)</f>
        <v>143.1183592784779</v>
      </c>
    </row>
    <row r="324" spans="1:23" x14ac:dyDescent="0.35">
      <c r="A324" s="23">
        <v>45252</v>
      </c>
      <c r="B324" s="24" t="s">
        <v>21</v>
      </c>
      <c r="C324" s="25" t="s">
        <v>37</v>
      </c>
      <c r="D324" s="14" t="s">
        <v>23</v>
      </c>
      <c r="E324" s="26">
        <v>306</v>
      </c>
      <c r="F324" s="26">
        <v>51.88</v>
      </c>
      <c r="G324" s="26">
        <v>0</v>
      </c>
      <c r="H324" s="26">
        <v>12.24</v>
      </c>
      <c r="I324" s="26">
        <v>0.87158400000000003</v>
      </c>
      <c r="J324" s="26">
        <v>0</v>
      </c>
      <c r="K324" s="26">
        <v>38.768416000000002</v>
      </c>
      <c r="L324" s="27">
        <v>4</v>
      </c>
      <c r="M324" s="27">
        <v>35</v>
      </c>
      <c r="N324" s="28">
        <v>4.583333333333333</v>
      </c>
      <c r="O324" s="26">
        <v>9.7624999999999993</v>
      </c>
      <c r="P324" s="26">
        <v>48.530916000000005</v>
      </c>
      <c r="Q324" s="33">
        <v>48.530916000000005</v>
      </c>
      <c r="R324" s="34">
        <v>1</v>
      </c>
      <c r="S324" s="34">
        <v>1</v>
      </c>
      <c r="T324" s="20">
        <v>0</v>
      </c>
      <c r="U324" s="21" t="s">
        <v>24</v>
      </c>
      <c r="V324" s="237">
        <f>IFERROR(RAW[[#This Row],[ACTUAL GROSS]]/RAW[[#This Row],[CONVERTED]],0)</f>
        <v>10.588563490909092</v>
      </c>
      <c r="W324" s="22">
        <f>IFERROR(RAW[[#This Row],[SALES]]/RAW[[#This Row],[HOURLY PAY]],0)</f>
        <v>31.344430217669657</v>
      </c>
    </row>
    <row r="325" spans="1:23" x14ac:dyDescent="0.35">
      <c r="A325" s="23">
        <v>45252</v>
      </c>
      <c r="B325" s="24" t="s">
        <v>25</v>
      </c>
      <c r="C325" s="25" t="s">
        <v>37</v>
      </c>
      <c r="D325" s="14" t="s">
        <v>23</v>
      </c>
      <c r="E325" s="26">
        <v>0</v>
      </c>
      <c r="F325" s="26">
        <v>0</v>
      </c>
      <c r="G325" s="26">
        <v>0</v>
      </c>
      <c r="H325" s="26">
        <v>0</v>
      </c>
      <c r="I325" s="26">
        <v>0</v>
      </c>
      <c r="J325" s="26">
        <v>0</v>
      </c>
      <c r="K325" s="26">
        <v>0</v>
      </c>
      <c r="L325" s="27">
        <v>0</v>
      </c>
      <c r="M325" s="27">
        <v>0</v>
      </c>
      <c r="N325" s="28">
        <v>0</v>
      </c>
      <c r="O325" s="26">
        <v>0</v>
      </c>
      <c r="P325" s="26">
        <v>0</v>
      </c>
      <c r="Q325" s="33">
        <v>0</v>
      </c>
      <c r="R325" s="34">
        <v>0</v>
      </c>
      <c r="S325" s="34">
        <v>0</v>
      </c>
      <c r="T325" s="20">
        <v>0</v>
      </c>
      <c r="U325" s="21" t="s">
        <v>24</v>
      </c>
      <c r="V325" s="22">
        <f>IFERROR(RAW[[#This Row],[ACTUAL GROSS]]/RAW[[#This Row],[CONVERTED]],0)</f>
        <v>0</v>
      </c>
      <c r="W325" s="22">
        <f>IFERROR(RAW[[#This Row],[SALES]]/RAW[[#This Row],[HOURLY PAY]],0)</f>
        <v>0</v>
      </c>
    </row>
    <row r="326" spans="1:23" x14ac:dyDescent="0.35">
      <c r="A326" s="23">
        <v>45253</v>
      </c>
      <c r="B326" s="24" t="s">
        <v>21</v>
      </c>
      <c r="C326" s="25" t="s">
        <v>37</v>
      </c>
      <c r="D326" s="14" t="s">
        <v>26</v>
      </c>
      <c r="E326" s="26">
        <v>0</v>
      </c>
      <c r="F326" s="26">
        <v>0</v>
      </c>
      <c r="G326" s="26">
        <v>0</v>
      </c>
      <c r="H326" s="26">
        <v>0</v>
      </c>
      <c r="I326" s="26">
        <v>0</v>
      </c>
      <c r="J326" s="26">
        <v>0</v>
      </c>
      <c r="K326" s="26">
        <v>0</v>
      </c>
      <c r="L326" s="27">
        <v>0</v>
      </c>
      <c r="M326" s="27">
        <v>0</v>
      </c>
      <c r="N326" s="28">
        <v>0</v>
      </c>
      <c r="O326" s="26">
        <v>0</v>
      </c>
      <c r="P326" s="26">
        <v>0</v>
      </c>
      <c r="Q326" s="33">
        <v>0</v>
      </c>
      <c r="R326" s="34">
        <v>0</v>
      </c>
      <c r="S326" s="34">
        <v>0</v>
      </c>
      <c r="T326" s="20">
        <v>0</v>
      </c>
      <c r="U326" s="21" t="s">
        <v>24</v>
      </c>
      <c r="V326" s="22">
        <f>IFERROR(RAW[[#This Row],[ACTUAL GROSS]]/RAW[[#This Row],[CONVERTED]],0)</f>
        <v>0</v>
      </c>
      <c r="W326" s="22">
        <f>IFERROR(RAW[[#This Row],[SALES]]/RAW[[#This Row],[HOURLY PAY]],0)</f>
        <v>0</v>
      </c>
    </row>
    <row r="327" spans="1:23" x14ac:dyDescent="0.35">
      <c r="A327" s="23">
        <v>45253</v>
      </c>
      <c r="B327" s="24" t="s">
        <v>25</v>
      </c>
      <c r="C327" s="25" t="s">
        <v>37</v>
      </c>
      <c r="D327" s="14" t="s">
        <v>26</v>
      </c>
      <c r="E327" s="26">
        <v>0</v>
      </c>
      <c r="F327" s="26">
        <v>0</v>
      </c>
      <c r="G327" s="26">
        <v>0</v>
      </c>
      <c r="H327" s="26">
        <v>0</v>
      </c>
      <c r="I327" s="26">
        <v>0</v>
      </c>
      <c r="J327" s="26">
        <v>0</v>
      </c>
      <c r="K327" s="26">
        <v>0</v>
      </c>
      <c r="L327" s="27">
        <v>0</v>
      </c>
      <c r="M327" s="27">
        <v>0</v>
      </c>
      <c r="N327" s="28">
        <v>0</v>
      </c>
      <c r="O327" s="26">
        <v>0</v>
      </c>
      <c r="P327" s="26">
        <v>0</v>
      </c>
      <c r="Q327" s="33">
        <v>0</v>
      </c>
      <c r="R327" s="34">
        <v>0</v>
      </c>
      <c r="S327" s="34">
        <v>0</v>
      </c>
      <c r="T327" s="20">
        <v>0</v>
      </c>
      <c r="U327" s="21" t="s">
        <v>24</v>
      </c>
      <c r="V327" s="22">
        <f>IFERROR(RAW[[#This Row],[ACTUAL GROSS]]/RAW[[#This Row],[CONVERTED]],0)</f>
        <v>0</v>
      </c>
      <c r="W327" s="22">
        <f>IFERROR(RAW[[#This Row],[SALES]]/RAW[[#This Row],[HOURLY PAY]],0)</f>
        <v>0</v>
      </c>
    </row>
    <row r="328" spans="1:23" x14ac:dyDescent="0.35">
      <c r="A328" s="23">
        <v>45254</v>
      </c>
      <c r="B328" s="24" t="s">
        <v>21</v>
      </c>
      <c r="C328" s="25" t="s">
        <v>37</v>
      </c>
      <c r="D328" s="14" t="s">
        <v>27</v>
      </c>
      <c r="E328" s="26">
        <v>0</v>
      </c>
      <c r="F328" s="26">
        <v>0</v>
      </c>
      <c r="G328" s="26">
        <v>0</v>
      </c>
      <c r="H328" s="26">
        <v>0</v>
      </c>
      <c r="I328" s="26">
        <v>0</v>
      </c>
      <c r="J328" s="26">
        <v>0</v>
      </c>
      <c r="K328" s="26">
        <v>0</v>
      </c>
      <c r="L328" s="27">
        <v>0</v>
      </c>
      <c r="M328" s="27">
        <v>0</v>
      </c>
      <c r="N328" s="28">
        <v>0</v>
      </c>
      <c r="O328" s="26">
        <v>0</v>
      </c>
      <c r="P328" s="26">
        <v>0</v>
      </c>
      <c r="Q328" s="33">
        <v>0</v>
      </c>
      <c r="R328" s="34">
        <v>0</v>
      </c>
      <c r="S328" s="34">
        <v>0</v>
      </c>
      <c r="T328" s="20">
        <v>0</v>
      </c>
      <c r="U328" s="21" t="s">
        <v>24</v>
      </c>
      <c r="V328" s="22">
        <f>IFERROR(RAW[[#This Row],[ACTUAL GROSS]]/RAW[[#This Row],[CONVERTED]],0)</f>
        <v>0</v>
      </c>
      <c r="W328" s="22">
        <f>IFERROR(RAW[[#This Row],[SALES]]/RAW[[#This Row],[HOURLY PAY]],0)</f>
        <v>0</v>
      </c>
    </row>
    <row r="329" spans="1:23" x14ac:dyDescent="0.35">
      <c r="A329" s="23">
        <v>45254</v>
      </c>
      <c r="B329" s="24" t="s">
        <v>25</v>
      </c>
      <c r="C329" s="25" t="s">
        <v>37</v>
      </c>
      <c r="D329" s="14" t="s">
        <v>27</v>
      </c>
      <c r="E329" s="26">
        <v>835.5</v>
      </c>
      <c r="F329" s="26">
        <v>151.80000000000001</v>
      </c>
      <c r="G329" s="26">
        <v>0</v>
      </c>
      <c r="H329" s="26">
        <v>33.42</v>
      </c>
      <c r="I329" s="26">
        <v>2.5502400000000001</v>
      </c>
      <c r="J329" s="26">
        <v>0</v>
      </c>
      <c r="K329" s="26">
        <v>115.82976000000001</v>
      </c>
      <c r="L329" s="27">
        <v>4</v>
      </c>
      <c r="M329" s="27">
        <v>18</v>
      </c>
      <c r="N329" s="28">
        <v>4.3</v>
      </c>
      <c r="O329" s="26">
        <v>9.1589999999999989</v>
      </c>
      <c r="P329" s="26">
        <v>124.98876000000001</v>
      </c>
      <c r="Q329" s="33">
        <v>124.98876000000001</v>
      </c>
      <c r="R329" s="34">
        <v>1</v>
      </c>
      <c r="S329" s="34">
        <v>0</v>
      </c>
      <c r="T329" s="20">
        <v>0</v>
      </c>
      <c r="U329" s="21" t="s">
        <v>24</v>
      </c>
      <c r="V329" s="22">
        <f>IFERROR(RAW[[#This Row],[ACTUAL GROSS]]/RAW[[#This Row],[CONVERTED]],0)</f>
        <v>29.067153488372096</v>
      </c>
      <c r="W329" s="22">
        <f>IFERROR(RAW[[#This Row],[SALES]]/RAW[[#This Row],[HOURLY PAY]],0)</f>
        <v>91.221749099246651</v>
      </c>
    </row>
    <row r="330" spans="1:23" x14ac:dyDescent="0.35">
      <c r="A330" s="23">
        <v>45255</v>
      </c>
      <c r="B330" s="24" t="s">
        <v>21</v>
      </c>
      <c r="C330" s="25" t="s">
        <v>37</v>
      </c>
      <c r="D330" s="14" t="s">
        <v>28</v>
      </c>
      <c r="E330" s="26">
        <v>0</v>
      </c>
      <c r="F330" s="26">
        <v>0</v>
      </c>
      <c r="G330" s="26">
        <v>0</v>
      </c>
      <c r="H330" s="26">
        <v>0</v>
      </c>
      <c r="I330" s="26">
        <v>0</v>
      </c>
      <c r="J330" s="26">
        <v>0</v>
      </c>
      <c r="K330" s="26">
        <v>0</v>
      </c>
      <c r="L330" s="27">
        <v>0</v>
      </c>
      <c r="M330" s="27">
        <v>0</v>
      </c>
      <c r="N330" s="28">
        <v>0</v>
      </c>
      <c r="O330" s="26">
        <v>0</v>
      </c>
      <c r="P330" s="26">
        <v>0</v>
      </c>
      <c r="Q330" s="33">
        <v>0</v>
      </c>
      <c r="R330" s="34">
        <v>0</v>
      </c>
      <c r="S330" s="34">
        <v>0</v>
      </c>
      <c r="T330" s="20">
        <v>0</v>
      </c>
      <c r="U330" s="21" t="s">
        <v>24</v>
      </c>
      <c r="V330" s="22">
        <f>IFERROR(RAW[[#This Row],[ACTUAL GROSS]]/RAW[[#This Row],[CONVERTED]],0)</f>
        <v>0</v>
      </c>
      <c r="W330" s="22">
        <f>IFERROR(RAW[[#This Row],[SALES]]/RAW[[#This Row],[HOURLY PAY]],0)</f>
        <v>0</v>
      </c>
    </row>
    <row r="331" spans="1:23" x14ac:dyDescent="0.35">
      <c r="A331" s="23">
        <v>45255</v>
      </c>
      <c r="B331" s="24" t="s">
        <v>25</v>
      </c>
      <c r="C331" s="25" t="s">
        <v>37</v>
      </c>
      <c r="D331" s="14" t="s">
        <v>28</v>
      </c>
      <c r="E331" s="26">
        <v>0</v>
      </c>
      <c r="F331" s="26">
        <v>0</v>
      </c>
      <c r="G331" s="26">
        <v>0</v>
      </c>
      <c r="H331" s="26">
        <v>0</v>
      </c>
      <c r="I331" s="26">
        <v>0</v>
      </c>
      <c r="J331" s="26">
        <v>0</v>
      </c>
      <c r="K331" s="26">
        <v>0</v>
      </c>
      <c r="L331" s="27">
        <v>0</v>
      </c>
      <c r="M331" s="27">
        <v>0</v>
      </c>
      <c r="N331" s="28">
        <v>0</v>
      </c>
      <c r="O331" s="26">
        <v>0</v>
      </c>
      <c r="P331" s="26">
        <v>0</v>
      </c>
      <c r="Q331" s="33">
        <v>0</v>
      </c>
      <c r="R331" s="34">
        <v>0</v>
      </c>
      <c r="S331" s="34">
        <v>0</v>
      </c>
      <c r="T331" s="20">
        <v>0</v>
      </c>
      <c r="U331" s="21" t="s">
        <v>24</v>
      </c>
      <c r="V331" s="22">
        <f>IFERROR(RAW[[#This Row],[ACTUAL GROSS]]/RAW[[#This Row],[CONVERTED]],0)</f>
        <v>0</v>
      </c>
      <c r="W331" s="22">
        <f>IFERROR(RAW[[#This Row],[SALES]]/RAW[[#This Row],[HOURLY PAY]],0)</f>
        <v>0</v>
      </c>
    </row>
    <row r="332" spans="1:23" x14ac:dyDescent="0.35">
      <c r="A332" s="23">
        <v>45256</v>
      </c>
      <c r="B332" s="24" t="s">
        <v>21</v>
      </c>
      <c r="C332" s="25" t="s">
        <v>37</v>
      </c>
      <c r="D332" s="14" t="s">
        <v>29</v>
      </c>
      <c r="E332" s="26">
        <v>0</v>
      </c>
      <c r="F332" s="26">
        <v>0</v>
      </c>
      <c r="G332" s="26">
        <v>0</v>
      </c>
      <c r="H332" s="26">
        <v>0</v>
      </c>
      <c r="I332" s="26">
        <v>0</v>
      </c>
      <c r="J332" s="26">
        <v>0</v>
      </c>
      <c r="K332" s="26">
        <v>0</v>
      </c>
      <c r="L332" s="27">
        <v>0</v>
      </c>
      <c r="M332" s="27">
        <v>0</v>
      </c>
      <c r="N332" s="28">
        <v>0</v>
      </c>
      <c r="O332" s="26">
        <v>0</v>
      </c>
      <c r="P332" s="26">
        <v>0</v>
      </c>
      <c r="Q332" s="33">
        <v>0</v>
      </c>
      <c r="R332" s="34">
        <v>0</v>
      </c>
      <c r="S332" s="34">
        <v>0</v>
      </c>
      <c r="T332" s="20">
        <v>0</v>
      </c>
      <c r="U332" s="21" t="s">
        <v>24</v>
      </c>
      <c r="V332" s="22">
        <f>IFERROR(RAW[[#This Row],[ACTUAL GROSS]]/RAW[[#This Row],[CONVERTED]],0)</f>
        <v>0</v>
      </c>
      <c r="W332" s="22">
        <f>IFERROR(RAW[[#This Row],[SALES]]/RAW[[#This Row],[HOURLY PAY]],0)</f>
        <v>0</v>
      </c>
    </row>
    <row r="333" spans="1:23" x14ac:dyDescent="0.35">
      <c r="A333" s="23">
        <v>45256</v>
      </c>
      <c r="B333" s="24" t="s">
        <v>25</v>
      </c>
      <c r="C333" s="25" t="s">
        <v>37</v>
      </c>
      <c r="D333" s="14" t="s">
        <v>29</v>
      </c>
      <c r="E333" s="26">
        <v>0</v>
      </c>
      <c r="F333" s="26">
        <v>0</v>
      </c>
      <c r="G333" s="26">
        <v>0</v>
      </c>
      <c r="H333" s="26">
        <v>0</v>
      </c>
      <c r="I333" s="26">
        <v>0</v>
      </c>
      <c r="J333" s="26">
        <v>0</v>
      </c>
      <c r="K333" s="26">
        <v>0</v>
      </c>
      <c r="L333" s="27">
        <v>0</v>
      </c>
      <c r="M333" s="27">
        <v>0</v>
      </c>
      <c r="N333" s="28">
        <v>0</v>
      </c>
      <c r="O333" s="26">
        <v>0</v>
      </c>
      <c r="P333" s="26">
        <v>0</v>
      </c>
      <c r="Q333" s="33">
        <v>0</v>
      </c>
      <c r="R333" s="34">
        <v>0</v>
      </c>
      <c r="S333" s="34">
        <v>0</v>
      </c>
      <c r="T333" s="20">
        <v>0</v>
      </c>
      <c r="U333" s="21" t="s">
        <v>24</v>
      </c>
      <c r="V333" s="22">
        <f>IFERROR(RAW[[#This Row],[ACTUAL GROSS]]/RAW[[#This Row],[CONVERTED]],0)</f>
        <v>0</v>
      </c>
      <c r="W333" s="22">
        <f>IFERROR(RAW[[#This Row],[SALES]]/RAW[[#This Row],[HOURLY PAY]],0)</f>
        <v>0</v>
      </c>
    </row>
    <row r="334" spans="1:23" x14ac:dyDescent="0.35">
      <c r="A334" s="23">
        <v>45257</v>
      </c>
      <c r="B334" s="24" t="s">
        <v>21</v>
      </c>
      <c r="C334" s="25" t="s">
        <v>37</v>
      </c>
      <c r="D334" s="14" t="s">
        <v>30</v>
      </c>
      <c r="E334" s="26">
        <v>0</v>
      </c>
      <c r="F334" s="26">
        <v>0</v>
      </c>
      <c r="G334" s="26">
        <v>0</v>
      </c>
      <c r="H334" s="26">
        <v>0</v>
      </c>
      <c r="I334" s="26">
        <v>0</v>
      </c>
      <c r="J334" s="26">
        <v>0</v>
      </c>
      <c r="K334" s="26">
        <v>0</v>
      </c>
      <c r="L334" s="27">
        <v>0</v>
      </c>
      <c r="M334" s="27">
        <v>0</v>
      </c>
      <c r="N334" s="28">
        <v>0</v>
      </c>
      <c r="O334" s="26">
        <v>0</v>
      </c>
      <c r="P334" s="26">
        <v>0</v>
      </c>
      <c r="Q334" s="33">
        <v>0</v>
      </c>
      <c r="R334" s="34">
        <v>0</v>
      </c>
      <c r="S334" s="34">
        <v>0</v>
      </c>
      <c r="T334" s="20">
        <v>0</v>
      </c>
      <c r="U334" s="21" t="s">
        <v>24</v>
      </c>
      <c r="V334" s="22">
        <f>IFERROR(RAW[[#This Row],[ACTUAL GROSS]]/RAW[[#This Row],[CONVERTED]],0)</f>
        <v>0</v>
      </c>
      <c r="W334" s="22">
        <f>IFERROR(RAW[[#This Row],[SALES]]/RAW[[#This Row],[HOURLY PAY]],0)</f>
        <v>0</v>
      </c>
    </row>
    <row r="335" spans="1:23" x14ac:dyDescent="0.35">
      <c r="A335" s="23">
        <v>45257</v>
      </c>
      <c r="B335" s="24" t="s">
        <v>25</v>
      </c>
      <c r="C335" s="25" t="s">
        <v>37</v>
      </c>
      <c r="D335" s="14" t="s">
        <v>30</v>
      </c>
      <c r="E335" s="26">
        <v>535</v>
      </c>
      <c r="F335" s="26">
        <v>104.83</v>
      </c>
      <c r="G335" s="26">
        <v>0</v>
      </c>
      <c r="H335" s="26">
        <v>21.400000000000002</v>
      </c>
      <c r="I335" s="26">
        <v>1.7611439999999998</v>
      </c>
      <c r="J335" s="26">
        <v>0</v>
      </c>
      <c r="K335" s="26">
        <v>81.668856000000005</v>
      </c>
      <c r="L335" s="27">
        <v>5</v>
      </c>
      <c r="M335" s="27">
        <v>16</v>
      </c>
      <c r="N335" s="28">
        <v>5.2666666666666666</v>
      </c>
      <c r="O335" s="26">
        <v>11.218</v>
      </c>
      <c r="P335" s="26">
        <v>92.886856000000009</v>
      </c>
      <c r="Q335" s="33">
        <v>92.886856000000009</v>
      </c>
      <c r="R335" s="34">
        <v>1</v>
      </c>
      <c r="S335" s="34">
        <v>0</v>
      </c>
      <c r="T335" s="20">
        <v>0</v>
      </c>
      <c r="U335" s="21" t="s">
        <v>24</v>
      </c>
      <c r="V335" s="22">
        <f>IFERROR(RAW[[#This Row],[ACTUAL GROSS]]/RAW[[#This Row],[CONVERTED]],0)</f>
        <v>17.636744810126583</v>
      </c>
      <c r="W335" s="22">
        <f>IFERROR(RAW[[#This Row],[SALES]]/RAW[[#This Row],[HOURLY PAY]],0)</f>
        <v>47.691210554466039</v>
      </c>
    </row>
    <row r="336" spans="1:23" x14ac:dyDescent="0.35">
      <c r="A336" s="23">
        <v>45258</v>
      </c>
      <c r="B336" s="24" t="s">
        <v>21</v>
      </c>
      <c r="C336" s="25" t="s">
        <v>37</v>
      </c>
      <c r="D336" s="14" t="s">
        <v>31</v>
      </c>
      <c r="E336" s="26">
        <v>509</v>
      </c>
      <c r="F336" s="26">
        <v>38.65</v>
      </c>
      <c r="G336" s="26">
        <v>59</v>
      </c>
      <c r="H336" s="26">
        <v>20.36</v>
      </c>
      <c r="I336" s="26">
        <v>0.6493199999999999</v>
      </c>
      <c r="J336" s="26">
        <v>3.55</v>
      </c>
      <c r="K336" s="26">
        <v>17.64068</v>
      </c>
      <c r="L336" s="27">
        <v>4</v>
      </c>
      <c r="M336" s="27">
        <v>30</v>
      </c>
      <c r="N336" s="28">
        <v>4.5</v>
      </c>
      <c r="O336" s="26">
        <v>9.5849999999999991</v>
      </c>
      <c r="P336" s="26">
        <v>30.775680000000001</v>
      </c>
      <c r="Q336" s="33">
        <v>86.225679999999997</v>
      </c>
      <c r="R336" s="34">
        <v>1</v>
      </c>
      <c r="S336" s="34">
        <v>1</v>
      </c>
      <c r="T336" s="20">
        <v>0</v>
      </c>
      <c r="U336" s="21" t="s">
        <v>24</v>
      </c>
      <c r="V336" s="22">
        <f>IFERROR(RAW[[#This Row],[ACTUAL GROSS]]/RAW[[#This Row],[CONVERTED]],0)</f>
        <v>19.16126222222222</v>
      </c>
      <c r="W336" s="22">
        <f>IFERROR(RAW[[#This Row],[SALES]]/RAW[[#This Row],[HOURLY PAY]],0)</f>
        <v>53.103808033385505</v>
      </c>
    </row>
    <row r="337" spans="1:23" x14ac:dyDescent="0.35">
      <c r="A337" s="23">
        <v>45258</v>
      </c>
      <c r="B337" s="24" t="s">
        <v>25</v>
      </c>
      <c r="C337" s="25" t="s">
        <v>37</v>
      </c>
      <c r="D337" s="14" t="s">
        <v>31</v>
      </c>
      <c r="E337" s="26">
        <v>0</v>
      </c>
      <c r="F337" s="26">
        <v>0</v>
      </c>
      <c r="G337" s="26">
        <v>0</v>
      </c>
      <c r="H337" s="26">
        <v>0</v>
      </c>
      <c r="I337" s="26">
        <v>0</v>
      </c>
      <c r="J337" s="26">
        <v>0</v>
      </c>
      <c r="K337" s="26">
        <v>0</v>
      </c>
      <c r="L337" s="27">
        <v>0</v>
      </c>
      <c r="M337" s="27">
        <v>0</v>
      </c>
      <c r="N337" s="28">
        <v>0</v>
      </c>
      <c r="O337" s="26">
        <v>0</v>
      </c>
      <c r="P337" s="26">
        <v>0</v>
      </c>
      <c r="Q337" s="33">
        <v>0</v>
      </c>
      <c r="R337" s="34">
        <v>0</v>
      </c>
      <c r="S337" s="34">
        <v>0</v>
      </c>
      <c r="T337" s="20">
        <v>0</v>
      </c>
      <c r="U337" s="21" t="s">
        <v>24</v>
      </c>
      <c r="V337" s="22">
        <f>IFERROR(RAW[[#This Row],[ACTUAL GROSS]]/RAW[[#This Row],[CONVERTED]],0)</f>
        <v>0</v>
      </c>
      <c r="W337" s="22">
        <f>IFERROR(RAW[[#This Row],[SALES]]/RAW[[#This Row],[HOURLY PAY]],0)</f>
        <v>0</v>
      </c>
    </row>
    <row r="338" spans="1:23" x14ac:dyDescent="0.35">
      <c r="A338" s="23">
        <v>45259</v>
      </c>
      <c r="B338" s="24" t="s">
        <v>21</v>
      </c>
      <c r="C338" s="25" t="s">
        <v>37</v>
      </c>
      <c r="D338" s="14" t="s">
        <v>23</v>
      </c>
      <c r="E338" s="26">
        <v>0</v>
      </c>
      <c r="F338" s="26">
        <v>0</v>
      </c>
      <c r="G338" s="26">
        <v>0</v>
      </c>
      <c r="H338" s="26">
        <v>0</v>
      </c>
      <c r="I338" s="26">
        <v>0</v>
      </c>
      <c r="J338" s="26">
        <v>0</v>
      </c>
      <c r="K338" s="26">
        <v>0</v>
      </c>
      <c r="L338" s="27">
        <v>0</v>
      </c>
      <c r="M338" s="27">
        <v>0</v>
      </c>
      <c r="N338" s="28">
        <v>0</v>
      </c>
      <c r="O338" s="26">
        <v>0</v>
      </c>
      <c r="P338" s="26">
        <v>0</v>
      </c>
      <c r="Q338" s="33">
        <v>0</v>
      </c>
      <c r="R338" s="34">
        <v>0</v>
      </c>
      <c r="S338" s="34">
        <v>0</v>
      </c>
      <c r="T338" s="20">
        <v>0</v>
      </c>
      <c r="U338" s="21" t="s">
        <v>24</v>
      </c>
      <c r="V338" s="237">
        <f>IFERROR(RAW[[#This Row],[ACTUAL GROSS]]/RAW[[#This Row],[CONVERTED]],0)</f>
        <v>0</v>
      </c>
      <c r="W338" s="22">
        <f>IFERROR(RAW[[#This Row],[SALES]]/RAW[[#This Row],[HOURLY PAY]],0)</f>
        <v>0</v>
      </c>
    </row>
    <row r="339" spans="1:23" x14ac:dyDescent="0.35">
      <c r="A339" s="23">
        <v>45259</v>
      </c>
      <c r="B339" s="24" t="s">
        <v>25</v>
      </c>
      <c r="C339" s="25" t="s">
        <v>37</v>
      </c>
      <c r="D339" s="14" t="s">
        <v>23</v>
      </c>
      <c r="E339" s="26">
        <v>0</v>
      </c>
      <c r="F339" s="26">
        <v>0</v>
      </c>
      <c r="G339" s="26">
        <v>0</v>
      </c>
      <c r="H339" s="26">
        <v>0</v>
      </c>
      <c r="I339" s="26">
        <v>0</v>
      </c>
      <c r="J339" s="26">
        <v>0</v>
      </c>
      <c r="K339" s="26">
        <v>0</v>
      </c>
      <c r="L339" s="27">
        <v>0</v>
      </c>
      <c r="M339" s="27">
        <v>0</v>
      </c>
      <c r="N339" s="28">
        <v>0</v>
      </c>
      <c r="O339" s="26">
        <v>0</v>
      </c>
      <c r="P339" s="26">
        <v>0</v>
      </c>
      <c r="Q339" s="33">
        <v>0</v>
      </c>
      <c r="R339" s="34">
        <v>0</v>
      </c>
      <c r="S339" s="34">
        <v>0</v>
      </c>
      <c r="T339" s="20">
        <v>0</v>
      </c>
      <c r="U339" s="21" t="s">
        <v>24</v>
      </c>
      <c r="V339" s="22">
        <f>IFERROR(RAW[[#This Row],[ACTUAL GROSS]]/RAW[[#This Row],[CONVERTED]],0)</f>
        <v>0</v>
      </c>
      <c r="W339" s="22">
        <f>IFERROR(RAW[[#This Row],[SALES]]/RAW[[#This Row],[HOURLY PAY]],0)</f>
        <v>0</v>
      </c>
    </row>
    <row r="340" spans="1:23" x14ac:dyDescent="0.35">
      <c r="A340" s="23">
        <v>45260</v>
      </c>
      <c r="B340" s="24" t="s">
        <v>21</v>
      </c>
      <c r="C340" s="25" t="s">
        <v>37</v>
      </c>
      <c r="D340" s="14" t="s">
        <v>26</v>
      </c>
      <c r="E340" s="26">
        <v>0</v>
      </c>
      <c r="F340" s="26">
        <v>0</v>
      </c>
      <c r="G340" s="26">
        <v>0</v>
      </c>
      <c r="H340" s="26">
        <v>0</v>
      </c>
      <c r="I340" s="26">
        <v>0</v>
      </c>
      <c r="J340" s="26">
        <v>0</v>
      </c>
      <c r="K340" s="26">
        <v>0</v>
      </c>
      <c r="L340" s="27">
        <v>0</v>
      </c>
      <c r="M340" s="27">
        <v>0</v>
      </c>
      <c r="N340" s="28">
        <v>0</v>
      </c>
      <c r="O340" s="26">
        <v>0</v>
      </c>
      <c r="P340" s="26">
        <v>0</v>
      </c>
      <c r="Q340" s="33">
        <v>0</v>
      </c>
      <c r="R340" s="34">
        <v>0</v>
      </c>
      <c r="S340" s="34">
        <v>0</v>
      </c>
      <c r="T340" s="20">
        <v>0</v>
      </c>
      <c r="U340" s="21" t="s">
        <v>24</v>
      </c>
      <c r="V340" s="22">
        <f>IFERROR(RAW[[#This Row],[ACTUAL GROSS]]/RAW[[#This Row],[CONVERTED]],0)</f>
        <v>0</v>
      </c>
      <c r="W340" s="22">
        <f>IFERROR(RAW[[#This Row],[SALES]]/RAW[[#This Row],[HOURLY PAY]],0)</f>
        <v>0</v>
      </c>
    </row>
    <row r="341" spans="1:23" x14ac:dyDescent="0.35">
      <c r="A341" s="23">
        <v>45260</v>
      </c>
      <c r="B341" s="24" t="s">
        <v>25</v>
      </c>
      <c r="C341" s="25" t="s">
        <v>37</v>
      </c>
      <c r="D341" s="14" t="s">
        <v>26</v>
      </c>
      <c r="E341" s="26">
        <v>438.5</v>
      </c>
      <c r="F341" s="26">
        <v>94.04</v>
      </c>
      <c r="G341" s="26">
        <v>0</v>
      </c>
      <c r="H341" s="26">
        <v>17.54</v>
      </c>
      <c r="I341" s="26">
        <v>1.5798719999999999</v>
      </c>
      <c r="J341" s="26">
        <v>0</v>
      </c>
      <c r="K341" s="26">
        <v>74.920128000000005</v>
      </c>
      <c r="L341" s="27">
        <v>3</v>
      </c>
      <c r="M341" s="27">
        <v>53</v>
      </c>
      <c r="N341" s="28">
        <v>3.8833333333333333</v>
      </c>
      <c r="O341" s="26">
        <v>8.2714999999999996</v>
      </c>
      <c r="P341" s="26">
        <v>83.191628000000009</v>
      </c>
      <c r="Q341" s="33">
        <v>83.191628000000009</v>
      </c>
      <c r="R341" s="34">
        <v>1</v>
      </c>
      <c r="S341" s="34">
        <v>0</v>
      </c>
      <c r="T341" s="20">
        <v>0</v>
      </c>
      <c r="U341" s="21" t="s">
        <v>24</v>
      </c>
      <c r="V341" s="22">
        <f>IFERROR(RAW[[#This Row],[ACTUAL GROSS]]/RAW[[#This Row],[CONVERTED]],0)</f>
        <v>21.422736824034338</v>
      </c>
      <c r="W341" s="22">
        <f>IFERROR(RAW[[#This Row],[SALES]]/RAW[[#This Row],[HOURLY PAY]],0)</f>
        <v>53.013359124705318</v>
      </c>
    </row>
    <row r="342" spans="1:23" x14ac:dyDescent="0.35">
      <c r="A342" s="23">
        <v>45261</v>
      </c>
      <c r="B342" s="24" t="s">
        <v>21</v>
      </c>
      <c r="C342" s="25" t="s">
        <v>38</v>
      </c>
      <c r="D342" s="14" t="s">
        <v>27</v>
      </c>
      <c r="E342" s="26">
        <v>0</v>
      </c>
      <c r="F342" s="26">
        <v>0</v>
      </c>
      <c r="G342" s="26">
        <v>0</v>
      </c>
      <c r="H342" s="26">
        <v>0</v>
      </c>
      <c r="I342" s="26">
        <v>0</v>
      </c>
      <c r="J342" s="26">
        <v>0</v>
      </c>
      <c r="K342" s="26">
        <v>0</v>
      </c>
      <c r="L342" s="27">
        <v>0</v>
      </c>
      <c r="M342" s="27">
        <v>0</v>
      </c>
      <c r="N342" s="28">
        <v>0</v>
      </c>
      <c r="O342" s="26">
        <v>0</v>
      </c>
      <c r="P342" s="26">
        <v>0</v>
      </c>
      <c r="Q342" s="33">
        <v>0</v>
      </c>
      <c r="R342" s="34">
        <v>0</v>
      </c>
      <c r="S342" s="34">
        <v>0</v>
      </c>
      <c r="T342" s="20">
        <v>0</v>
      </c>
      <c r="U342" s="21" t="s">
        <v>24</v>
      </c>
      <c r="V342" s="22">
        <f>IFERROR(RAW[[#This Row],[ACTUAL GROSS]]/RAW[[#This Row],[CONVERTED]],0)</f>
        <v>0</v>
      </c>
      <c r="W342" s="22">
        <f>IFERROR(RAW[[#This Row],[SALES]]/RAW[[#This Row],[HOURLY PAY]],0)</f>
        <v>0</v>
      </c>
    </row>
    <row r="343" spans="1:23" x14ac:dyDescent="0.35">
      <c r="A343" s="23">
        <v>45261</v>
      </c>
      <c r="B343" s="24" t="s">
        <v>25</v>
      </c>
      <c r="C343" s="25" t="s">
        <v>38</v>
      </c>
      <c r="D343" s="14" t="s">
        <v>27</v>
      </c>
      <c r="E343" s="26">
        <v>1084.5</v>
      </c>
      <c r="F343" s="26">
        <v>199.02</v>
      </c>
      <c r="G343" s="26">
        <v>14</v>
      </c>
      <c r="H343" s="26">
        <v>43.38</v>
      </c>
      <c r="I343" s="26">
        <v>3.3435359999999998</v>
      </c>
      <c r="J343" s="26">
        <v>0</v>
      </c>
      <c r="K343" s="26">
        <v>152.29646400000001</v>
      </c>
      <c r="L343" s="27">
        <v>5</v>
      </c>
      <c r="M343" s="27">
        <v>33</v>
      </c>
      <c r="N343" s="28">
        <v>5.55</v>
      </c>
      <c r="O343" s="26">
        <v>11.821499999999999</v>
      </c>
      <c r="P343" s="26">
        <v>164.117964</v>
      </c>
      <c r="Q343" s="33">
        <v>178.117964</v>
      </c>
      <c r="R343" s="34">
        <v>1</v>
      </c>
      <c r="S343" s="34">
        <v>0</v>
      </c>
      <c r="T343" s="20">
        <v>0</v>
      </c>
      <c r="U343" s="21" t="s">
        <v>24</v>
      </c>
      <c r="V343" s="22">
        <f>IFERROR(RAW[[#This Row],[ACTUAL GROSS]]/RAW[[#This Row],[CONVERTED]],0)</f>
        <v>32.09332684684685</v>
      </c>
      <c r="W343" s="22">
        <f>IFERROR(RAW[[#This Row],[SALES]]/RAW[[#This Row],[HOURLY PAY]],0)</f>
        <v>91.739626950894561</v>
      </c>
    </row>
    <row r="344" spans="1:23" x14ac:dyDescent="0.35">
      <c r="A344" s="23">
        <v>45262</v>
      </c>
      <c r="B344" s="24" t="s">
        <v>21</v>
      </c>
      <c r="C344" s="25" t="s">
        <v>38</v>
      </c>
      <c r="D344" s="14" t="s">
        <v>28</v>
      </c>
      <c r="E344" s="26">
        <v>0</v>
      </c>
      <c r="F344" s="26">
        <v>0</v>
      </c>
      <c r="G344" s="26">
        <v>0</v>
      </c>
      <c r="H344" s="26">
        <v>0</v>
      </c>
      <c r="I344" s="26">
        <v>0</v>
      </c>
      <c r="J344" s="26">
        <v>0</v>
      </c>
      <c r="K344" s="26">
        <v>0</v>
      </c>
      <c r="L344" s="27">
        <v>0</v>
      </c>
      <c r="M344" s="27">
        <v>0</v>
      </c>
      <c r="N344" s="28">
        <v>0</v>
      </c>
      <c r="O344" s="26">
        <v>0</v>
      </c>
      <c r="P344" s="26">
        <v>0</v>
      </c>
      <c r="Q344" s="33">
        <v>0</v>
      </c>
      <c r="R344" s="34">
        <v>0</v>
      </c>
      <c r="S344" s="34">
        <v>0</v>
      </c>
      <c r="T344" s="20">
        <v>0</v>
      </c>
      <c r="U344" s="21" t="s">
        <v>24</v>
      </c>
      <c r="V344" s="22">
        <f>IFERROR(RAW[[#This Row],[ACTUAL GROSS]]/RAW[[#This Row],[CONVERTED]],0)</f>
        <v>0</v>
      </c>
      <c r="W344" s="22">
        <f>IFERROR(RAW[[#This Row],[SALES]]/RAW[[#This Row],[HOURLY PAY]],0)</f>
        <v>0</v>
      </c>
    </row>
    <row r="345" spans="1:23" x14ac:dyDescent="0.35">
      <c r="A345" s="23">
        <v>45262</v>
      </c>
      <c r="B345" s="24" t="s">
        <v>25</v>
      </c>
      <c r="C345" s="25" t="s">
        <v>38</v>
      </c>
      <c r="D345" s="14" t="s">
        <v>28</v>
      </c>
      <c r="E345" s="26">
        <v>0</v>
      </c>
      <c r="F345" s="26">
        <v>0</v>
      </c>
      <c r="G345" s="26">
        <v>0</v>
      </c>
      <c r="H345" s="26">
        <v>0</v>
      </c>
      <c r="I345" s="26">
        <v>0</v>
      </c>
      <c r="J345" s="26">
        <v>0</v>
      </c>
      <c r="K345" s="26">
        <v>0</v>
      </c>
      <c r="L345" s="27">
        <v>0</v>
      </c>
      <c r="M345" s="27">
        <v>0</v>
      </c>
      <c r="N345" s="28">
        <v>0</v>
      </c>
      <c r="O345" s="26">
        <v>0</v>
      </c>
      <c r="P345" s="26">
        <v>0</v>
      </c>
      <c r="Q345" s="33">
        <v>0</v>
      </c>
      <c r="R345" s="34">
        <v>0</v>
      </c>
      <c r="S345" s="34">
        <v>0</v>
      </c>
      <c r="T345" s="20">
        <v>0</v>
      </c>
      <c r="U345" s="21" t="s">
        <v>24</v>
      </c>
      <c r="V345" s="22">
        <f>IFERROR(RAW[[#This Row],[ACTUAL GROSS]]/RAW[[#This Row],[CONVERTED]],0)</f>
        <v>0</v>
      </c>
      <c r="W345" s="22">
        <f>IFERROR(RAW[[#This Row],[SALES]]/RAW[[#This Row],[HOURLY PAY]],0)</f>
        <v>0</v>
      </c>
    </row>
    <row r="346" spans="1:23" x14ac:dyDescent="0.35">
      <c r="A346" s="23">
        <v>45263</v>
      </c>
      <c r="B346" s="24" t="s">
        <v>21</v>
      </c>
      <c r="C346" s="25" t="s">
        <v>38</v>
      </c>
      <c r="D346" s="14" t="s">
        <v>29</v>
      </c>
      <c r="E346" s="26">
        <v>0</v>
      </c>
      <c r="F346" s="26">
        <v>0</v>
      </c>
      <c r="G346" s="26">
        <v>0</v>
      </c>
      <c r="H346" s="26">
        <v>0</v>
      </c>
      <c r="I346" s="26">
        <v>0</v>
      </c>
      <c r="J346" s="26">
        <v>0</v>
      </c>
      <c r="K346" s="26">
        <v>0</v>
      </c>
      <c r="L346" s="27">
        <v>0</v>
      </c>
      <c r="M346" s="27">
        <v>0</v>
      </c>
      <c r="N346" s="28">
        <v>0</v>
      </c>
      <c r="O346" s="26">
        <v>0</v>
      </c>
      <c r="P346" s="26">
        <v>0</v>
      </c>
      <c r="Q346" s="33">
        <v>0</v>
      </c>
      <c r="R346" s="34">
        <v>0</v>
      </c>
      <c r="S346" s="34">
        <v>0</v>
      </c>
      <c r="T346" s="20">
        <v>0</v>
      </c>
      <c r="U346" s="21" t="s">
        <v>24</v>
      </c>
      <c r="V346" s="22">
        <f>IFERROR(RAW[[#This Row],[ACTUAL GROSS]]/RAW[[#This Row],[CONVERTED]],0)</f>
        <v>0</v>
      </c>
      <c r="W346" s="22">
        <f>IFERROR(RAW[[#This Row],[SALES]]/RAW[[#This Row],[HOURLY PAY]],0)</f>
        <v>0</v>
      </c>
    </row>
    <row r="347" spans="1:23" x14ac:dyDescent="0.35">
      <c r="A347" s="23">
        <v>45263</v>
      </c>
      <c r="B347" s="24" t="s">
        <v>25</v>
      </c>
      <c r="C347" s="25" t="s">
        <v>38</v>
      </c>
      <c r="D347" s="14" t="s">
        <v>29</v>
      </c>
      <c r="E347" s="26">
        <v>1199</v>
      </c>
      <c r="F347" s="26">
        <v>244.05</v>
      </c>
      <c r="G347" s="26">
        <v>0</v>
      </c>
      <c r="H347" s="26">
        <v>47.96</v>
      </c>
      <c r="I347" s="26">
        <v>4.1000399999999999</v>
      </c>
      <c r="J347" s="26">
        <v>0</v>
      </c>
      <c r="K347" s="26">
        <v>191.98996</v>
      </c>
      <c r="L347" s="27">
        <v>4</v>
      </c>
      <c r="M347" s="27">
        <v>29</v>
      </c>
      <c r="N347" s="28">
        <v>4.4833333333333334</v>
      </c>
      <c r="O347" s="26">
        <v>9.5495000000000001</v>
      </c>
      <c r="P347" s="26">
        <v>201.53945999999999</v>
      </c>
      <c r="Q347" s="33">
        <v>201.53945999999999</v>
      </c>
      <c r="R347" s="34">
        <v>1</v>
      </c>
      <c r="S347" s="34">
        <v>0</v>
      </c>
      <c r="T347" s="20">
        <v>0</v>
      </c>
      <c r="U347" s="21" t="s">
        <v>24</v>
      </c>
      <c r="V347" s="22">
        <f>IFERROR(RAW[[#This Row],[ACTUAL GROSS]]/RAW[[#This Row],[CONVERTED]],0)</f>
        <v>44.953039405204457</v>
      </c>
      <c r="W347" s="22">
        <f>IFERROR(RAW[[#This Row],[SALES]]/RAW[[#This Row],[HOURLY PAY]],0)</f>
        <v>125.5563118487879</v>
      </c>
    </row>
    <row r="348" spans="1:23" x14ac:dyDescent="0.35">
      <c r="A348" s="23">
        <v>45264</v>
      </c>
      <c r="B348" s="24" t="s">
        <v>21</v>
      </c>
      <c r="C348" s="25" t="s">
        <v>38</v>
      </c>
      <c r="D348" s="14" t="s">
        <v>30</v>
      </c>
      <c r="E348" s="26">
        <v>0</v>
      </c>
      <c r="F348" s="26">
        <v>0</v>
      </c>
      <c r="G348" s="26">
        <v>0</v>
      </c>
      <c r="H348" s="26">
        <v>0</v>
      </c>
      <c r="I348" s="26">
        <v>0</v>
      </c>
      <c r="J348" s="26">
        <v>0</v>
      </c>
      <c r="K348" s="26">
        <v>0</v>
      </c>
      <c r="L348" s="27">
        <v>0</v>
      </c>
      <c r="M348" s="27">
        <v>0</v>
      </c>
      <c r="N348" s="28">
        <v>0</v>
      </c>
      <c r="O348" s="26">
        <v>0</v>
      </c>
      <c r="P348" s="26">
        <v>0</v>
      </c>
      <c r="Q348" s="33">
        <v>0</v>
      </c>
      <c r="R348" s="34">
        <v>0</v>
      </c>
      <c r="S348" s="34">
        <v>0</v>
      </c>
      <c r="T348" s="20">
        <v>0</v>
      </c>
      <c r="U348" s="21" t="s">
        <v>24</v>
      </c>
      <c r="V348" s="22">
        <f>IFERROR(RAW[[#This Row],[ACTUAL GROSS]]/RAW[[#This Row],[CONVERTED]],0)</f>
        <v>0</v>
      </c>
      <c r="W348" s="22">
        <f>IFERROR(RAW[[#This Row],[SALES]]/RAW[[#This Row],[HOURLY PAY]],0)</f>
        <v>0</v>
      </c>
    </row>
    <row r="349" spans="1:23" x14ac:dyDescent="0.35">
      <c r="A349" s="23">
        <v>45264</v>
      </c>
      <c r="B349" s="24" t="s">
        <v>25</v>
      </c>
      <c r="C349" s="25" t="s">
        <v>38</v>
      </c>
      <c r="D349" s="14" t="s">
        <v>30</v>
      </c>
      <c r="E349" s="26">
        <v>465</v>
      </c>
      <c r="F349" s="26">
        <v>95.09</v>
      </c>
      <c r="G349" s="26">
        <v>0</v>
      </c>
      <c r="H349" s="26">
        <v>18.600000000000001</v>
      </c>
      <c r="I349" s="26">
        <v>1.597512</v>
      </c>
      <c r="J349" s="26">
        <v>0</v>
      </c>
      <c r="K349" s="26">
        <v>74.892488</v>
      </c>
      <c r="L349" s="27">
        <v>5</v>
      </c>
      <c r="M349" s="27">
        <v>12</v>
      </c>
      <c r="N349" s="28">
        <v>5.2</v>
      </c>
      <c r="O349" s="26">
        <v>11.076000000000001</v>
      </c>
      <c r="P349" s="26">
        <v>85.968488000000008</v>
      </c>
      <c r="Q349" s="33">
        <v>85.968488000000008</v>
      </c>
      <c r="R349" s="34">
        <v>1</v>
      </c>
      <c r="S349" s="34">
        <v>0</v>
      </c>
      <c r="T349" s="20">
        <v>0</v>
      </c>
      <c r="U349" s="21" t="s">
        <v>24</v>
      </c>
      <c r="V349" s="22">
        <f>IFERROR(RAW[[#This Row],[ACTUAL GROSS]]/RAW[[#This Row],[CONVERTED]],0)</f>
        <v>16.532401538461539</v>
      </c>
      <c r="W349" s="22">
        <f>IFERROR(RAW[[#This Row],[SALES]]/RAW[[#This Row],[HOURLY PAY]],0)</f>
        <v>41.982665222101836</v>
      </c>
    </row>
    <row r="350" spans="1:23" x14ac:dyDescent="0.35">
      <c r="A350" s="23">
        <v>45265</v>
      </c>
      <c r="B350" s="24" t="s">
        <v>21</v>
      </c>
      <c r="C350" s="25" t="s">
        <v>38</v>
      </c>
      <c r="D350" s="14" t="s">
        <v>31</v>
      </c>
      <c r="E350" s="26">
        <v>0</v>
      </c>
      <c r="F350" s="26">
        <v>0</v>
      </c>
      <c r="G350" s="26">
        <v>0</v>
      </c>
      <c r="H350" s="26">
        <v>0</v>
      </c>
      <c r="I350" s="26">
        <v>0</v>
      </c>
      <c r="J350" s="26">
        <v>0</v>
      </c>
      <c r="K350" s="26">
        <v>0</v>
      </c>
      <c r="L350" s="27">
        <v>0</v>
      </c>
      <c r="M350" s="27">
        <v>0</v>
      </c>
      <c r="N350" s="28">
        <v>0</v>
      </c>
      <c r="O350" s="26">
        <v>0</v>
      </c>
      <c r="P350" s="26">
        <v>0</v>
      </c>
      <c r="Q350" s="33">
        <v>0</v>
      </c>
      <c r="R350" s="34">
        <v>0</v>
      </c>
      <c r="S350" s="34">
        <v>0</v>
      </c>
      <c r="T350" s="20">
        <v>0</v>
      </c>
      <c r="U350" s="21" t="s">
        <v>24</v>
      </c>
      <c r="V350" s="22">
        <f>IFERROR(RAW[[#This Row],[ACTUAL GROSS]]/RAW[[#This Row],[CONVERTED]],0)</f>
        <v>0</v>
      </c>
      <c r="W350" s="22">
        <f>IFERROR(RAW[[#This Row],[SALES]]/RAW[[#This Row],[HOURLY PAY]],0)</f>
        <v>0</v>
      </c>
    </row>
    <row r="351" spans="1:23" x14ac:dyDescent="0.35">
      <c r="A351" s="23">
        <v>45265</v>
      </c>
      <c r="B351" s="24" t="s">
        <v>25</v>
      </c>
      <c r="C351" s="25" t="s">
        <v>38</v>
      </c>
      <c r="D351" s="14" t="s">
        <v>31</v>
      </c>
      <c r="E351" s="26">
        <v>0</v>
      </c>
      <c r="F351" s="26">
        <v>0</v>
      </c>
      <c r="G351" s="26">
        <v>0</v>
      </c>
      <c r="H351" s="26">
        <v>0</v>
      </c>
      <c r="I351" s="26">
        <v>0</v>
      </c>
      <c r="J351" s="26">
        <v>0</v>
      </c>
      <c r="K351" s="26">
        <v>0</v>
      </c>
      <c r="L351" s="27">
        <v>0</v>
      </c>
      <c r="M351" s="27">
        <v>0</v>
      </c>
      <c r="N351" s="28">
        <v>0</v>
      </c>
      <c r="O351" s="26">
        <v>0</v>
      </c>
      <c r="P351" s="26">
        <v>0</v>
      </c>
      <c r="Q351" s="33">
        <v>0</v>
      </c>
      <c r="R351" s="34">
        <v>0</v>
      </c>
      <c r="S351" s="34">
        <v>0</v>
      </c>
      <c r="T351" s="20">
        <v>0</v>
      </c>
      <c r="U351" s="21" t="s">
        <v>24</v>
      </c>
      <c r="V351" s="22">
        <f>IFERROR(RAW[[#This Row],[ACTUAL GROSS]]/RAW[[#This Row],[CONVERTED]],0)</f>
        <v>0</v>
      </c>
      <c r="W351" s="22">
        <f>IFERROR(RAW[[#This Row],[SALES]]/RAW[[#This Row],[HOURLY PAY]],0)</f>
        <v>0</v>
      </c>
    </row>
    <row r="352" spans="1:23" x14ac:dyDescent="0.35">
      <c r="A352" s="23">
        <v>45266</v>
      </c>
      <c r="B352" s="24" t="s">
        <v>21</v>
      </c>
      <c r="C352" s="25" t="s">
        <v>38</v>
      </c>
      <c r="D352" s="14" t="s">
        <v>23</v>
      </c>
      <c r="E352" s="26">
        <v>698.5</v>
      </c>
      <c r="F352" s="26">
        <v>127.8</v>
      </c>
      <c r="G352" s="26">
        <v>0</v>
      </c>
      <c r="H352" s="26">
        <v>27.94</v>
      </c>
      <c r="I352" s="26">
        <v>2.1470399999999996</v>
      </c>
      <c r="J352" s="26">
        <v>0</v>
      </c>
      <c r="K352" s="26">
        <v>97.712959999999995</v>
      </c>
      <c r="L352" s="27">
        <v>4</v>
      </c>
      <c r="M352" s="27">
        <v>31</v>
      </c>
      <c r="N352" s="28">
        <v>4.5166666666666666</v>
      </c>
      <c r="O352" s="26">
        <v>9.6204999999999998</v>
      </c>
      <c r="P352" s="26">
        <v>107.33346</v>
      </c>
      <c r="Q352" s="33">
        <v>107.33346</v>
      </c>
      <c r="R352" s="34">
        <v>1</v>
      </c>
      <c r="S352" s="34">
        <v>1</v>
      </c>
      <c r="T352" s="20">
        <v>0</v>
      </c>
      <c r="U352" s="21" t="s">
        <v>24</v>
      </c>
      <c r="V352" s="237">
        <f>IFERROR(RAW[[#This Row],[ACTUAL GROSS]]/RAW[[#This Row],[CONVERTED]],0)</f>
        <v>23.763865682656828</v>
      </c>
      <c r="W352" s="22">
        <f>IFERROR(RAW[[#This Row],[SALES]]/RAW[[#This Row],[HOURLY PAY]],0)</f>
        <v>72.605373941063363</v>
      </c>
    </row>
    <row r="353" spans="1:23" x14ac:dyDescent="0.35">
      <c r="A353" s="23">
        <v>45266</v>
      </c>
      <c r="B353" s="24" t="s">
        <v>25</v>
      </c>
      <c r="C353" s="25" t="s">
        <v>38</v>
      </c>
      <c r="D353" s="14" t="s">
        <v>23</v>
      </c>
      <c r="E353" s="26">
        <v>0</v>
      </c>
      <c r="F353" s="26">
        <v>0</v>
      </c>
      <c r="G353" s="26">
        <v>0</v>
      </c>
      <c r="H353" s="26">
        <v>0</v>
      </c>
      <c r="I353" s="26">
        <v>0</v>
      </c>
      <c r="J353" s="26">
        <v>0</v>
      </c>
      <c r="K353" s="26">
        <v>0</v>
      </c>
      <c r="L353" s="27">
        <v>0</v>
      </c>
      <c r="M353" s="27">
        <v>0</v>
      </c>
      <c r="N353" s="28">
        <v>0</v>
      </c>
      <c r="O353" s="26">
        <v>0</v>
      </c>
      <c r="P353" s="26">
        <v>0</v>
      </c>
      <c r="Q353" s="33">
        <v>0</v>
      </c>
      <c r="R353" s="34">
        <v>0</v>
      </c>
      <c r="S353" s="34">
        <v>0</v>
      </c>
      <c r="T353" s="20">
        <v>0</v>
      </c>
      <c r="U353" s="21" t="s">
        <v>24</v>
      </c>
      <c r="V353" s="22">
        <f>IFERROR(RAW[[#This Row],[ACTUAL GROSS]]/RAW[[#This Row],[CONVERTED]],0)</f>
        <v>0</v>
      </c>
      <c r="W353" s="22">
        <f>IFERROR(RAW[[#This Row],[SALES]]/RAW[[#This Row],[HOURLY PAY]],0)</f>
        <v>0</v>
      </c>
    </row>
    <row r="354" spans="1:23" x14ac:dyDescent="0.35">
      <c r="A354" s="23">
        <v>45267</v>
      </c>
      <c r="B354" s="24" t="s">
        <v>21</v>
      </c>
      <c r="C354" s="25" t="s">
        <v>38</v>
      </c>
      <c r="D354" s="14" t="s">
        <v>26</v>
      </c>
      <c r="E354" s="26">
        <v>0</v>
      </c>
      <c r="F354" s="26">
        <v>0</v>
      </c>
      <c r="G354" s="26">
        <v>0</v>
      </c>
      <c r="H354" s="26">
        <v>0</v>
      </c>
      <c r="I354" s="26">
        <v>0</v>
      </c>
      <c r="J354" s="26">
        <v>0</v>
      </c>
      <c r="K354" s="26">
        <v>0</v>
      </c>
      <c r="L354" s="27">
        <v>0</v>
      </c>
      <c r="M354" s="27">
        <v>0</v>
      </c>
      <c r="N354" s="28">
        <v>0</v>
      </c>
      <c r="O354" s="26">
        <v>0</v>
      </c>
      <c r="P354" s="26">
        <v>0</v>
      </c>
      <c r="Q354" s="33">
        <v>0</v>
      </c>
      <c r="R354" s="34">
        <v>0</v>
      </c>
      <c r="S354" s="34">
        <v>0</v>
      </c>
      <c r="T354" s="20">
        <v>0</v>
      </c>
      <c r="U354" s="21" t="s">
        <v>24</v>
      </c>
      <c r="V354" s="22">
        <f>IFERROR(RAW[[#This Row],[ACTUAL GROSS]]/RAW[[#This Row],[CONVERTED]],0)</f>
        <v>0</v>
      </c>
      <c r="W354" s="22">
        <f>IFERROR(RAW[[#This Row],[SALES]]/RAW[[#This Row],[HOURLY PAY]],0)</f>
        <v>0</v>
      </c>
    </row>
    <row r="355" spans="1:23" x14ac:dyDescent="0.35">
      <c r="A355" s="23">
        <v>45267</v>
      </c>
      <c r="B355" s="24" t="s">
        <v>25</v>
      </c>
      <c r="C355" s="25" t="s">
        <v>38</v>
      </c>
      <c r="D355" s="14" t="s">
        <v>26</v>
      </c>
      <c r="E355" s="26">
        <v>0</v>
      </c>
      <c r="F355" s="26">
        <v>0</v>
      </c>
      <c r="G355" s="26">
        <v>0</v>
      </c>
      <c r="H355" s="26">
        <v>0</v>
      </c>
      <c r="I355" s="26">
        <v>0</v>
      </c>
      <c r="J355" s="26">
        <v>0</v>
      </c>
      <c r="K355" s="26">
        <v>0</v>
      </c>
      <c r="L355" s="27">
        <v>0</v>
      </c>
      <c r="M355" s="27">
        <v>0</v>
      </c>
      <c r="N355" s="28">
        <v>0</v>
      </c>
      <c r="O355" s="26">
        <v>0</v>
      </c>
      <c r="P355" s="26">
        <v>0</v>
      </c>
      <c r="Q355" s="33">
        <v>0</v>
      </c>
      <c r="R355" s="34">
        <v>0</v>
      </c>
      <c r="S355" s="34">
        <v>0</v>
      </c>
      <c r="T355" s="20">
        <v>0</v>
      </c>
      <c r="U355" s="21" t="s">
        <v>24</v>
      </c>
      <c r="V355" s="22">
        <f>IFERROR(RAW[[#This Row],[ACTUAL GROSS]]/RAW[[#This Row],[CONVERTED]],0)</f>
        <v>0</v>
      </c>
      <c r="W355" s="22">
        <f>IFERROR(RAW[[#This Row],[SALES]]/RAW[[#This Row],[HOURLY PAY]],0)</f>
        <v>0</v>
      </c>
    </row>
    <row r="356" spans="1:23" x14ac:dyDescent="0.35">
      <c r="A356" s="23">
        <v>45268</v>
      </c>
      <c r="B356" s="24" t="s">
        <v>21</v>
      </c>
      <c r="C356" s="25" t="s">
        <v>38</v>
      </c>
      <c r="D356" s="14" t="s">
        <v>27</v>
      </c>
      <c r="E356" s="26">
        <v>0</v>
      </c>
      <c r="F356" s="26">
        <v>0</v>
      </c>
      <c r="G356" s="26">
        <v>0</v>
      </c>
      <c r="H356" s="26">
        <v>0</v>
      </c>
      <c r="I356" s="26">
        <v>0</v>
      </c>
      <c r="J356" s="26">
        <v>0</v>
      </c>
      <c r="K356" s="26">
        <v>0</v>
      </c>
      <c r="L356" s="27">
        <v>0</v>
      </c>
      <c r="M356" s="27">
        <v>0</v>
      </c>
      <c r="N356" s="28">
        <v>0</v>
      </c>
      <c r="O356" s="26">
        <v>0</v>
      </c>
      <c r="P356" s="26">
        <v>0</v>
      </c>
      <c r="Q356" s="33">
        <v>0</v>
      </c>
      <c r="R356" s="34">
        <v>0</v>
      </c>
      <c r="S356" s="34">
        <v>0</v>
      </c>
      <c r="T356" s="20">
        <v>0</v>
      </c>
      <c r="U356" s="21" t="s">
        <v>24</v>
      </c>
      <c r="V356" s="22">
        <f>IFERROR(RAW[[#This Row],[ACTUAL GROSS]]/RAW[[#This Row],[CONVERTED]],0)</f>
        <v>0</v>
      </c>
      <c r="W356" s="22">
        <f>IFERROR(RAW[[#This Row],[SALES]]/RAW[[#This Row],[HOURLY PAY]],0)</f>
        <v>0</v>
      </c>
    </row>
    <row r="357" spans="1:23" x14ac:dyDescent="0.35">
      <c r="A357" s="23">
        <v>45268</v>
      </c>
      <c r="B357" s="24" t="s">
        <v>25</v>
      </c>
      <c r="C357" s="25" t="s">
        <v>38</v>
      </c>
      <c r="D357" s="14" t="s">
        <v>27</v>
      </c>
      <c r="E357" s="26">
        <v>1617</v>
      </c>
      <c r="F357" s="26">
        <v>286.61</v>
      </c>
      <c r="G357" s="26">
        <v>32</v>
      </c>
      <c r="H357" s="26">
        <v>64.680000000000007</v>
      </c>
      <c r="I357" s="26">
        <v>4.815048</v>
      </c>
      <c r="J357" s="26">
        <v>9</v>
      </c>
      <c r="K357" s="26">
        <v>217.11495200000002</v>
      </c>
      <c r="L357" s="27">
        <v>5</v>
      </c>
      <c r="M357" s="27">
        <v>18</v>
      </c>
      <c r="N357" s="28">
        <v>5.3</v>
      </c>
      <c r="O357" s="26">
        <v>11.289</v>
      </c>
      <c r="P357" s="26">
        <v>237.403952</v>
      </c>
      <c r="Q357" s="33">
        <v>260.403952</v>
      </c>
      <c r="R357" s="34">
        <v>1</v>
      </c>
      <c r="S357" s="34">
        <v>0</v>
      </c>
      <c r="T357" s="20">
        <v>0</v>
      </c>
      <c r="U357" s="21" t="s">
        <v>24</v>
      </c>
      <c r="V357" s="22">
        <f>IFERROR(RAW[[#This Row],[ACTUAL GROSS]]/RAW[[#This Row],[CONVERTED]],0)</f>
        <v>49.132821132075478</v>
      </c>
      <c r="W357" s="22">
        <f>IFERROR(RAW[[#This Row],[SALES]]/RAW[[#This Row],[HOURLY PAY]],0)</f>
        <v>143.2367791655594</v>
      </c>
    </row>
    <row r="358" spans="1:23" x14ac:dyDescent="0.35">
      <c r="A358" s="23">
        <v>45269</v>
      </c>
      <c r="B358" s="24" t="s">
        <v>21</v>
      </c>
      <c r="C358" s="25" t="s">
        <v>38</v>
      </c>
      <c r="D358" s="14" t="s">
        <v>28</v>
      </c>
      <c r="E358" s="26">
        <v>322</v>
      </c>
      <c r="F358" s="26">
        <v>35.32</v>
      </c>
      <c r="G358" s="26">
        <v>30</v>
      </c>
      <c r="H358" s="26">
        <v>12.88</v>
      </c>
      <c r="I358" s="26">
        <v>0.59337600000000001</v>
      </c>
      <c r="J358" s="26">
        <v>0</v>
      </c>
      <c r="K358" s="26">
        <v>21.846623999999998</v>
      </c>
      <c r="L358" s="27">
        <v>2</v>
      </c>
      <c r="M358" s="27">
        <v>56</v>
      </c>
      <c r="N358" s="28">
        <v>2.9333333333333331</v>
      </c>
      <c r="O358" s="26">
        <v>6.2479999999999993</v>
      </c>
      <c r="P358" s="26">
        <v>28.094623999999996</v>
      </c>
      <c r="Q358" s="33">
        <v>58.094623999999996</v>
      </c>
      <c r="R358" s="34">
        <v>1</v>
      </c>
      <c r="S358" s="34">
        <v>1</v>
      </c>
      <c r="T358" s="20">
        <v>0</v>
      </c>
      <c r="U358" s="21" t="s">
        <v>34</v>
      </c>
      <c r="V358" s="22">
        <f>IFERROR(RAW[[#This Row],[ACTUAL GROSS]]/RAW[[#This Row],[CONVERTED]],0)</f>
        <v>19.804985454545456</v>
      </c>
      <c r="W358" s="22">
        <f>IFERROR(RAW[[#This Row],[SALES]]/RAW[[#This Row],[HOURLY PAY]],0)</f>
        <v>51.536491677336755</v>
      </c>
    </row>
    <row r="359" spans="1:23" x14ac:dyDescent="0.35">
      <c r="A359" s="23">
        <v>45269</v>
      </c>
      <c r="B359" s="24" t="s">
        <v>25</v>
      </c>
      <c r="C359" s="25" t="s">
        <v>38</v>
      </c>
      <c r="D359" s="14" t="s">
        <v>28</v>
      </c>
      <c r="E359" s="26">
        <v>1072</v>
      </c>
      <c r="F359" s="26">
        <v>196.72</v>
      </c>
      <c r="G359" s="26">
        <v>12</v>
      </c>
      <c r="H359" s="26">
        <v>42.88</v>
      </c>
      <c r="I359" s="26">
        <v>3.3048959999999998</v>
      </c>
      <c r="J359" s="26">
        <v>6.5</v>
      </c>
      <c r="K359" s="26">
        <v>150.53510399999999</v>
      </c>
      <c r="L359" s="27">
        <v>4</v>
      </c>
      <c r="M359" s="27">
        <v>53</v>
      </c>
      <c r="N359" s="28">
        <v>4.8833333333333337</v>
      </c>
      <c r="O359" s="26">
        <v>10.4015</v>
      </c>
      <c r="P359" s="26">
        <v>167.43660399999999</v>
      </c>
      <c r="Q359" s="33">
        <v>172.93660399999999</v>
      </c>
      <c r="R359" s="34">
        <v>1</v>
      </c>
      <c r="S359" s="34">
        <v>0</v>
      </c>
      <c r="T359" s="20">
        <v>1</v>
      </c>
      <c r="U359" s="21" t="s">
        <v>34</v>
      </c>
      <c r="V359" s="22">
        <f>IFERROR(RAW[[#This Row],[ACTUAL GROSS]]/RAW[[#This Row],[CONVERTED]],0)</f>
        <v>35.413639044368594</v>
      </c>
      <c r="W359" s="22">
        <f>IFERROR(RAW[[#This Row],[SALES]]/RAW[[#This Row],[HOURLY PAY]],0)</f>
        <v>103.06205835696774</v>
      </c>
    </row>
    <row r="360" spans="1:23" x14ac:dyDescent="0.35">
      <c r="A360" s="23">
        <v>45270</v>
      </c>
      <c r="B360" s="24" t="s">
        <v>21</v>
      </c>
      <c r="C360" s="25" t="s">
        <v>38</v>
      </c>
      <c r="D360" s="14" t="s">
        <v>29</v>
      </c>
      <c r="E360" s="26">
        <v>0</v>
      </c>
      <c r="F360" s="26">
        <v>0</v>
      </c>
      <c r="G360" s="26">
        <v>0</v>
      </c>
      <c r="H360" s="26">
        <v>0</v>
      </c>
      <c r="I360" s="26">
        <v>0</v>
      </c>
      <c r="J360" s="26">
        <v>0</v>
      </c>
      <c r="K360" s="26">
        <v>0</v>
      </c>
      <c r="L360" s="27">
        <v>0</v>
      </c>
      <c r="M360" s="27">
        <v>0</v>
      </c>
      <c r="N360" s="28">
        <v>0</v>
      </c>
      <c r="O360" s="26">
        <v>0</v>
      </c>
      <c r="P360" s="26">
        <v>0</v>
      </c>
      <c r="Q360" s="33">
        <v>0</v>
      </c>
      <c r="R360" s="34">
        <v>0</v>
      </c>
      <c r="S360" s="34">
        <v>0</v>
      </c>
      <c r="T360" s="20">
        <v>0</v>
      </c>
      <c r="U360" s="21" t="s">
        <v>24</v>
      </c>
      <c r="V360" s="22">
        <f>IFERROR(RAW[[#This Row],[ACTUAL GROSS]]/RAW[[#This Row],[CONVERTED]],0)</f>
        <v>0</v>
      </c>
      <c r="W360" s="22">
        <f>IFERROR(RAW[[#This Row],[SALES]]/RAW[[#This Row],[HOURLY PAY]],0)</f>
        <v>0</v>
      </c>
    </row>
    <row r="361" spans="1:23" x14ac:dyDescent="0.35">
      <c r="A361" s="23">
        <v>45270</v>
      </c>
      <c r="B361" s="24" t="s">
        <v>25</v>
      </c>
      <c r="C361" s="25" t="s">
        <v>38</v>
      </c>
      <c r="D361" s="14" t="s">
        <v>29</v>
      </c>
      <c r="E361" s="26">
        <v>0</v>
      </c>
      <c r="F361" s="26">
        <v>0</v>
      </c>
      <c r="G361" s="26">
        <v>0</v>
      </c>
      <c r="H361" s="26">
        <v>0</v>
      </c>
      <c r="I361" s="26">
        <v>0</v>
      </c>
      <c r="J361" s="26">
        <v>0</v>
      </c>
      <c r="K361" s="26">
        <v>0</v>
      </c>
      <c r="L361" s="27">
        <v>0</v>
      </c>
      <c r="M361" s="27">
        <v>0</v>
      </c>
      <c r="N361" s="28">
        <v>0</v>
      </c>
      <c r="O361" s="26">
        <v>0</v>
      </c>
      <c r="P361" s="26">
        <v>0</v>
      </c>
      <c r="Q361" s="33">
        <v>0</v>
      </c>
      <c r="R361" s="34">
        <v>0</v>
      </c>
      <c r="S361" s="34">
        <v>0</v>
      </c>
      <c r="T361" s="20">
        <v>0</v>
      </c>
      <c r="U361" s="21" t="s">
        <v>24</v>
      </c>
      <c r="V361" s="22">
        <f>IFERROR(RAW[[#This Row],[ACTUAL GROSS]]/RAW[[#This Row],[CONVERTED]],0)</f>
        <v>0</v>
      </c>
      <c r="W361" s="22">
        <f>IFERROR(RAW[[#This Row],[SALES]]/RAW[[#This Row],[HOURLY PAY]],0)</f>
        <v>0</v>
      </c>
    </row>
    <row r="362" spans="1:23" x14ac:dyDescent="0.35">
      <c r="A362" s="23">
        <v>45271</v>
      </c>
      <c r="B362" s="24" t="s">
        <v>21</v>
      </c>
      <c r="C362" s="25" t="s">
        <v>38</v>
      </c>
      <c r="D362" s="14" t="s">
        <v>30</v>
      </c>
      <c r="E362" s="26">
        <v>0</v>
      </c>
      <c r="F362" s="26">
        <v>0</v>
      </c>
      <c r="G362" s="26">
        <v>0</v>
      </c>
      <c r="H362" s="26">
        <v>0</v>
      </c>
      <c r="I362" s="26">
        <v>0</v>
      </c>
      <c r="J362" s="26">
        <v>0</v>
      </c>
      <c r="K362" s="26">
        <v>0</v>
      </c>
      <c r="L362" s="27">
        <v>0</v>
      </c>
      <c r="M362" s="27">
        <v>0</v>
      </c>
      <c r="N362" s="28">
        <v>0</v>
      </c>
      <c r="O362" s="26">
        <v>0</v>
      </c>
      <c r="P362" s="26">
        <v>0</v>
      </c>
      <c r="Q362" s="33">
        <v>0</v>
      </c>
      <c r="R362" s="34">
        <v>0</v>
      </c>
      <c r="S362" s="34">
        <v>0</v>
      </c>
      <c r="T362" s="20">
        <v>0</v>
      </c>
      <c r="U362" s="21" t="s">
        <v>24</v>
      </c>
      <c r="V362" s="22">
        <f>IFERROR(RAW[[#This Row],[ACTUAL GROSS]]/RAW[[#This Row],[CONVERTED]],0)</f>
        <v>0</v>
      </c>
      <c r="W362" s="22">
        <f>IFERROR(RAW[[#This Row],[SALES]]/RAW[[#This Row],[HOURLY PAY]],0)</f>
        <v>0</v>
      </c>
    </row>
    <row r="363" spans="1:23" x14ac:dyDescent="0.35">
      <c r="A363" s="23">
        <v>45271</v>
      </c>
      <c r="B363" s="24" t="s">
        <v>25</v>
      </c>
      <c r="C363" s="25" t="s">
        <v>38</v>
      </c>
      <c r="D363" s="14" t="s">
        <v>30</v>
      </c>
      <c r="E363" s="26">
        <v>1044.5</v>
      </c>
      <c r="F363" s="26">
        <v>191.93</v>
      </c>
      <c r="G363" s="26">
        <v>25</v>
      </c>
      <c r="H363" s="26">
        <v>41.78</v>
      </c>
      <c r="I363" s="26">
        <v>3.224424</v>
      </c>
      <c r="J363" s="26">
        <v>0</v>
      </c>
      <c r="K363" s="26">
        <v>146.92557600000001</v>
      </c>
      <c r="L363" s="27">
        <v>4</v>
      </c>
      <c r="M363" s="27">
        <v>10</v>
      </c>
      <c r="N363" s="28">
        <v>4.166666666666667</v>
      </c>
      <c r="O363" s="26">
        <v>8.875</v>
      </c>
      <c r="P363" s="26">
        <v>155.80057600000001</v>
      </c>
      <c r="Q363" s="33">
        <v>180.80057600000001</v>
      </c>
      <c r="R363" s="34">
        <v>1</v>
      </c>
      <c r="S363" s="34">
        <v>0</v>
      </c>
      <c r="T363" s="20">
        <v>0</v>
      </c>
      <c r="U363" s="21" t="s">
        <v>24</v>
      </c>
      <c r="V363" s="22">
        <f>IFERROR(RAW[[#This Row],[ACTUAL GROSS]]/RAW[[#This Row],[CONVERTED]],0)</f>
        <v>43.392138240000001</v>
      </c>
      <c r="W363" s="22">
        <f>IFERROR(RAW[[#This Row],[SALES]]/RAW[[#This Row],[HOURLY PAY]],0)</f>
        <v>117.69014084507042</v>
      </c>
    </row>
    <row r="364" spans="1:23" x14ac:dyDescent="0.35">
      <c r="A364" s="23">
        <v>45272</v>
      </c>
      <c r="B364" s="24" t="s">
        <v>21</v>
      </c>
      <c r="C364" s="25" t="s">
        <v>38</v>
      </c>
      <c r="D364" s="14" t="s">
        <v>31</v>
      </c>
      <c r="E364" s="26">
        <v>0</v>
      </c>
      <c r="F364" s="26">
        <v>0</v>
      </c>
      <c r="G364" s="26">
        <v>0</v>
      </c>
      <c r="H364" s="26">
        <v>0</v>
      </c>
      <c r="I364" s="26">
        <v>0</v>
      </c>
      <c r="J364" s="26">
        <v>0</v>
      </c>
      <c r="K364" s="26">
        <v>0</v>
      </c>
      <c r="L364" s="27">
        <v>0</v>
      </c>
      <c r="M364" s="27">
        <v>0</v>
      </c>
      <c r="N364" s="28">
        <v>0</v>
      </c>
      <c r="O364" s="26">
        <v>0</v>
      </c>
      <c r="P364" s="26">
        <v>0</v>
      </c>
      <c r="Q364" s="33">
        <v>0</v>
      </c>
      <c r="R364" s="34">
        <v>0</v>
      </c>
      <c r="S364" s="34">
        <v>0</v>
      </c>
      <c r="T364" s="20">
        <v>0</v>
      </c>
      <c r="U364" s="21" t="s">
        <v>24</v>
      </c>
      <c r="V364" s="22">
        <f>IFERROR(RAW[[#This Row],[ACTUAL GROSS]]/RAW[[#This Row],[CONVERTED]],0)</f>
        <v>0</v>
      </c>
      <c r="W364" s="22">
        <f>IFERROR(RAW[[#This Row],[SALES]]/RAW[[#This Row],[HOURLY PAY]],0)</f>
        <v>0</v>
      </c>
    </row>
    <row r="365" spans="1:23" x14ac:dyDescent="0.35">
      <c r="A365" s="23">
        <v>45272</v>
      </c>
      <c r="B365" s="24" t="s">
        <v>25</v>
      </c>
      <c r="C365" s="25" t="s">
        <v>38</v>
      </c>
      <c r="D365" s="14" t="s">
        <v>31</v>
      </c>
      <c r="E365" s="26">
        <v>0</v>
      </c>
      <c r="F365" s="26">
        <v>0</v>
      </c>
      <c r="G365" s="26">
        <v>0</v>
      </c>
      <c r="H365" s="26">
        <v>0</v>
      </c>
      <c r="I365" s="26">
        <v>0</v>
      </c>
      <c r="J365" s="26">
        <v>0</v>
      </c>
      <c r="K365" s="26">
        <v>0</v>
      </c>
      <c r="L365" s="27">
        <v>0</v>
      </c>
      <c r="M365" s="27">
        <v>0</v>
      </c>
      <c r="N365" s="28">
        <v>0</v>
      </c>
      <c r="O365" s="26">
        <v>0</v>
      </c>
      <c r="P365" s="26">
        <v>0</v>
      </c>
      <c r="Q365" s="33">
        <v>0</v>
      </c>
      <c r="R365" s="34">
        <v>0</v>
      </c>
      <c r="S365" s="34">
        <v>0</v>
      </c>
      <c r="T365" s="20">
        <v>0</v>
      </c>
      <c r="U365" s="21" t="s">
        <v>24</v>
      </c>
      <c r="V365" s="22">
        <f>IFERROR(RAW[[#This Row],[ACTUAL GROSS]]/RAW[[#This Row],[CONVERTED]],0)</f>
        <v>0</v>
      </c>
      <c r="W365" s="22">
        <f>IFERROR(RAW[[#This Row],[SALES]]/RAW[[#This Row],[HOURLY PAY]],0)</f>
        <v>0</v>
      </c>
    </row>
    <row r="366" spans="1:23" x14ac:dyDescent="0.35">
      <c r="A366" s="23">
        <v>45273</v>
      </c>
      <c r="B366" s="24" t="s">
        <v>21</v>
      </c>
      <c r="C366" s="25" t="s">
        <v>38</v>
      </c>
      <c r="D366" s="14" t="s">
        <v>23</v>
      </c>
      <c r="E366" s="26">
        <v>695</v>
      </c>
      <c r="F366" s="26">
        <v>147.33000000000001</v>
      </c>
      <c r="G366" s="26">
        <v>0</v>
      </c>
      <c r="H366" s="26">
        <v>27.8</v>
      </c>
      <c r="I366" s="26">
        <v>2.4751440000000002</v>
      </c>
      <c r="J366" s="26">
        <v>0</v>
      </c>
      <c r="K366" s="26">
        <v>117.05485600000002</v>
      </c>
      <c r="L366" s="27">
        <v>5</v>
      </c>
      <c r="M366" s="27">
        <v>8</v>
      </c>
      <c r="N366" s="28">
        <v>5.1333333333333337</v>
      </c>
      <c r="O366" s="26">
        <v>10.934000000000001</v>
      </c>
      <c r="P366" s="26">
        <v>127.98885600000001</v>
      </c>
      <c r="Q366" s="33">
        <v>127.98885600000001</v>
      </c>
      <c r="R366" s="34">
        <v>1</v>
      </c>
      <c r="S366" s="34">
        <v>1</v>
      </c>
      <c r="T366" s="20">
        <v>0</v>
      </c>
      <c r="U366" s="21" t="s">
        <v>24</v>
      </c>
      <c r="V366" s="237">
        <f>IFERROR(RAW[[#This Row],[ACTUAL GROSS]]/RAW[[#This Row],[CONVERTED]],0)</f>
        <v>24.932894025974026</v>
      </c>
      <c r="W366" s="22">
        <f>IFERROR(RAW[[#This Row],[SALES]]/RAW[[#This Row],[HOURLY PAY]],0)</f>
        <v>63.563197366014265</v>
      </c>
    </row>
    <row r="367" spans="1:23" x14ac:dyDescent="0.35">
      <c r="A367" s="23">
        <v>45273</v>
      </c>
      <c r="B367" s="24" t="s">
        <v>25</v>
      </c>
      <c r="C367" s="25" t="s">
        <v>38</v>
      </c>
      <c r="D367" s="14" t="s">
        <v>23</v>
      </c>
      <c r="E367" s="26">
        <v>0</v>
      </c>
      <c r="F367" s="26">
        <v>0</v>
      </c>
      <c r="G367" s="26">
        <v>0</v>
      </c>
      <c r="H367" s="26">
        <v>0</v>
      </c>
      <c r="I367" s="26">
        <v>0</v>
      </c>
      <c r="J367" s="26">
        <v>0</v>
      </c>
      <c r="K367" s="26">
        <v>0</v>
      </c>
      <c r="L367" s="27">
        <v>0</v>
      </c>
      <c r="M367" s="27">
        <v>0</v>
      </c>
      <c r="N367" s="28">
        <v>0</v>
      </c>
      <c r="O367" s="26">
        <v>0</v>
      </c>
      <c r="P367" s="26">
        <v>0</v>
      </c>
      <c r="Q367" s="33">
        <v>0</v>
      </c>
      <c r="R367" s="34">
        <v>0</v>
      </c>
      <c r="S367" s="34">
        <v>0</v>
      </c>
      <c r="T367" s="20">
        <v>0</v>
      </c>
      <c r="U367" s="21" t="s">
        <v>24</v>
      </c>
      <c r="V367" s="22">
        <f>IFERROR(RAW[[#This Row],[ACTUAL GROSS]]/RAW[[#This Row],[CONVERTED]],0)</f>
        <v>0</v>
      </c>
      <c r="W367" s="22">
        <f>IFERROR(RAW[[#This Row],[SALES]]/RAW[[#This Row],[HOURLY PAY]],0)</f>
        <v>0</v>
      </c>
    </row>
    <row r="368" spans="1:23" x14ac:dyDescent="0.35">
      <c r="A368" s="23">
        <v>45274</v>
      </c>
      <c r="B368" s="24" t="s">
        <v>21</v>
      </c>
      <c r="C368" s="25" t="s">
        <v>38</v>
      </c>
      <c r="D368" s="14" t="s">
        <v>26</v>
      </c>
      <c r="E368" s="26">
        <v>0</v>
      </c>
      <c r="F368" s="26">
        <v>0</v>
      </c>
      <c r="G368" s="26">
        <v>0</v>
      </c>
      <c r="H368" s="26">
        <v>0</v>
      </c>
      <c r="I368" s="26">
        <v>0</v>
      </c>
      <c r="J368" s="26">
        <v>0</v>
      </c>
      <c r="K368" s="26">
        <v>0</v>
      </c>
      <c r="L368" s="27">
        <v>0</v>
      </c>
      <c r="M368" s="27">
        <v>0</v>
      </c>
      <c r="N368" s="28">
        <v>0</v>
      </c>
      <c r="O368" s="26">
        <v>0</v>
      </c>
      <c r="P368" s="26">
        <v>0</v>
      </c>
      <c r="Q368" s="33">
        <v>0</v>
      </c>
      <c r="R368" s="34">
        <v>0</v>
      </c>
      <c r="S368" s="34">
        <v>0</v>
      </c>
      <c r="T368" s="20">
        <v>0</v>
      </c>
      <c r="U368" s="21" t="s">
        <v>24</v>
      </c>
      <c r="V368" s="22">
        <f>IFERROR(RAW[[#This Row],[ACTUAL GROSS]]/RAW[[#This Row],[CONVERTED]],0)</f>
        <v>0</v>
      </c>
      <c r="W368" s="22">
        <f>IFERROR(RAW[[#This Row],[SALES]]/RAW[[#This Row],[HOURLY PAY]],0)</f>
        <v>0</v>
      </c>
    </row>
    <row r="369" spans="1:23" x14ac:dyDescent="0.35">
      <c r="A369" s="23">
        <v>45274</v>
      </c>
      <c r="B369" s="24" t="s">
        <v>25</v>
      </c>
      <c r="C369" s="25" t="s">
        <v>38</v>
      </c>
      <c r="D369" s="14" t="s">
        <v>26</v>
      </c>
      <c r="E369" s="26">
        <v>0</v>
      </c>
      <c r="F369" s="26">
        <v>0</v>
      </c>
      <c r="G369" s="26">
        <v>0</v>
      </c>
      <c r="H369" s="26">
        <v>0</v>
      </c>
      <c r="I369" s="26">
        <v>0</v>
      </c>
      <c r="J369" s="26">
        <v>0</v>
      </c>
      <c r="K369" s="26">
        <v>0</v>
      </c>
      <c r="L369" s="27">
        <v>0</v>
      </c>
      <c r="M369" s="27">
        <v>0</v>
      </c>
      <c r="N369" s="28">
        <v>0</v>
      </c>
      <c r="O369" s="26">
        <v>0</v>
      </c>
      <c r="P369" s="26">
        <v>0</v>
      </c>
      <c r="Q369" s="33">
        <v>0</v>
      </c>
      <c r="R369" s="34">
        <v>0</v>
      </c>
      <c r="S369" s="34">
        <v>0</v>
      </c>
      <c r="T369" s="20">
        <v>0</v>
      </c>
      <c r="U369" s="21" t="s">
        <v>24</v>
      </c>
      <c r="V369" s="22">
        <f>IFERROR(RAW[[#This Row],[ACTUAL GROSS]]/RAW[[#This Row],[CONVERTED]],0)</f>
        <v>0</v>
      </c>
      <c r="W369" s="22">
        <f>IFERROR(RAW[[#This Row],[SALES]]/RAW[[#This Row],[HOURLY PAY]],0)</f>
        <v>0</v>
      </c>
    </row>
    <row r="370" spans="1:23" x14ac:dyDescent="0.35">
      <c r="A370" s="23">
        <v>45275</v>
      </c>
      <c r="B370" s="24" t="s">
        <v>21</v>
      </c>
      <c r="C370" s="25" t="s">
        <v>38</v>
      </c>
      <c r="D370" s="14" t="s">
        <v>27</v>
      </c>
      <c r="E370" s="26">
        <v>0</v>
      </c>
      <c r="F370" s="26">
        <v>0</v>
      </c>
      <c r="G370" s="26">
        <v>0</v>
      </c>
      <c r="H370" s="26">
        <v>0</v>
      </c>
      <c r="I370" s="26">
        <v>0</v>
      </c>
      <c r="J370" s="26">
        <v>0</v>
      </c>
      <c r="K370" s="26">
        <v>0</v>
      </c>
      <c r="L370" s="27">
        <v>0</v>
      </c>
      <c r="M370" s="27">
        <v>0</v>
      </c>
      <c r="N370" s="28">
        <v>0</v>
      </c>
      <c r="O370" s="26">
        <v>0</v>
      </c>
      <c r="P370" s="26">
        <v>0</v>
      </c>
      <c r="Q370" s="33">
        <v>0</v>
      </c>
      <c r="R370" s="34">
        <v>0</v>
      </c>
      <c r="S370" s="34">
        <v>0</v>
      </c>
      <c r="T370" s="20">
        <v>0</v>
      </c>
      <c r="U370" s="21" t="s">
        <v>24</v>
      </c>
      <c r="V370" s="22">
        <f>IFERROR(RAW[[#This Row],[ACTUAL GROSS]]/RAW[[#This Row],[CONVERTED]],0)</f>
        <v>0</v>
      </c>
      <c r="W370" s="22">
        <f>IFERROR(RAW[[#This Row],[SALES]]/RAW[[#This Row],[HOURLY PAY]],0)</f>
        <v>0</v>
      </c>
    </row>
    <row r="371" spans="1:23" x14ac:dyDescent="0.35">
      <c r="A371" s="23">
        <v>45275</v>
      </c>
      <c r="B371" s="24" t="s">
        <v>25</v>
      </c>
      <c r="C371" s="25" t="s">
        <v>38</v>
      </c>
      <c r="D371" s="14" t="s">
        <v>27</v>
      </c>
      <c r="E371" s="26">
        <v>659</v>
      </c>
      <c r="F371" s="26">
        <v>86.1</v>
      </c>
      <c r="G371" s="26">
        <v>56</v>
      </c>
      <c r="H371" s="26">
        <v>26.36</v>
      </c>
      <c r="I371" s="26">
        <v>1.4464799999999998</v>
      </c>
      <c r="J371" s="26">
        <v>0</v>
      </c>
      <c r="K371" s="26">
        <v>58.293519999999994</v>
      </c>
      <c r="L371" s="27">
        <v>3</v>
      </c>
      <c r="M371" s="27">
        <v>26</v>
      </c>
      <c r="N371" s="28">
        <v>3.4333333333333331</v>
      </c>
      <c r="O371" s="26">
        <v>7.3129999999999988</v>
      </c>
      <c r="P371" s="26">
        <v>65.606519999999989</v>
      </c>
      <c r="Q371" s="33">
        <v>121.60652</v>
      </c>
      <c r="R371" s="34">
        <v>1</v>
      </c>
      <c r="S371" s="34">
        <v>0</v>
      </c>
      <c r="T371" s="20">
        <v>0</v>
      </c>
      <c r="U371" s="21" t="s">
        <v>24</v>
      </c>
      <c r="V371" s="22">
        <f>IFERROR(RAW[[#This Row],[ACTUAL GROSS]]/RAW[[#This Row],[CONVERTED]],0)</f>
        <v>35.41937475728156</v>
      </c>
      <c r="W371" s="22">
        <f>IFERROR(RAW[[#This Row],[SALES]]/RAW[[#This Row],[HOURLY PAY]],0)</f>
        <v>90.113496513058948</v>
      </c>
    </row>
    <row r="372" spans="1:23" x14ac:dyDescent="0.35">
      <c r="A372" s="23">
        <v>45276</v>
      </c>
      <c r="B372" s="24" t="s">
        <v>21</v>
      </c>
      <c r="C372" s="25" t="s">
        <v>38</v>
      </c>
      <c r="D372" s="14" t="s">
        <v>28</v>
      </c>
      <c r="E372" s="26">
        <v>0</v>
      </c>
      <c r="F372" s="26">
        <v>0</v>
      </c>
      <c r="G372" s="26">
        <v>0</v>
      </c>
      <c r="H372" s="26">
        <v>0</v>
      </c>
      <c r="I372" s="26">
        <v>0</v>
      </c>
      <c r="J372" s="26">
        <v>0</v>
      </c>
      <c r="K372" s="26">
        <v>0</v>
      </c>
      <c r="L372" s="27">
        <v>0</v>
      </c>
      <c r="M372" s="27">
        <v>0</v>
      </c>
      <c r="N372" s="28">
        <v>0</v>
      </c>
      <c r="O372" s="26">
        <v>0</v>
      </c>
      <c r="P372" s="26">
        <v>0</v>
      </c>
      <c r="Q372" s="33">
        <v>0</v>
      </c>
      <c r="R372" s="34">
        <v>0</v>
      </c>
      <c r="S372" s="34">
        <v>0</v>
      </c>
      <c r="T372" s="20">
        <v>0</v>
      </c>
      <c r="U372" s="21" t="s">
        <v>24</v>
      </c>
      <c r="V372" s="22">
        <f>IFERROR(RAW[[#This Row],[ACTUAL GROSS]]/RAW[[#This Row],[CONVERTED]],0)</f>
        <v>0</v>
      </c>
      <c r="W372" s="22">
        <f>IFERROR(RAW[[#This Row],[SALES]]/RAW[[#This Row],[HOURLY PAY]],0)</f>
        <v>0</v>
      </c>
    </row>
    <row r="373" spans="1:23" x14ac:dyDescent="0.35">
      <c r="A373" s="23">
        <v>45276</v>
      </c>
      <c r="B373" s="24" t="s">
        <v>25</v>
      </c>
      <c r="C373" s="25" t="s">
        <v>38</v>
      </c>
      <c r="D373" s="14" t="s">
        <v>28</v>
      </c>
      <c r="E373" s="26">
        <v>1181</v>
      </c>
      <c r="F373" s="26">
        <v>179.99</v>
      </c>
      <c r="G373" s="26">
        <v>41</v>
      </c>
      <c r="H373" s="26">
        <v>47.24</v>
      </c>
      <c r="I373" s="26">
        <v>3.0238320000000001</v>
      </c>
      <c r="J373" s="26">
        <v>20</v>
      </c>
      <c r="K373" s="26">
        <v>129.726168</v>
      </c>
      <c r="L373" s="27">
        <v>5</v>
      </c>
      <c r="M373" s="27">
        <v>0</v>
      </c>
      <c r="N373" s="28">
        <v>5</v>
      </c>
      <c r="O373" s="26">
        <v>10.649999999999999</v>
      </c>
      <c r="P373" s="26">
        <v>160.37616800000001</v>
      </c>
      <c r="Q373" s="33">
        <v>181.37616800000001</v>
      </c>
      <c r="R373" s="34">
        <v>1</v>
      </c>
      <c r="S373" s="34">
        <v>0</v>
      </c>
      <c r="T373" s="20">
        <v>0</v>
      </c>
      <c r="U373" s="21" t="s">
        <v>24</v>
      </c>
      <c r="V373" s="22">
        <f>IFERROR(RAW[[#This Row],[ACTUAL GROSS]]/RAW[[#This Row],[CONVERTED]],0)</f>
        <v>36.2752336</v>
      </c>
      <c r="W373" s="22">
        <f>IFERROR(RAW[[#This Row],[SALES]]/RAW[[#This Row],[HOURLY PAY]],0)</f>
        <v>110.89201877934273</v>
      </c>
    </row>
    <row r="374" spans="1:23" x14ac:dyDescent="0.35">
      <c r="A374" s="23">
        <v>45277</v>
      </c>
      <c r="B374" s="24" t="s">
        <v>21</v>
      </c>
      <c r="C374" s="25" t="s">
        <v>38</v>
      </c>
      <c r="D374" s="14" t="s">
        <v>29</v>
      </c>
      <c r="E374" s="26">
        <v>0</v>
      </c>
      <c r="F374" s="26">
        <v>0</v>
      </c>
      <c r="G374" s="26">
        <v>0</v>
      </c>
      <c r="H374" s="26">
        <v>0</v>
      </c>
      <c r="I374" s="26">
        <v>0</v>
      </c>
      <c r="J374" s="26">
        <v>0</v>
      </c>
      <c r="K374" s="26">
        <v>0</v>
      </c>
      <c r="L374" s="27">
        <v>0</v>
      </c>
      <c r="M374" s="27">
        <v>0</v>
      </c>
      <c r="N374" s="28">
        <v>0</v>
      </c>
      <c r="O374" s="26">
        <v>0</v>
      </c>
      <c r="P374" s="26">
        <v>0</v>
      </c>
      <c r="Q374" s="33">
        <v>0</v>
      </c>
      <c r="R374" s="34">
        <v>0</v>
      </c>
      <c r="S374" s="34">
        <v>0</v>
      </c>
      <c r="T374" s="20">
        <v>0</v>
      </c>
      <c r="U374" s="21" t="s">
        <v>24</v>
      </c>
      <c r="V374" s="22">
        <f>IFERROR(RAW[[#This Row],[ACTUAL GROSS]]/RAW[[#This Row],[CONVERTED]],0)</f>
        <v>0</v>
      </c>
      <c r="W374" s="22">
        <f>IFERROR(RAW[[#This Row],[SALES]]/RAW[[#This Row],[HOURLY PAY]],0)</f>
        <v>0</v>
      </c>
    </row>
    <row r="375" spans="1:23" x14ac:dyDescent="0.35">
      <c r="A375" s="23">
        <v>45277</v>
      </c>
      <c r="B375" s="24" t="s">
        <v>25</v>
      </c>
      <c r="C375" s="25" t="s">
        <v>38</v>
      </c>
      <c r="D375" s="14" t="s">
        <v>29</v>
      </c>
      <c r="E375" s="26">
        <v>1390</v>
      </c>
      <c r="F375" s="26">
        <v>237.21</v>
      </c>
      <c r="G375" s="26">
        <v>28</v>
      </c>
      <c r="H375" s="26">
        <v>55.6</v>
      </c>
      <c r="I375" s="26">
        <v>3.985128</v>
      </c>
      <c r="J375" s="26">
        <v>9.6</v>
      </c>
      <c r="K375" s="26">
        <v>177.62487200000001</v>
      </c>
      <c r="L375" s="27">
        <v>5</v>
      </c>
      <c r="M375" s="27">
        <v>37</v>
      </c>
      <c r="N375" s="28">
        <v>5.6166666666666663</v>
      </c>
      <c r="O375" s="26">
        <v>11.963499999999998</v>
      </c>
      <c r="P375" s="26">
        <v>199.18837200000002</v>
      </c>
      <c r="Q375" s="33">
        <v>217.58837200000002</v>
      </c>
      <c r="R375" s="34">
        <v>1</v>
      </c>
      <c r="S375" s="34">
        <v>0</v>
      </c>
      <c r="T375" s="20">
        <v>0</v>
      </c>
      <c r="U375" s="21" t="s">
        <v>24</v>
      </c>
      <c r="V375" s="22">
        <f>IFERROR(RAW[[#This Row],[ACTUAL GROSS]]/RAW[[#This Row],[CONVERTED]],0)</f>
        <v>38.73976949554897</v>
      </c>
      <c r="W375" s="22">
        <f>IFERROR(RAW[[#This Row],[SALES]]/RAW[[#This Row],[HOURLY PAY]],0)</f>
        <v>116.18673465123085</v>
      </c>
    </row>
    <row r="376" spans="1:23" x14ac:dyDescent="0.35">
      <c r="A376" s="23">
        <v>45278</v>
      </c>
      <c r="B376" s="24" t="s">
        <v>21</v>
      </c>
      <c r="C376" s="25" t="s">
        <v>38</v>
      </c>
      <c r="D376" s="14" t="s">
        <v>30</v>
      </c>
      <c r="E376" s="26">
        <v>0</v>
      </c>
      <c r="F376" s="26">
        <v>0</v>
      </c>
      <c r="G376" s="26">
        <v>0</v>
      </c>
      <c r="H376" s="26">
        <v>0</v>
      </c>
      <c r="I376" s="26">
        <v>0</v>
      </c>
      <c r="J376" s="26">
        <v>0</v>
      </c>
      <c r="K376" s="26">
        <v>0</v>
      </c>
      <c r="L376" s="27">
        <v>0</v>
      </c>
      <c r="M376" s="27">
        <v>0</v>
      </c>
      <c r="N376" s="28">
        <v>0</v>
      </c>
      <c r="O376" s="26">
        <v>0</v>
      </c>
      <c r="P376" s="26">
        <v>0</v>
      </c>
      <c r="Q376" s="33">
        <v>0</v>
      </c>
      <c r="R376" s="34">
        <v>0</v>
      </c>
      <c r="S376" s="34">
        <v>0</v>
      </c>
      <c r="T376" s="20">
        <v>0</v>
      </c>
      <c r="U376" s="21" t="s">
        <v>24</v>
      </c>
      <c r="V376" s="22">
        <f>IFERROR(RAW[[#This Row],[ACTUAL GROSS]]/RAW[[#This Row],[CONVERTED]],0)</f>
        <v>0</v>
      </c>
      <c r="W376" s="22">
        <f>IFERROR(RAW[[#This Row],[SALES]]/RAW[[#This Row],[HOURLY PAY]],0)</f>
        <v>0</v>
      </c>
    </row>
    <row r="377" spans="1:23" x14ac:dyDescent="0.35">
      <c r="A377" s="23">
        <v>45278</v>
      </c>
      <c r="B377" s="24" t="s">
        <v>25</v>
      </c>
      <c r="C377" s="25" t="s">
        <v>38</v>
      </c>
      <c r="D377" s="14" t="s">
        <v>30</v>
      </c>
      <c r="E377" s="26">
        <v>1140</v>
      </c>
      <c r="F377" s="26">
        <v>224.72</v>
      </c>
      <c r="G377" s="26">
        <v>0</v>
      </c>
      <c r="H377" s="26">
        <v>45.6</v>
      </c>
      <c r="I377" s="26">
        <v>3.7752959999999995</v>
      </c>
      <c r="J377" s="26">
        <v>0</v>
      </c>
      <c r="K377" s="26">
        <v>175.34470400000001</v>
      </c>
      <c r="L377" s="27">
        <v>5</v>
      </c>
      <c r="M377" s="27">
        <v>39</v>
      </c>
      <c r="N377" s="28">
        <v>5.65</v>
      </c>
      <c r="O377" s="26">
        <v>12.0345</v>
      </c>
      <c r="P377" s="26">
        <v>187.37920400000002</v>
      </c>
      <c r="Q377" s="33">
        <v>187.37920400000002</v>
      </c>
      <c r="R377" s="34">
        <v>1</v>
      </c>
      <c r="S377" s="34">
        <v>0</v>
      </c>
      <c r="T377" s="20">
        <v>0</v>
      </c>
      <c r="U377" s="21" t="s">
        <v>24</v>
      </c>
      <c r="V377" s="22">
        <f>IFERROR(RAW[[#This Row],[ACTUAL GROSS]]/RAW[[#This Row],[CONVERTED]],0)</f>
        <v>33.164460884955751</v>
      </c>
      <c r="W377" s="22">
        <f>IFERROR(RAW[[#This Row],[SALES]]/RAW[[#This Row],[HOURLY PAY]],0)</f>
        <v>94.727657983298016</v>
      </c>
    </row>
    <row r="378" spans="1:23" x14ac:dyDescent="0.35">
      <c r="A378" s="23">
        <v>45279</v>
      </c>
      <c r="B378" s="24" t="s">
        <v>21</v>
      </c>
      <c r="C378" s="25" t="s">
        <v>38</v>
      </c>
      <c r="D378" s="14" t="s">
        <v>31</v>
      </c>
      <c r="E378" s="26">
        <v>0</v>
      </c>
      <c r="F378" s="26">
        <v>0</v>
      </c>
      <c r="G378" s="26">
        <v>0</v>
      </c>
      <c r="H378" s="26">
        <v>0</v>
      </c>
      <c r="I378" s="26">
        <v>0</v>
      </c>
      <c r="J378" s="26">
        <v>0</v>
      </c>
      <c r="K378" s="26">
        <v>0</v>
      </c>
      <c r="L378" s="27">
        <v>0</v>
      </c>
      <c r="M378" s="27">
        <v>0</v>
      </c>
      <c r="N378" s="28">
        <v>0</v>
      </c>
      <c r="O378" s="26">
        <v>0</v>
      </c>
      <c r="P378" s="26">
        <v>0</v>
      </c>
      <c r="Q378" s="33">
        <v>0</v>
      </c>
      <c r="R378" s="34">
        <v>0</v>
      </c>
      <c r="S378" s="34">
        <v>0</v>
      </c>
      <c r="T378" s="20">
        <v>0</v>
      </c>
      <c r="U378" s="21" t="s">
        <v>24</v>
      </c>
      <c r="V378" s="22">
        <f>IFERROR(RAW[[#This Row],[ACTUAL GROSS]]/RAW[[#This Row],[CONVERTED]],0)</f>
        <v>0</v>
      </c>
      <c r="W378" s="22">
        <f>IFERROR(RAW[[#This Row],[SALES]]/RAW[[#This Row],[HOURLY PAY]],0)</f>
        <v>0</v>
      </c>
    </row>
    <row r="379" spans="1:23" x14ac:dyDescent="0.35">
      <c r="A379" s="23">
        <v>45279</v>
      </c>
      <c r="B379" s="24" t="s">
        <v>25</v>
      </c>
      <c r="C379" s="25" t="s">
        <v>38</v>
      </c>
      <c r="D379" s="14" t="s">
        <v>31</v>
      </c>
      <c r="E379" s="26">
        <v>0</v>
      </c>
      <c r="F379" s="26">
        <v>0</v>
      </c>
      <c r="G379" s="26">
        <v>0</v>
      </c>
      <c r="H379" s="26">
        <v>0</v>
      </c>
      <c r="I379" s="26">
        <v>0</v>
      </c>
      <c r="J379" s="26">
        <v>0</v>
      </c>
      <c r="K379" s="26">
        <v>0</v>
      </c>
      <c r="L379" s="27">
        <v>0</v>
      </c>
      <c r="M379" s="27">
        <v>0</v>
      </c>
      <c r="N379" s="28">
        <v>0</v>
      </c>
      <c r="O379" s="26">
        <v>0</v>
      </c>
      <c r="P379" s="26">
        <v>0</v>
      </c>
      <c r="Q379" s="33">
        <v>0</v>
      </c>
      <c r="R379" s="34">
        <v>0</v>
      </c>
      <c r="S379" s="34">
        <v>0</v>
      </c>
      <c r="T379" s="20">
        <v>0</v>
      </c>
      <c r="U379" s="21" t="s">
        <v>24</v>
      </c>
      <c r="V379" s="22">
        <f>IFERROR(RAW[[#This Row],[ACTUAL GROSS]]/RAW[[#This Row],[CONVERTED]],0)</f>
        <v>0</v>
      </c>
      <c r="W379" s="22">
        <f>IFERROR(RAW[[#This Row],[SALES]]/RAW[[#This Row],[HOURLY PAY]],0)</f>
        <v>0</v>
      </c>
    </row>
    <row r="380" spans="1:23" s="41" customFormat="1" x14ac:dyDescent="0.35">
      <c r="A380" s="23">
        <v>45280</v>
      </c>
      <c r="B380" s="24" t="s">
        <v>21</v>
      </c>
      <c r="C380" s="25" t="s">
        <v>38</v>
      </c>
      <c r="D380" s="14" t="s">
        <v>23</v>
      </c>
      <c r="E380" s="26">
        <v>0</v>
      </c>
      <c r="F380" s="26">
        <v>0</v>
      </c>
      <c r="G380" s="26">
        <v>0</v>
      </c>
      <c r="H380" s="26">
        <v>0</v>
      </c>
      <c r="I380" s="26">
        <v>0</v>
      </c>
      <c r="J380" s="26">
        <v>0</v>
      </c>
      <c r="K380" s="26">
        <v>0</v>
      </c>
      <c r="L380" s="27">
        <v>0</v>
      </c>
      <c r="M380" s="27">
        <v>0</v>
      </c>
      <c r="N380" s="28">
        <v>0</v>
      </c>
      <c r="O380" s="26">
        <v>0</v>
      </c>
      <c r="P380" s="26">
        <v>0</v>
      </c>
      <c r="Q380" s="33">
        <v>0</v>
      </c>
      <c r="R380" s="34">
        <v>0</v>
      </c>
      <c r="S380" s="34">
        <v>0</v>
      </c>
      <c r="T380" s="20">
        <v>0</v>
      </c>
      <c r="U380" s="21" t="s">
        <v>24</v>
      </c>
      <c r="V380" s="237">
        <f>IFERROR(RAW[[#This Row],[ACTUAL GROSS]]/RAW[[#This Row],[CONVERTED]],0)</f>
        <v>0</v>
      </c>
      <c r="W380" s="237">
        <f>IFERROR(RAW[[#This Row],[SALES]]/RAW[[#This Row],[HOURLY PAY]],0)</f>
        <v>0</v>
      </c>
    </row>
    <row r="381" spans="1:23" x14ac:dyDescent="0.35">
      <c r="A381" s="23">
        <v>45280</v>
      </c>
      <c r="B381" s="24" t="s">
        <v>25</v>
      </c>
      <c r="C381" s="25" t="s">
        <v>38</v>
      </c>
      <c r="D381" s="14" t="s">
        <v>23</v>
      </c>
      <c r="E381" s="26">
        <v>0</v>
      </c>
      <c r="F381" s="26">
        <v>0</v>
      </c>
      <c r="G381" s="26">
        <v>0</v>
      </c>
      <c r="H381" s="26">
        <v>0</v>
      </c>
      <c r="I381" s="26">
        <v>0</v>
      </c>
      <c r="J381" s="26">
        <v>0</v>
      </c>
      <c r="K381" s="26">
        <v>0</v>
      </c>
      <c r="L381" s="27">
        <v>0</v>
      </c>
      <c r="M381" s="27">
        <v>0</v>
      </c>
      <c r="N381" s="28">
        <v>0</v>
      </c>
      <c r="O381" s="26">
        <v>0</v>
      </c>
      <c r="P381" s="26">
        <v>0</v>
      </c>
      <c r="Q381" s="33">
        <v>0</v>
      </c>
      <c r="R381" s="34">
        <v>0</v>
      </c>
      <c r="S381" s="34">
        <v>0</v>
      </c>
      <c r="T381" s="20">
        <v>0</v>
      </c>
      <c r="U381" s="21" t="s">
        <v>24</v>
      </c>
      <c r="V381" s="22">
        <f>IFERROR(RAW[[#This Row],[ACTUAL GROSS]]/RAW[[#This Row],[CONVERTED]],0)</f>
        <v>0</v>
      </c>
      <c r="W381" s="22">
        <f>IFERROR(RAW[[#This Row],[SALES]]/RAW[[#This Row],[HOURLY PAY]],0)</f>
        <v>0</v>
      </c>
    </row>
    <row r="382" spans="1:23" x14ac:dyDescent="0.35">
      <c r="A382" s="23">
        <v>45281</v>
      </c>
      <c r="B382" s="24" t="s">
        <v>21</v>
      </c>
      <c r="C382" s="25" t="s">
        <v>38</v>
      </c>
      <c r="D382" s="14" t="s">
        <v>26</v>
      </c>
      <c r="E382" s="26">
        <v>0</v>
      </c>
      <c r="F382" s="26">
        <v>0</v>
      </c>
      <c r="G382" s="26">
        <v>0</v>
      </c>
      <c r="H382" s="26">
        <v>0</v>
      </c>
      <c r="I382" s="26">
        <v>0</v>
      </c>
      <c r="J382" s="26">
        <v>0</v>
      </c>
      <c r="K382" s="26">
        <v>0</v>
      </c>
      <c r="L382" s="27">
        <v>0</v>
      </c>
      <c r="M382" s="27">
        <v>0</v>
      </c>
      <c r="N382" s="28">
        <v>0</v>
      </c>
      <c r="O382" s="26">
        <v>0</v>
      </c>
      <c r="P382" s="26">
        <v>0</v>
      </c>
      <c r="Q382" s="33">
        <v>0</v>
      </c>
      <c r="R382" s="34">
        <v>0</v>
      </c>
      <c r="S382" s="34">
        <v>0</v>
      </c>
      <c r="T382" s="20">
        <v>0</v>
      </c>
      <c r="U382" s="21" t="s">
        <v>24</v>
      </c>
      <c r="V382" s="22">
        <f>IFERROR(RAW[[#This Row],[ACTUAL GROSS]]/RAW[[#This Row],[CONVERTED]],0)</f>
        <v>0</v>
      </c>
      <c r="W382" s="22">
        <f>IFERROR(RAW[[#This Row],[SALES]]/RAW[[#This Row],[HOURLY PAY]],0)</f>
        <v>0</v>
      </c>
    </row>
    <row r="383" spans="1:23" x14ac:dyDescent="0.35">
      <c r="A383" s="23">
        <v>45281</v>
      </c>
      <c r="B383" s="24" t="s">
        <v>25</v>
      </c>
      <c r="C383" s="25" t="s">
        <v>38</v>
      </c>
      <c r="D383" s="14" t="s">
        <v>26</v>
      </c>
      <c r="E383" s="26">
        <v>1102</v>
      </c>
      <c r="F383" s="26">
        <v>171.65</v>
      </c>
      <c r="G383" s="26">
        <v>63</v>
      </c>
      <c r="H383" s="26">
        <v>44.08</v>
      </c>
      <c r="I383" s="26">
        <v>2.8837199999999998</v>
      </c>
      <c r="J383" s="26">
        <v>0</v>
      </c>
      <c r="K383" s="26">
        <v>124.68628000000001</v>
      </c>
      <c r="L383" s="27">
        <v>5</v>
      </c>
      <c r="M383" s="27">
        <v>22</v>
      </c>
      <c r="N383" s="28">
        <v>5.3666666666666663</v>
      </c>
      <c r="O383" s="26">
        <v>11.430999999999999</v>
      </c>
      <c r="P383" s="26">
        <v>136.11728000000002</v>
      </c>
      <c r="Q383" s="33">
        <v>199.11728000000002</v>
      </c>
      <c r="R383" s="34">
        <v>1</v>
      </c>
      <c r="S383" s="34">
        <v>0</v>
      </c>
      <c r="T383" s="20">
        <v>0</v>
      </c>
      <c r="U383" s="21" t="s">
        <v>24</v>
      </c>
      <c r="V383" s="22">
        <f>IFERROR(RAW[[#This Row],[ACTUAL GROSS]]/RAW[[#This Row],[CONVERTED]],0)</f>
        <v>37.102598757763985</v>
      </c>
      <c r="W383" s="22">
        <f>IFERROR(RAW[[#This Row],[SALES]]/RAW[[#This Row],[HOURLY PAY]],0)</f>
        <v>96.404514040766344</v>
      </c>
    </row>
    <row r="384" spans="1:23" x14ac:dyDescent="0.35">
      <c r="A384" s="23">
        <v>45282</v>
      </c>
      <c r="B384" s="24" t="s">
        <v>21</v>
      </c>
      <c r="C384" s="25" t="s">
        <v>38</v>
      </c>
      <c r="D384" s="14" t="s">
        <v>27</v>
      </c>
      <c r="E384" s="26">
        <v>0</v>
      </c>
      <c r="F384" s="26">
        <v>0</v>
      </c>
      <c r="G384" s="26">
        <v>0</v>
      </c>
      <c r="H384" s="26">
        <v>0</v>
      </c>
      <c r="I384" s="26">
        <v>0</v>
      </c>
      <c r="J384" s="26">
        <v>0</v>
      </c>
      <c r="K384" s="26">
        <v>0</v>
      </c>
      <c r="L384" s="27">
        <v>0</v>
      </c>
      <c r="M384" s="27">
        <v>0</v>
      </c>
      <c r="N384" s="28">
        <v>0</v>
      </c>
      <c r="O384" s="26">
        <v>0</v>
      </c>
      <c r="P384" s="26">
        <v>0</v>
      </c>
      <c r="Q384" s="33">
        <v>0</v>
      </c>
      <c r="R384" s="34">
        <v>0</v>
      </c>
      <c r="S384" s="34">
        <v>0</v>
      </c>
      <c r="T384" s="20">
        <v>0</v>
      </c>
      <c r="U384" s="21" t="s">
        <v>24</v>
      </c>
      <c r="V384" s="22">
        <f>IFERROR(RAW[[#This Row],[ACTUAL GROSS]]/RAW[[#This Row],[CONVERTED]],0)</f>
        <v>0</v>
      </c>
      <c r="W384" s="22">
        <f>IFERROR(RAW[[#This Row],[SALES]]/RAW[[#This Row],[HOURLY PAY]],0)</f>
        <v>0</v>
      </c>
    </row>
    <row r="385" spans="1:23" x14ac:dyDescent="0.35">
      <c r="A385" s="23">
        <v>45282</v>
      </c>
      <c r="B385" s="24" t="s">
        <v>25</v>
      </c>
      <c r="C385" s="25" t="s">
        <v>38</v>
      </c>
      <c r="D385" s="14" t="s">
        <v>27</v>
      </c>
      <c r="E385" s="26">
        <v>1445</v>
      </c>
      <c r="F385" s="26">
        <v>283.77999999999997</v>
      </c>
      <c r="G385" s="26">
        <v>0</v>
      </c>
      <c r="H385" s="26">
        <v>57.800000000000004</v>
      </c>
      <c r="I385" s="26">
        <v>4.7675039999999989</v>
      </c>
      <c r="J385" s="26">
        <v>0</v>
      </c>
      <c r="K385" s="26">
        <v>221.21249599999999</v>
      </c>
      <c r="L385" s="27">
        <v>5</v>
      </c>
      <c r="M385" s="27">
        <v>18</v>
      </c>
      <c r="N385" s="28">
        <v>5.3</v>
      </c>
      <c r="O385" s="26">
        <v>11.289</v>
      </c>
      <c r="P385" s="26">
        <v>232.50149599999997</v>
      </c>
      <c r="Q385" s="33">
        <v>232.50149599999997</v>
      </c>
      <c r="R385" s="34">
        <v>1</v>
      </c>
      <c r="S385" s="34">
        <v>0</v>
      </c>
      <c r="T385" s="20">
        <v>0</v>
      </c>
      <c r="U385" s="21" t="s">
        <v>24</v>
      </c>
      <c r="V385" s="22">
        <f>IFERROR(RAW[[#This Row],[ACTUAL GROSS]]/RAW[[#This Row],[CONVERTED]],0)</f>
        <v>43.868206792452824</v>
      </c>
      <c r="W385" s="22">
        <f>IFERROR(RAW[[#This Row],[SALES]]/RAW[[#This Row],[HOURLY PAY]],0)</f>
        <v>128.00070865444238</v>
      </c>
    </row>
    <row r="386" spans="1:23" x14ac:dyDescent="0.35">
      <c r="A386" s="23">
        <v>45283</v>
      </c>
      <c r="B386" s="24" t="s">
        <v>21</v>
      </c>
      <c r="C386" s="25" t="s">
        <v>38</v>
      </c>
      <c r="D386" s="14" t="s">
        <v>28</v>
      </c>
      <c r="E386" s="26">
        <v>0</v>
      </c>
      <c r="F386" s="26">
        <v>0</v>
      </c>
      <c r="G386" s="26">
        <v>0</v>
      </c>
      <c r="H386" s="26">
        <v>0</v>
      </c>
      <c r="I386" s="26">
        <v>0</v>
      </c>
      <c r="J386" s="26">
        <v>0</v>
      </c>
      <c r="K386" s="26">
        <v>0</v>
      </c>
      <c r="L386" s="27">
        <v>0</v>
      </c>
      <c r="M386" s="27">
        <v>0</v>
      </c>
      <c r="N386" s="28">
        <v>0</v>
      </c>
      <c r="O386" s="26">
        <v>0</v>
      </c>
      <c r="P386" s="26">
        <v>0</v>
      </c>
      <c r="Q386" s="33">
        <v>0</v>
      </c>
      <c r="R386" s="34">
        <v>0</v>
      </c>
      <c r="S386" s="34">
        <v>0</v>
      </c>
      <c r="T386" s="20">
        <v>0</v>
      </c>
      <c r="U386" s="21" t="s">
        <v>24</v>
      </c>
      <c r="V386" s="22">
        <f>IFERROR(RAW[[#This Row],[ACTUAL GROSS]]/RAW[[#This Row],[CONVERTED]],0)</f>
        <v>0</v>
      </c>
      <c r="W386" s="22">
        <f>IFERROR(RAW[[#This Row],[SALES]]/RAW[[#This Row],[HOURLY PAY]],0)</f>
        <v>0</v>
      </c>
    </row>
    <row r="387" spans="1:23" x14ac:dyDescent="0.35">
      <c r="A387" s="23">
        <v>45283</v>
      </c>
      <c r="B387" s="24" t="s">
        <v>25</v>
      </c>
      <c r="C387" s="25" t="s">
        <v>38</v>
      </c>
      <c r="D387" s="14" t="s">
        <v>28</v>
      </c>
      <c r="E387" s="26">
        <v>1427</v>
      </c>
      <c r="F387" s="26">
        <v>274.27999999999997</v>
      </c>
      <c r="G387" s="26">
        <v>35</v>
      </c>
      <c r="H387" s="26">
        <v>57.08</v>
      </c>
      <c r="I387" s="26">
        <v>4.6079039999999996</v>
      </c>
      <c r="J387" s="26">
        <v>10.5</v>
      </c>
      <c r="K387" s="26">
        <v>212.59209599999997</v>
      </c>
      <c r="L387" s="27">
        <v>5</v>
      </c>
      <c r="M387" s="27">
        <v>27</v>
      </c>
      <c r="N387" s="28">
        <v>5.45</v>
      </c>
      <c r="O387" s="26">
        <v>11.608499999999999</v>
      </c>
      <c r="P387" s="26">
        <v>234.70059599999996</v>
      </c>
      <c r="Q387" s="33">
        <v>259.20059599999996</v>
      </c>
      <c r="R387" s="34">
        <v>1</v>
      </c>
      <c r="S387" s="34">
        <v>0</v>
      </c>
      <c r="T387" s="20">
        <v>0</v>
      </c>
      <c r="U387" s="21" t="s">
        <v>24</v>
      </c>
      <c r="V387" s="22">
        <f>IFERROR(RAW[[#This Row],[ACTUAL GROSS]]/RAW[[#This Row],[CONVERTED]],0)</f>
        <v>47.559742385321094</v>
      </c>
      <c r="W387" s="22">
        <f>IFERROR(RAW[[#This Row],[SALES]]/RAW[[#This Row],[HOURLY PAY]],0)</f>
        <v>122.9271654391179</v>
      </c>
    </row>
    <row r="388" spans="1:23" x14ac:dyDescent="0.35">
      <c r="A388" s="23">
        <v>45284</v>
      </c>
      <c r="B388" s="24" t="s">
        <v>21</v>
      </c>
      <c r="C388" s="25" t="s">
        <v>38</v>
      </c>
      <c r="D388" s="14" t="s">
        <v>29</v>
      </c>
      <c r="E388" s="26">
        <v>0</v>
      </c>
      <c r="F388" s="26">
        <v>0</v>
      </c>
      <c r="G388" s="26">
        <v>0</v>
      </c>
      <c r="H388" s="26">
        <v>0</v>
      </c>
      <c r="I388" s="26">
        <v>0</v>
      </c>
      <c r="J388" s="26">
        <v>0</v>
      </c>
      <c r="K388" s="26">
        <v>0</v>
      </c>
      <c r="L388" s="27">
        <v>0</v>
      </c>
      <c r="M388" s="27">
        <v>0</v>
      </c>
      <c r="N388" s="28">
        <v>0</v>
      </c>
      <c r="O388" s="26">
        <v>0</v>
      </c>
      <c r="P388" s="26">
        <v>0</v>
      </c>
      <c r="Q388" s="33">
        <v>0</v>
      </c>
      <c r="R388" s="34">
        <v>0</v>
      </c>
      <c r="S388" s="34">
        <v>0</v>
      </c>
      <c r="T388" s="20">
        <v>0</v>
      </c>
      <c r="U388" s="21" t="s">
        <v>24</v>
      </c>
      <c r="V388" s="22">
        <f>IFERROR(RAW[[#This Row],[ACTUAL GROSS]]/RAW[[#This Row],[CONVERTED]],0)</f>
        <v>0</v>
      </c>
      <c r="W388" s="22">
        <f>IFERROR(RAW[[#This Row],[SALES]]/RAW[[#This Row],[HOURLY PAY]],0)</f>
        <v>0</v>
      </c>
    </row>
    <row r="389" spans="1:23" x14ac:dyDescent="0.35">
      <c r="A389" s="23">
        <v>45284</v>
      </c>
      <c r="B389" s="24" t="s">
        <v>25</v>
      </c>
      <c r="C389" s="25" t="s">
        <v>38</v>
      </c>
      <c r="D389" s="14" t="s">
        <v>29</v>
      </c>
      <c r="E389" s="26">
        <v>0</v>
      </c>
      <c r="F389" s="26">
        <v>0</v>
      </c>
      <c r="G389" s="26">
        <v>0</v>
      </c>
      <c r="H389" s="26">
        <v>0</v>
      </c>
      <c r="I389" s="26">
        <v>0</v>
      </c>
      <c r="J389" s="26">
        <v>0</v>
      </c>
      <c r="K389" s="26">
        <v>0</v>
      </c>
      <c r="L389" s="27">
        <v>0</v>
      </c>
      <c r="M389" s="27">
        <v>0</v>
      </c>
      <c r="N389" s="28">
        <v>0</v>
      </c>
      <c r="O389" s="26">
        <v>0</v>
      </c>
      <c r="P389" s="26">
        <v>0</v>
      </c>
      <c r="Q389" s="33">
        <v>0</v>
      </c>
      <c r="R389" s="34">
        <v>0</v>
      </c>
      <c r="S389" s="34">
        <v>0</v>
      </c>
      <c r="T389" s="20">
        <v>0</v>
      </c>
      <c r="U389" s="21" t="s">
        <v>24</v>
      </c>
      <c r="V389" s="22">
        <f>IFERROR(RAW[[#This Row],[ACTUAL GROSS]]/RAW[[#This Row],[CONVERTED]],0)</f>
        <v>0</v>
      </c>
      <c r="W389" s="22">
        <f>IFERROR(RAW[[#This Row],[SALES]]/RAW[[#This Row],[HOURLY PAY]],0)</f>
        <v>0</v>
      </c>
    </row>
    <row r="390" spans="1:23" x14ac:dyDescent="0.35">
      <c r="A390" s="23">
        <v>45285</v>
      </c>
      <c r="B390" s="24" t="s">
        <v>21</v>
      </c>
      <c r="C390" s="25" t="s">
        <v>38</v>
      </c>
      <c r="D390" s="14" t="s">
        <v>30</v>
      </c>
      <c r="E390" s="26">
        <v>0</v>
      </c>
      <c r="F390" s="26">
        <v>0</v>
      </c>
      <c r="G390" s="26">
        <v>0</v>
      </c>
      <c r="H390" s="26">
        <v>0</v>
      </c>
      <c r="I390" s="26">
        <v>0</v>
      </c>
      <c r="J390" s="26">
        <v>0</v>
      </c>
      <c r="K390" s="26">
        <v>0</v>
      </c>
      <c r="L390" s="27">
        <v>0</v>
      </c>
      <c r="M390" s="27">
        <v>0</v>
      </c>
      <c r="N390" s="28">
        <v>0</v>
      </c>
      <c r="O390" s="26">
        <v>0</v>
      </c>
      <c r="P390" s="26">
        <v>0</v>
      </c>
      <c r="Q390" s="33">
        <v>0</v>
      </c>
      <c r="R390" s="34">
        <v>0</v>
      </c>
      <c r="S390" s="34">
        <v>0</v>
      </c>
      <c r="T390" s="20">
        <v>0</v>
      </c>
      <c r="U390" s="21" t="s">
        <v>24</v>
      </c>
      <c r="V390" s="22">
        <f>IFERROR(RAW[[#This Row],[ACTUAL GROSS]]/RAW[[#This Row],[CONVERTED]],0)</f>
        <v>0</v>
      </c>
      <c r="W390" s="22">
        <f>IFERROR(RAW[[#This Row],[SALES]]/RAW[[#This Row],[HOURLY PAY]],0)</f>
        <v>0</v>
      </c>
    </row>
    <row r="391" spans="1:23" x14ac:dyDescent="0.35">
      <c r="A391" s="23">
        <v>45285</v>
      </c>
      <c r="B391" s="24" t="s">
        <v>25</v>
      </c>
      <c r="C391" s="25" t="s">
        <v>38</v>
      </c>
      <c r="D391" s="14" t="s">
        <v>30</v>
      </c>
      <c r="E391" s="26">
        <v>0</v>
      </c>
      <c r="F391" s="26">
        <v>0</v>
      </c>
      <c r="G391" s="26">
        <v>0</v>
      </c>
      <c r="H391" s="26">
        <v>0</v>
      </c>
      <c r="I391" s="26">
        <v>0</v>
      </c>
      <c r="J391" s="26">
        <v>0</v>
      </c>
      <c r="K391" s="26">
        <v>0</v>
      </c>
      <c r="L391" s="27">
        <v>0</v>
      </c>
      <c r="M391" s="27">
        <v>0</v>
      </c>
      <c r="N391" s="28">
        <v>0</v>
      </c>
      <c r="O391" s="26">
        <v>0</v>
      </c>
      <c r="P391" s="26">
        <v>0</v>
      </c>
      <c r="Q391" s="33">
        <v>0</v>
      </c>
      <c r="R391" s="34">
        <v>0</v>
      </c>
      <c r="S391" s="34">
        <v>0</v>
      </c>
      <c r="T391" s="20">
        <v>0</v>
      </c>
      <c r="U391" s="21" t="s">
        <v>24</v>
      </c>
      <c r="V391" s="22">
        <f>IFERROR(RAW[[#This Row],[ACTUAL GROSS]]/RAW[[#This Row],[CONVERTED]],0)</f>
        <v>0</v>
      </c>
      <c r="W391" s="22">
        <f>IFERROR(RAW[[#This Row],[SALES]]/RAW[[#This Row],[HOURLY PAY]],0)</f>
        <v>0</v>
      </c>
    </row>
    <row r="392" spans="1:23" x14ac:dyDescent="0.35">
      <c r="A392" s="23">
        <v>45286</v>
      </c>
      <c r="B392" s="24" t="s">
        <v>21</v>
      </c>
      <c r="C392" s="25" t="s">
        <v>38</v>
      </c>
      <c r="D392" s="14" t="s">
        <v>31</v>
      </c>
      <c r="E392" s="26">
        <v>0</v>
      </c>
      <c r="F392" s="26">
        <v>0</v>
      </c>
      <c r="G392" s="26">
        <v>0</v>
      </c>
      <c r="H392" s="26">
        <v>0</v>
      </c>
      <c r="I392" s="26">
        <v>0</v>
      </c>
      <c r="J392" s="26">
        <v>0</v>
      </c>
      <c r="K392" s="26">
        <v>0</v>
      </c>
      <c r="L392" s="27">
        <v>0</v>
      </c>
      <c r="M392" s="27">
        <v>0</v>
      </c>
      <c r="N392" s="28">
        <v>0</v>
      </c>
      <c r="O392" s="26">
        <v>0</v>
      </c>
      <c r="P392" s="26">
        <v>0</v>
      </c>
      <c r="Q392" s="33">
        <v>0</v>
      </c>
      <c r="R392" s="34">
        <v>0</v>
      </c>
      <c r="S392" s="34">
        <v>0</v>
      </c>
      <c r="T392" s="20">
        <v>0</v>
      </c>
      <c r="U392" s="21" t="s">
        <v>24</v>
      </c>
      <c r="V392" s="22">
        <f>IFERROR(RAW[[#This Row],[ACTUAL GROSS]]/RAW[[#This Row],[CONVERTED]],0)</f>
        <v>0</v>
      </c>
      <c r="W392" s="22">
        <f>IFERROR(RAW[[#This Row],[SALES]]/RAW[[#This Row],[HOURLY PAY]],0)</f>
        <v>0</v>
      </c>
    </row>
    <row r="393" spans="1:23" x14ac:dyDescent="0.35">
      <c r="A393" s="23">
        <v>45286</v>
      </c>
      <c r="B393" s="24" t="s">
        <v>25</v>
      </c>
      <c r="C393" s="25" t="s">
        <v>38</v>
      </c>
      <c r="D393" s="14" t="s">
        <v>31</v>
      </c>
      <c r="E393" s="26">
        <v>0</v>
      </c>
      <c r="F393" s="26">
        <v>0</v>
      </c>
      <c r="G393" s="26">
        <v>0</v>
      </c>
      <c r="H393" s="26">
        <v>0</v>
      </c>
      <c r="I393" s="26">
        <v>0</v>
      </c>
      <c r="J393" s="26">
        <v>0</v>
      </c>
      <c r="K393" s="26">
        <v>0</v>
      </c>
      <c r="L393" s="27">
        <v>0</v>
      </c>
      <c r="M393" s="27">
        <v>0</v>
      </c>
      <c r="N393" s="28">
        <v>0</v>
      </c>
      <c r="O393" s="26">
        <v>0</v>
      </c>
      <c r="P393" s="26">
        <v>0</v>
      </c>
      <c r="Q393" s="33">
        <v>0</v>
      </c>
      <c r="R393" s="34">
        <v>0</v>
      </c>
      <c r="S393" s="34">
        <v>0</v>
      </c>
      <c r="T393" s="20">
        <v>0</v>
      </c>
      <c r="U393" s="21" t="s">
        <v>24</v>
      </c>
      <c r="V393" s="22">
        <f>IFERROR(RAW[[#This Row],[ACTUAL GROSS]]/RAW[[#This Row],[CONVERTED]],0)</f>
        <v>0</v>
      </c>
      <c r="W393" s="22">
        <f>IFERROR(RAW[[#This Row],[SALES]]/RAW[[#This Row],[HOURLY PAY]],0)</f>
        <v>0</v>
      </c>
    </row>
    <row r="394" spans="1:23" s="38" customFormat="1" x14ac:dyDescent="0.35">
      <c r="A394" s="23">
        <v>45287</v>
      </c>
      <c r="B394" s="24" t="s">
        <v>21</v>
      </c>
      <c r="C394" s="25" t="s">
        <v>38</v>
      </c>
      <c r="D394" s="14" t="s">
        <v>23</v>
      </c>
      <c r="E394" s="26">
        <v>1065.5</v>
      </c>
      <c r="F394" s="26">
        <v>187.94</v>
      </c>
      <c r="G394" s="26">
        <v>56</v>
      </c>
      <c r="H394" s="26">
        <v>42.62</v>
      </c>
      <c r="I394" s="26">
        <v>3.1573919999999998</v>
      </c>
      <c r="J394" s="26">
        <v>0</v>
      </c>
      <c r="K394" s="26">
        <v>142.16260800000001</v>
      </c>
      <c r="L394" s="27">
        <v>4</v>
      </c>
      <c r="M394" s="27">
        <v>52</v>
      </c>
      <c r="N394" s="28">
        <v>4.8666666666666663</v>
      </c>
      <c r="O394" s="26">
        <v>10.365999999999998</v>
      </c>
      <c r="P394" s="26">
        <v>152.52860799999999</v>
      </c>
      <c r="Q394" s="33">
        <v>208.52860799999999</v>
      </c>
      <c r="R394" s="34">
        <v>1</v>
      </c>
      <c r="S394" s="34">
        <v>1</v>
      </c>
      <c r="T394" s="20">
        <v>0</v>
      </c>
      <c r="U394" s="21" t="s">
        <v>34</v>
      </c>
      <c r="V394" s="49">
        <f>IFERROR(RAW[[#This Row],[ACTUAL GROSS]]/RAW[[#This Row],[CONVERTED]],0)</f>
        <v>42.848344109589043</v>
      </c>
      <c r="W394" s="49">
        <f>IFERROR(RAW[[#This Row],[SALES]]/RAW[[#This Row],[HOURLY PAY]],0)</f>
        <v>102.78796064055568</v>
      </c>
    </row>
    <row r="395" spans="1:23" x14ac:dyDescent="0.35">
      <c r="A395" s="23">
        <v>45287</v>
      </c>
      <c r="B395" s="24" t="s">
        <v>25</v>
      </c>
      <c r="C395" s="25" t="s">
        <v>38</v>
      </c>
      <c r="D395" s="14" t="s">
        <v>23</v>
      </c>
      <c r="E395" s="26">
        <v>1625.5</v>
      </c>
      <c r="F395" s="26">
        <v>348.11</v>
      </c>
      <c r="G395" s="26">
        <v>0</v>
      </c>
      <c r="H395" s="26">
        <v>65.02</v>
      </c>
      <c r="I395" s="26">
        <v>5.8482479999999999</v>
      </c>
      <c r="J395" s="26">
        <v>0</v>
      </c>
      <c r="K395" s="26">
        <v>277.24175200000002</v>
      </c>
      <c r="L395" s="27">
        <v>4</v>
      </c>
      <c r="M395" s="27">
        <v>25</v>
      </c>
      <c r="N395" s="28">
        <v>4.416666666666667</v>
      </c>
      <c r="O395" s="26">
        <v>9.4075000000000006</v>
      </c>
      <c r="P395" s="26">
        <v>286.64925200000005</v>
      </c>
      <c r="Q395" s="33">
        <v>286.64925200000005</v>
      </c>
      <c r="R395" s="34">
        <v>1</v>
      </c>
      <c r="S395" s="34">
        <v>0</v>
      </c>
      <c r="T395" s="20">
        <v>1</v>
      </c>
      <c r="U395" s="21" t="s">
        <v>34</v>
      </c>
      <c r="V395" s="22">
        <f>IFERROR(RAW[[#This Row],[ACTUAL GROSS]]/RAW[[#This Row],[CONVERTED]],0)</f>
        <v>64.901717433962276</v>
      </c>
      <c r="W395" s="22">
        <f>IFERROR(RAW[[#This Row],[SALES]]/RAW[[#This Row],[HOURLY PAY]],0)</f>
        <v>172.78766941270263</v>
      </c>
    </row>
    <row r="396" spans="1:23" x14ac:dyDescent="0.35">
      <c r="A396" s="23">
        <v>45288</v>
      </c>
      <c r="B396" s="24" t="s">
        <v>21</v>
      </c>
      <c r="C396" s="25" t="s">
        <v>38</v>
      </c>
      <c r="D396" s="14" t="s">
        <v>26</v>
      </c>
      <c r="E396" s="26">
        <v>0</v>
      </c>
      <c r="F396" s="26">
        <v>0</v>
      </c>
      <c r="G396" s="26">
        <v>0</v>
      </c>
      <c r="H396" s="26">
        <v>0</v>
      </c>
      <c r="I396" s="26">
        <v>0</v>
      </c>
      <c r="J396" s="26">
        <v>0</v>
      </c>
      <c r="K396" s="26">
        <v>0</v>
      </c>
      <c r="L396" s="27">
        <v>0</v>
      </c>
      <c r="M396" s="27">
        <v>0</v>
      </c>
      <c r="N396" s="28">
        <v>0</v>
      </c>
      <c r="O396" s="26">
        <v>0</v>
      </c>
      <c r="P396" s="26">
        <v>0</v>
      </c>
      <c r="Q396" s="33">
        <v>0</v>
      </c>
      <c r="R396" s="34">
        <v>0</v>
      </c>
      <c r="S396" s="34">
        <v>0</v>
      </c>
      <c r="T396" s="20">
        <v>0</v>
      </c>
      <c r="U396" s="21" t="s">
        <v>24</v>
      </c>
      <c r="V396" s="22">
        <f>IFERROR(RAW[[#This Row],[ACTUAL GROSS]]/RAW[[#This Row],[CONVERTED]],0)</f>
        <v>0</v>
      </c>
      <c r="W396" s="22">
        <f>IFERROR(RAW[[#This Row],[SALES]]/RAW[[#This Row],[HOURLY PAY]],0)</f>
        <v>0</v>
      </c>
    </row>
    <row r="397" spans="1:23" x14ac:dyDescent="0.35">
      <c r="A397" s="23">
        <v>45288</v>
      </c>
      <c r="B397" s="24" t="s">
        <v>25</v>
      </c>
      <c r="C397" s="25" t="s">
        <v>38</v>
      </c>
      <c r="D397" s="14" t="s">
        <v>26</v>
      </c>
      <c r="E397" s="26">
        <v>0</v>
      </c>
      <c r="F397" s="26">
        <v>0</v>
      </c>
      <c r="G397" s="26">
        <v>0</v>
      </c>
      <c r="H397" s="26">
        <v>0</v>
      </c>
      <c r="I397" s="26">
        <v>0</v>
      </c>
      <c r="J397" s="26">
        <v>0</v>
      </c>
      <c r="K397" s="26">
        <v>0</v>
      </c>
      <c r="L397" s="27">
        <v>0</v>
      </c>
      <c r="M397" s="27">
        <v>0</v>
      </c>
      <c r="N397" s="28">
        <v>0</v>
      </c>
      <c r="O397" s="26">
        <v>0</v>
      </c>
      <c r="P397" s="26">
        <v>0</v>
      </c>
      <c r="Q397" s="33">
        <v>0</v>
      </c>
      <c r="R397" s="34">
        <v>0</v>
      </c>
      <c r="S397" s="34">
        <v>0</v>
      </c>
      <c r="T397" s="20">
        <v>0</v>
      </c>
      <c r="U397" s="21" t="s">
        <v>24</v>
      </c>
      <c r="V397" s="22">
        <f>IFERROR(RAW[[#This Row],[ACTUAL GROSS]]/RAW[[#This Row],[CONVERTED]],0)</f>
        <v>0</v>
      </c>
      <c r="W397" s="22">
        <f>IFERROR(RAW[[#This Row],[SALES]]/RAW[[#This Row],[HOURLY PAY]],0)</f>
        <v>0</v>
      </c>
    </row>
    <row r="398" spans="1:23" x14ac:dyDescent="0.35">
      <c r="A398" s="23">
        <v>45289</v>
      </c>
      <c r="B398" s="24" t="s">
        <v>21</v>
      </c>
      <c r="C398" s="25" t="s">
        <v>38</v>
      </c>
      <c r="D398" s="14" t="s">
        <v>27</v>
      </c>
      <c r="E398" s="26">
        <v>0</v>
      </c>
      <c r="F398" s="26">
        <v>0</v>
      </c>
      <c r="G398" s="26">
        <v>0</v>
      </c>
      <c r="H398" s="26">
        <v>0</v>
      </c>
      <c r="I398" s="26">
        <v>0</v>
      </c>
      <c r="J398" s="26">
        <v>0</v>
      </c>
      <c r="K398" s="26">
        <v>0</v>
      </c>
      <c r="L398" s="27">
        <v>0</v>
      </c>
      <c r="M398" s="27">
        <v>0</v>
      </c>
      <c r="N398" s="28">
        <v>0</v>
      </c>
      <c r="O398" s="26">
        <v>0</v>
      </c>
      <c r="P398" s="26">
        <v>0</v>
      </c>
      <c r="Q398" s="33">
        <v>0</v>
      </c>
      <c r="R398" s="34">
        <v>0</v>
      </c>
      <c r="S398" s="34">
        <v>0</v>
      </c>
      <c r="T398" s="20">
        <v>0</v>
      </c>
      <c r="U398" s="21" t="s">
        <v>24</v>
      </c>
      <c r="V398" s="22">
        <f>IFERROR(RAW[[#This Row],[ACTUAL GROSS]]/RAW[[#This Row],[CONVERTED]],0)</f>
        <v>0</v>
      </c>
      <c r="W398" s="22">
        <f>IFERROR(RAW[[#This Row],[SALES]]/RAW[[#This Row],[HOURLY PAY]],0)</f>
        <v>0</v>
      </c>
    </row>
    <row r="399" spans="1:23" x14ac:dyDescent="0.35">
      <c r="A399" s="23">
        <v>45289</v>
      </c>
      <c r="B399" s="24" t="s">
        <v>25</v>
      </c>
      <c r="C399" s="25" t="s">
        <v>38</v>
      </c>
      <c r="D399" s="14" t="s">
        <v>27</v>
      </c>
      <c r="E399" s="26">
        <v>1304</v>
      </c>
      <c r="F399" s="26">
        <v>261.95</v>
      </c>
      <c r="G399" s="26">
        <v>0</v>
      </c>
      <c r="H399" s="26">
        <v>52.160000000000004</v>
      </c>
      <c r="I399" s="26">
        <v>4.4007599999999991</v>
      </c>
      <c r="J399" s="26">
        <v>0</v>
      </c>
      <c r="K399" s="26">
        <v>205.38923999999997</v>
      </c>
      <c r="L399" s="27">
        <v>5</v>
      </c>
      <c r="M399" s="27">
        <v>2</v>
      </c>
      <c r="N399" s="28">
        <v>5.0333333333333332</v>
      </c>
      <c r="O399" s="26">
        <v>10.721</v>
      </c>
      <c r="P399" s="26">
        <v>216.11023999999998</v>
      </c>
      <c r="Q399" s="33">
        <v>216.11023999999998</v>
      </c>
      <c r="R399" s="34">
        <v>1</v>
      </c>
      <c r="S399" s="34">
        <v>0</v>
      </c>
      <c r="T399" s="20">
        <v>0</v>
      </c>
      <c r="U399" s="21" t="s">
        <v>24</v>
      </c>
      <c r="V399" s="22">
        <f>IFERROR(RAW[[#This Row],[ACTUAL GROSS]]/RAW[[#This Row],[CONVERTED]],0)</f>
        <v>42.935809271523176</v>
      </c>
      <c r="W399" s="22">
        <f>IFERROR(RAW[[#This Row],[SALES]]/RAW[[#This Row],[HOURLY PAY]],0)</f>
        <v>121.63044492118273</v>
      </c>
    </row>
    <row r="400" spans="1:23" x14ac:dyDescent="0.35">
      <c r="A400" s="23">
        <v>45290</v>
      </c>
      <c r="B400" s="24" t="s">
        <v>21</v>
      </c>
      <c r="C400" s="25" t="s">
        <v>38</v>
      </c>
      <c r="D400" s="14" t="s">
        <v>28</v>
      </c>
      <c r="E400" s="26">
        <v>0</v>
      </c>
      <c r="F400" s="26">
        <v>0</v>
      </c>
      <c r="G400" s="26">
        <v>0</v>
      </c>
      <c r="H400" s="26">
        <v>0</v>
      </c>
      <c r="I400" s="26">
        <v>0</v>
      </c>
      <c r="J400" s="26">
        <v>0</v>
      </c>
      <c r="K400" s="26">
        <v>0</v>
      </c>
      <c r="L400" s="27">
        <v>0</v>
      </c>
      <c r="M400" s="27">
        <v>0</v>
      </c>
      <c r="N400" s="28">
        <v>0</v>
      </c>
      <c r="O400" s="26">
        <v>0</v>
      </c>
      <c r="P400" s="26">
        <v>0</v>
      </c>
      <c r="Q400" s="33">
        <v>0</v>
      </c>
      <c r="R400" s="34">
        <v>0</v>
      </c>
      <c r="S400" s="34">
        <v>0</v>
      </c>
      <c r="T400" s="20">
        <v>0</v>
      </c>
      <c r="U400" s="21" t="s">
        <v>24</v>
      </c>
      <c r="V400" s="22">
        <f>IFERROR(RAW[[#This Row],[ACTUAL GROSS]]/RAW[[#This Row],[CONVERTED]],0)</f>
        <v>0</v>
      </c>
      <c r="W400" s="22">
        <f>IFERROR(RAW[[#This Row],[SALES]]/RAW[[#This Row],[HOURLY PAY]],0)</f>
        <v>0</v>
      </c>
    </row>
    <row r="401" spans="1:23" x14ac:dyDescent="0.35">
      <c r="A401" s="23">
        <v>45290</v>
      </c>
      <c r="B401" s="24" t="s">
        <v>25</v>
      </c>
      <c r="C401" s="25" t="s">
        <v>38</v>
      </c>
      <c r="D401" s="14" t="s">
        <v>28</v>
      </c>
      <c r="E401" s="26">
        <v>1261</v>
      </c>
      <c r="F401" s="26">
        <v>213.38</v>
      </c>
      <c r="G401" s="26">
        <v>24</v>
      </c>
      <c r="H401" s="26">
        <v>50.44</v>
      </c>
      <c r="I401" s="26">
        <v>3.5847839999999995</v>
      </c>
      <c r="J401" s="26">
        <v>5</v>
      </c>
      <c r="K401" s="26">
        <v>159.35521599999998</v>
      </c>
      <c r="L401" s="27">
        <v>4</v>
      </c>
      <c r="M401" s="27">
        <v>54</v>
      </c>
      <c r="N401" s="28">
        <v>4.9000000000000004</v>
      </c>
      <c r="O401" s="26">
        <v>10.436999999999999</v>
      </c>
      <c r="P401" s="26">
        <v>174.792216</v>
      </c>
      <c r="Q401" s="33">
        <v>193.792216</v>
      </c>
      <c r="R401" s="34">
        <v>1</v>
      </c>
      <c r="S401" s="34">
        <v>0</v>
      </c>
      <c r="T401" s="20">
        <v>0</v>
      </c>
      <c r="U401" s="21" t="s">
        <v>24</v>
      </c>
      <c r="V401" s="22">
        <f>IFERROR(RAW[[#This Row],[ACTUAL GROSS]]/RAW[[#This Row],[CONVERTED]],0)</f>
        <v>39.549431836734691</v>
      </c>
      <c r="W401" s="22">
        <f>IFERROR(RAW[[#This Row],[SALES]]/RAW[[#This Row],[HOURLY PAY]],0)</f>
        <v>120.82015904953532</v>
      </c>
    </row>
    <row r="402" spans="1:23" x14ac:dyDescent="0.35">
      <c r="A402" s="23">
        <v>45291</v>
      </c>
      <c r="B402" s="24" t="s">
        <v>21</v>
      </c>
      <c r="C402" s="25" t="s">
        <v>38</v>
      </c>
      <c r="D402" s="14" t="s">
        <v>29</v>
      </c>
      <c r="E402" s="26">
        <v>0</v>
      </c>
      <c r="F402" s="26">
        <v>0</v>
      </c>
      <c r="G402" s="26">
        <v>0</v>
      </c>
      <c r="H402" s="26">
        <v>0</v>
      </c>
      <c r="I402" s="26">
        <v>0</v>
      </c>
      <c r="J402" s="26">
        <v>0</v>
      </c>
      <c r="K402" s="26">
        <v>0</v>
      </c>
      <c r="L402" s="27">
        <v>0</v>
      </c>
      <c r="M402" s="27">
        <v>0</v>
      </c>
      <c r="N402" s="28">
        <v>0</v>
      </c>
      <c r="O402" s="26">
        <v>0</v>
      </c>
      <c r="P402" s="26">
        <v>0</v>
      </c>
      <c r="Q402" s="33">
        <v>0</v>
      </c>
      <c r="R402" s="34">
        <v>0</v>
      </c>
      <c r="S402" s="34">
        <v>0</v>
      </c>
      <c r="T402" s="20">
        <v>0</v>
      </c>
      <c r="U402" s="21" t="s">
        <v>24</v>
      </c>
      <c r="V402" s="22">
        <f>IFERROR(RAW[[#This Row],[ACTUAL GROSS]]/RAW[[#This Row],[CONVERTED]],0)</f>
        <v>0</v>
      </c>
      <c r="W402" s="22">
        <f>IFERROR(RAW[[#This Row],[SALES]]/RAW[[#This Row],[HOURLY PAY]],0)</f>
        <v>0</v>
      </c>
    </row>
    <row r="403" spans="1:23" x14ac:dyDescent="0.35">
      <c r="A403" s="23">
        <v>45291</v>
      </c>
      <c r="B403" s="24" t="s">
        <v>25</v>
      </c>
      <c r="C403" s="25" t="s">
        <v>38</v>
      </c>
      <c r="D403" s="14" t="s">
        <v>29</v>
      </c>
      <c r="E403" s="26">
        <v>0</v>
      </c>
      <c r="F403" s="26">
        <v>0</v>
      </c>
      <c r="G403" s="26">
        <v>0</v>
      </c>
      <c r="H403" s="26">
        <v>0</v>
      </c>
      <c r="I403" s="26">
        <v>0</v>
      </c>
      <c r="J403" s="26">
        <v>0</v>
      </c>
      <c r="K403" s="26">
        <v>0</v>
      </c>
      <c r="L403" s="27">
        <v>0</v>
      </c>
      <c r="M403" s="27">
        <v>0</v>
      </c>
      <c r="N403" s="28">
        <v>0</v>
      </c>
      <c r="O403" s="26">
        <v>0</v>
      </c>
      <c r="P403" s="26">
        <v>0</v>
      </c>
      <c r="Q403" s="33">
        <v>0</v>
      </c>
      <c r="R403" s="34">
        <v>0</v>
      </c>
      <c r="S403" s="34">
        <v>0</v>
      </c>
      <c r="T403" s="20">
        <v>0</v>
      </c>
      <c r="U403" s="21" t="s">
        <v>24</v>
      </c>
      <c r="V403" s="22">
        <f>IFERROR(RAW[[#This Row],[ACTUAL GROSS]]/RAW[[#This Row],[CONVERTED]],0)</f>
        <v>0</v>
      </c>
      <c r="W403" s="22">
        <f>IFERROR(RAW[[#This Row],[SALES]]/RAW[[#This Row],[HOURLY PAY]],0)</f>
        <v>0</v>
      </c>
    </row>
    <row r="404" spans="1:23" x14ac:dyDescent="0.35">
      <c r="A404" s="23">
        <v>45292</v>
      </c>
      <c r="B404" s="24" t="s">
        <v>21</v>
      </c>
      <c r="C404" s="25" t="s">
        <v>39</v>
      </c>
      <c r="D404" s="14" t="s">
        <v>30</v>
      </c>
      <c r="E404" s="26">
        <v>298</v>
      </c>
      <c r="F404" s="26">
        <v>55.48</v>
      </c>
      <c r="G404" s="26">
        <v>10</v>
      </c>
      <c r="H404" s="26">
        <v>11.92</v>
      </c>
      <c r="I404" s="26">
        <v>0.93206399999999989</v>
      </c>
      <c r="J404" s="26">
        <v>4</v>
      </c>
      <c r="K404" s="26">
        <v>42.627935999999998</v>
      </c>
      <c r="L404" s="27">
        <v>3</v>
      </c>
      <c r="M404" s="27">
        <v>23</v>
      </c>
      <c r="N404" s="28">
        <v>3.3833333333333333</v>
      </c>
      <c r="O404" s="26">
        <v>7.2064999999999992</v>
      </c>
      <c r="P404" s="26">
        <v>53.834435999999997</v>
      </c>
      <c r="Q404" s="33">
        <v>59.834435999999997</v>
      </c>
      <c r="R404" s="34">
        <v>1</v>
      </c>
      <c r="S404" s="34">
        <v>1</v>
      </c>
      <c r="T404" s="20">
        <v>0</v>
      </c>
      <c r="U404" s="21" t="s">
        <v>34</v>
      </c>
      <c r="V404" s="22">
        <f>IFERROR(RAW[[#This Row],[ACTUAL GROSS]]/RAW[[#This Row],[CONVERTED]],0)</f>
        <v>17.685054975369457</v>
      </c>
      <c r="W404" s="22">
        <f>IFERROR(RAW[[#This Row],[SALES]]/RAW[[#This Row],[HOURLY PAY]],0)</f>
        <v>41.351557621591624</v>
      </c>
    </row>
    <row r="405" spans="1:23" x14ac:dyDescent="0.35">
      <c r="A405" s="23">
        <v>45292</v>
      </c>
      <c r="B405" s="24" t="s">
        <v>25</v>
      </c>
      <c r="C405" s="25" t="s">
        <v>39</v>
      </c>
      <c r="D405" s="14" t="s">
        <v>30</v>
      </c>
      <c r="E405" s="26">
        <v>946.5</v>
      </c>
      <c r="F405" s="26">
        <v>170.85</v>
      </c>
      <c r="G405" s="26">
        <v>29</v>
      </c>
      <c r="H405" s="26">
        <v>37.86</v>
      </c>
      <c r="I405" s="26">
        <v>2.8702799999999997</v>
      </c>
      <c r="J405" s="26">
        <v>6.5</v>
      </c>
      <c r="K405" s="26">
        <v>130.11972</v>
      </c>
      <c r="L405" s="27">
        <v>3</v>
      </c>
      <c r="M405" s="27">
        <v>43</v>
      </c>
      <c r="N405" s="28">
        <v>3.7166666666666668</v>
      </c>
      <c r="O405" s="26">
        <v>7.9165000000000001</v>
      </c>
      <c r="P405" s="26">
        <v>144.53622000000001</v>
      </c>
      <c r="Q405" s="33">
        <v>167.03622000000001</v>
      </c>
      <c r="R405" s="34">
        <v>1</v>
      </c>
      <c r="S405" s="34">
        <v>0</v>
      </c>
      <c r="T405" s="20">
        <v>1</v>
      </c>
      <c r="U405" s="21" t="s">
        <v>34</v>
      </c>
      <c r="V405" s="22">
        <f>IFERROR(RAW[[#This Row],[ACTUAL GROSS]]/RAW[[#This Row],[CONVERTED]],0)</f>
        <v>44.942480717488792</v>
      </c>
      <c r="W405" s="22">
        <f>IFERROR(RAW[[#This Row],[SALES]]/RAW[[#This Row],[HOURLY PAY]],0)</f>
        <v>119.56041179814312</v>
      </c>
    </row>
    <row r="406" spans="1:23" x14ac:dyDescent="0.35">
      <c r="A406" s="23">
        <v>45293</v>
      </c>
      <c r="B406" s="24" t="s">
        <v>21</v>
      </c>
      <c r="C406" s="25" t="s">
        <v>39</v>
      </c>
      <c r="D406" s="14" t="s">
        <v>31</v>
      </c>
      <c r="E406" s="26">
        <v>0</v>
      </c>
      <c r="F406" s="26">
        <v>0</v>
      </c>
      <c r="G406" s="26">
        <v>0</v>
      </c>
      <c r="H406" s="26">
        <v>0</v>
      </c>
      <c r="I406" s="26">
        <v>0</v>
      </c>
      <c r="J406" s="26">
        <v>0</v>
      </c>
      <c r="K406" s="26">
        <v>0</v>
      </c>
      <c r="L406" s="27">
        <v>0</v>
      </c>
      <c r="M406" s="27">
        <v>0</v>
      </c>
      <c r="N406" s="28">
        <v>0</v>
      </c>
      <c r="O406" s="26">
        <v>0</v>
      </c>
      <c r="P406" s="26">
        <v>0</v>
      </c>
      <c r="Q406" s="33">
        <v>0</v>
      </c>
      <c r="R406" s="34">
        <v>0</v>
      </c>
      <c r="S406" s="34">
        <v>0</v>
      </c>
      <c r="T406" s="20">
        <v>0</v>
      </c>
      <c r="U406" s="21" t="s">
        <v>24</v>
      </c>
      <c r="V406" s="22">
        <f>IFERROR(RAW[[#This Row],[ACTUAL GROSS]]/RAW[[#This Row],[CONVERTED]],0)</f>
        <v>0</v>
      </c>
      <c r="W406" s="22">
        <f>IFERROR(RAW[[#This Row],[SALES]]/RAW[[#This Row],[HOURLY PAY]],0)</f>
        <v>0</v>
      </c>
    </row>
    <row r="407" spans="1:23" s="38" customFormat="1" x14ac:dyDescent="0.35">
      <c r="A407" s="23">
        <v>45293</v>
      </c>
      <c r="B407" s="24" t="s">
        <v>25</v>
      </c>
      <c r="C407" s="25" t="s">
        <v>39</v>
      </c>
      <c r="D407" s="14" t="s">
        <v>31</v>
      </c>
      <c r="E407" s="26">
        <v>0</v>
      </c>
      <c r="F407" s="26">
        <v>0</v>
      </c>
      <c r="G407" s="26">
        <v>0</v>
      </c>
      <c r="H407" s="26">
        <v>0</v>
      </c>
      <c r="I407" s="26">
        <v>0</v>
      </c>
      <c r="J407" s="26">
        <v>0</v>
      </c>
      <c r="K407" s="26">
        <v>0</v>
      </c>
      <c r="L407" s="27">
        <v>0</v>
      </c>
      <c r="M407" s="27">
        <v>0</v>
      </c>
      <c r="N407" s="28">
        <v>0</v>
      </c>
      <c r="O407" s="26">
        <v>0</v>
      </c>
      <c r="P407" s="26">
        <v>0</v>
      </c>
      <c r="Q407" s="33">
        <v>0</v>
      </c>
      <c r="R407" s="34">
        <v>0</v>
      </c>
      <c r="S407" s="34">
        <v>0</v>
      </c>
      <c r="T407" s="20">
        <v>0</v>
      </c>
      <c r="U407" s="21" t="s">
        <v>24</v>
      </c>
      <c r="V407" s="49">
        <f>IFERROR(RAW[[#This Row],[ACTUAL GROSS]]/RAW[[#This Row],[CONVERTED]],0)</f>
        <v>0</v>
      </c>
      <c r="W407" s="49">
        <f>IFERROR(RAW[[#This Row],[SALES]]/RAW[[#This Row],[HOURLY PAY]],0)</f>
        <v>0</v>
      </c>
    </row>
    <row r="408" spans="1:23" s="41" customFormat="1" x14ac:dyDescent="0.35">
      <c r="A408" s="23">
        <v>45294</v>
      </c>
      <c r="B408" s="24" t="s">
        <v>21</v>
      </c>
      <c r="C408" s="25" t="s">
        <v>39</v>
      </c>
      <c r="D408" s="14" t="s">
        <v>23</v>
      </c>
      <c r="E408" s="26">
        <v>0</v>
      </c>
      <c r="F408" s="26">
        <v>0</v>
      </c>
      <c r="G408" s="26">
        <v>0</v>
      </c>
      <c r="H408" s="26">
        <v>0</v>
      </c>
      <c r="I408" s="26">
        <v>0</v>
      </c>
      <c r="J408" s="26">
        <v>0</v>
      </c>
      <c r="K408" s="26">
        <v>0</v>
      </c>
      <c r="L408" s="27">
        <v>0</v>
      </c>
      <c r="M408" s="27">
        <v>0</v>
      </c>
      <c r="N408" s="28">
        <v>0</v>
      </c>
      <c r="O408" s="26">
        <v>0</v>
      </c>
      <c r="P408" s="26">
        <v>0</v>
      </c>
      <c r="Q408" s="33">
        <v>0</v>
      </c>
      <c r="R408" s="34">
        <v>0</v>
      </c>
      <c r="S408" s="34">
        <v>0</v>
      </c>
      <c r="T408" s="20">
        <v>0</v>
      </c>
      <c r="U408" s="21" t="s">
        <v>24</v>
      </c>
      <c r="V408" s="237">
        <f>IFERROR(RAW[[#This Row],[ACTUAL GROSS]]/RAW[[#This Row],[CONVERTED]],0)</f>
        <v>0</v>
      </c>
      <c r="W408" s="237">
        <f>IFERROR(RAW[[#This Row],[SALES]]/RAW[[#This Row],[HOURLY PAY]],0)</f>
        <v>0</v>
      </c>
    </row>
    <row r="409" spans="1:23" x14ac:dyDescent="0.35">
      <c r="A409" s="23">
        <v>45294</v>
      </c>
      <c r="B409" s="24" t="s">
        <v>25</v>
      </c>
      <c r="C409" s="25" t="s">
        <v>39</v>
      </c>
      <c r="D409" s="14" t="s">
        <v>23</v>
      </c>
      <c r="E409" s="26">
        <v>1426.5</v>
      </c>
      <c r="F409" s="26">
        <v>216.35</v>
      </c>
      <c r="G409" s="26">
        <v>89</v>
      </c>
      <c r="H409" s="26">
        <v>57.06</v>
      </c>
      <c r="I409" s="26">
        <v>3.6346799999999995</v>
      </c>
      <c r="J409" s="26">
        <v>0</v>
      </c>
      <c r="K409" s="26">
        <v>155.65531999999999</v>
      </c>
      <c r="L409" s="27">
        <v>6</v>
      </c>
      <c r="M409" s="27">
        <v>26</v>
      </c>
      <c r="N409" s="28">
        <v>6.4333333333333336</v>
      </c>
      <c r="O409" s="26">
        <v>13.702999999999999</v>
      </c>
      <c r="P409" s="26">
        <v>169.35831999999999</v>
      </c>
      <c r="Q409" s="33">
        <v>258.35831999999999</v>
      </c>
      <c r="R409" s="34">
        <v>1</v>
      </c>
      <c r="S409" s="34">
        <v>0</v>
      </c>
      <c r="T409" s="20">
        <v>0</v>
      </c>
      <c r="U409" s="21" t="s">
        <v>24</v>
      </c>
      <c r="V409" s="22">
        <f>IFERROR(RAW[[#This Row],[ACTUAL GROSS]]/RAW[[#This Row],[CONVERTED]],0)</f>
        <v>40.159324352331602</v>
      </c>
      <c r="W409" s="22">
        <f>IFERROR(RAW[[#This Row],[SALES]]/RAW[[#This Row],[HOURLY PAY]],0)</f>
        <v>104.10129168795154</v>
      </c>
    </row>
    <row r="410" spans="1:23" x14ac:dyDescent="0.35">
      <c r="A410" s="23">
        <v>45295</v>
      </c>
      <c r="B410" s="24" t="s">
        <v>21</v>
      </c>
      <c r="C410" s="25" t="s">
        <v>39</v>
      </c>
      <c r="D410" s="14" t="s">
        <v>26</v>
      </c>
      <c r="E410" s="26">
        <v>0</v>
      </c>
      <c r="F410" s="26">
        <v>0</v>
      </c>
      <c r="G410" s="26">
        <v>0</v>
      </c>
      <c r="H410" s="26">
        <v>0</v>
      </c>
      <c r="I410" s="26">
        <v>0</v>
      </c>
      <c r="J410" s="26">
        <v>0</v>
      </c>
      <c r="K410" s="26">
        <v>0</v>
      </c>
      <c r="L410" s="27">
        <v>0</v>
      </c>
      <c r="M410" s="27">
        <v>0</v>
      </c>
      <c r="N410" s="28">
        <v>0</v>
      </c>
      <c r="O410" s="26">
        <v>0</v>
      </c>
      <c r="P410" s="26">
        <v>0</v>
      </c>
      <c r="Q410" s="33">
        <v>0</v>
      </c>
      <c r="R410" s="34">
        <v>0</v>
      </c>
      <c r="S410" s="34">
        <v>0</v>
      </c>
      <c r="T410" s="20">
        <v>0</v>
      </c>
      <c r="U410" s="21" t="s">
        <v>24</v>
      </c>
      <c r="V410" s="22">
        <f>IFERROR(RAW[[#This Row],[ACTUAL GROSS]]/RAW[[#This Row],[CONVERTED]],0)</f>
        <v>0</v>
      </c>
      <c r="W410" s="22">
        <f>IFERROR(RAW[[#This Row],[SALES]]/RAW[[#This Row],[HOURLY PAY]],0)</f>
        <v>0</v>
      </c>
    </row>
    <row r="411" spans="1:23" x14ac:dyDescent="0.35">
      <c r="A411" s="23">
        <v>45295</v>
      </c>
      <c r="B411" s="24" t="s">
        <v>25</v>
      </c>
      <c r="C411" s="25" t="s">
        <v>39</v>
      </c>
      <c r="D411" s="14" t="s">
        <v>26</v>
      </c>
      <c r="E411" s="26">
        <v>0</v>
      </c>
      <c r="F411" s="26">
        <v>0</v>
      </c>
      <c r="G411" s="26">
        <v>0</v>
      </c>
      <c r="H411" s="26">
        <v>0</v>
      </c>
      <c r="I411" s="26">
        <v>0</v>
      </c>
      <c r="J411" s="26">
        <v>0</v>
      </c>
      <c r="K411" s="26">
        <v>0</v>
      </c>
      <c r="L411" s="27">
        <v>0</v>
      </c>
      <c r="M411" s="27">
        <v>0</v>
      </c>
      <c r="N411" s="28">
        <v>0</v>
      </c>
      <c r="O411" s="26">
        <v>0</v>
      </c>
      <c r="P411" s="26">
        <v>0</v>
      </c>
      <c r="Q411" s="33">
        <v>0</v>
      </c>
      <c r="R411" s="34">
        <v>0</v>
      </c>
      <c r="S411" s="34">
        <v>0</v>
      </c>
      <c r="T411" s="20">
        <v>0</v>
      </c>
      <c r="U411" s="21" t="s">
        <v>24</v>
      </c>
      <c r="V411" s="31">
        <f>IFERROR(RAW[[#This Row],[ACTUAL GROSS]]/RAW[[#This Row],[CONVERTED]],0)</f>
        <v>0</v>
      </c>
      <c r="W411" s="22">
        <f>IFERROR(RAW[[#This Row],[SALES]]/RAW[[#This Row],[HOURLY PAY]],0)</f>
        <v>0</v>
      </c>
    </row>
    <row r="412" spans="1:23" x14ac:dyDescent="0.35">
      <c r="A412" s="23">
        <v>45296</v>
      </c>
      <c r="B412" s="24" t="s">
        <v>21</v>
      </c>
      <c r="C412" s="25" t="s">
        <v>39</v>
      </c>
      <c r="D412" s="14" t="s">
        <v>27</v>
      </c>
      <c r="E412" s="26">
        <v>0</v>
      </c>
      <c r="F412" s="26">
        <v>0</v>
      </c>
      <c r="G412" s="26">
        <v>0</v>
      </c>
      <c r="H412" s="26">
        <v>0</v>
      </c>
      <c r="I412" s="26">
        <v>0</v>
      </c>
      <c r="J412" s="26">
        <v>0</v>
      </c>
      <c r="K412" s="26">
        <v>0</v>
      </c>
      <c r="L412" s="27">
        <v>0</v>
      </c>
      <c r="M412" s="27">
        <v>0</v>
      </c>
      <c r="N412" s="28">
        <v>0</v>
      </c>
      <c r="O412" s="26">
        <v>0</v>
      </c>
      <c r="P412" s="26">
        <v>0</v>
      </c>
      <c r="Q412" s="33">
        <v>0</v>
      </c>
      <c r="R412" s="34">
        <v>0</v>
      </c>
      <c r="S412" s="34">
        <v>0</v>
      </c>
      <c r="T412" s="20">
        <v>0</v>
      </c>
      <c r="U412" s="21" t="s">
        <v>24</v>
      </c>
      <c r="V412" s="42">
        <f>IFERROR(RAW[[#This Row],[ACTUAL GROSS]]/RAW[[#This Row],[CONVERTED]],0)</f>
        <v>0</v>
      </c>
      <c r="W412" s="22">
        <f>IFERROR(RAW[[#This Row],[SALES]]/RAW[[#This Row],[HOURLY PAY]],0)</f>
        <v>0</v>
      </c>
    </row>
    <row r="413" spans="1:23" x14ac:dyDescent="0.35">
      <c r="A413" s="23">
        <v>45296</v>
      </c>
      <c r="B413" s="24" t="s">
        <v>25</v>
      </c>
      <c r="C413" s="25" t="s">
        <v>39</v>
      </c>
      <c r="D413" s="14" t="s">
        <v>27</v>
      </c>
      <c r="E413" s="26">
        <v>1373.5</v>
      </c>
      <c r="F413" s="26">
        <v>262.39</v>
      </c>
      <c r="G413" s="26">
        <v>0</v>
      </c>
      <c r="H413" s="26">
        <v>54.94</v>
      </c>
      <c r="I413" s="26">
        <v>4.4081519999999994</v>
      </c>
      <c r="J413" s="26">
        <v>0</v>
      </c>
      <c r="K413" s="26">
        <v>203.04184799999999</v>
      </c>
      <c r="L413" s="27">
        <v>4</v>
      </c>
      <c r="M413" s="27">
        <v>48</v>
      </c>
      <c r="N413" s="28">
        <v>4.8</v>
      </c>
      <c r="O413" s="26">
        <v>10.223999999999998</v>
      </c>
      <c r="P413" s="26">
        <v>213.26584799999998</v>
      </c>
      <c r="Q413" s="33">
        <v>213.26584799999998</v>
      </c>
      <c r="R413" s="34">
        <v>1</v>
      </c>
      <c r="S413" s="34">
        <v>0</v>
      </c>
      <c r="T413" s="20">
        <v>0</v>
      </c>
      <c r="U413" s="21" t="s">
        <v>24</v>
      </c>
      <c r="V413" s="22">
        <f>IFERROR(RAW[[#This Row],[ACTUAL GROSS]]/RAW[[#This Row],[CONVERTED]],0)</f>
        <v>44.430384999999994</v>
      </c>
      <c r="W413" s="22">
        <f>IFERROR(RAW[[#This Row],[SALES]]/RAW[[#This Row],[HOURLY PAY]],0)</f>
        <v>134.3407668231612</v>
      </c>
    </row>
    <row r="414" spans="1:23" x14ac:dyDescent="0.35">
      <c r="A414" s="23">
        <v>45297</v>
      </c>
      <c r="B414" s="24" t="s">
        <v>21</v>
      </c>
      <c r="C414" s="25" t="s">
        <v>39</v>
      </c>
      <c r="D414" s="14" t="s">
        <v>28</v>
      </c>
      <c r="E414" s="26">
        <v>0</v>
      </c>
      <c r="F414" s="26">
        <v>0</v>
      </c>
      <c r="G414" s="26">
        <v>0</v>
      </c>
      <c r="H414" s="26">
        <v>0</v>
      </c>
      <c r="I414" s="26">
        <v>0</v>
      </c>
      <c r="J414" s="26">
        <v>0</v>
      </c>
      <c r="K414" s="26">
        <v>0</v>
      </c>
      <c r="L414" s="27">
        <v>0</v>
      </c>
      <c r="M414" s="27">
        <v>0</v>
      </c>
      <c r="N414" s="28">
        <v>0</v>
      </c>
      <c r="O414" s="26">
        <v>0</v>
      </c>
      <c r="P414" s="26">
        <v>0</v>
      </c>
      <c r="Q414" s="33">
        <v>0</v>
      </c>
      <c r="R414" s="34">
        <v>0</v>
      </c>
      <c r="S414" s="34">
        <v>0</v>
      </c>
      <c r="T414" s="20">
        <v>0</v>
      </c>
      <c r="U414" s="21" t="s">
        <v>24</v>
      </c>
      <c r="V414" s="22">
        <f>IFERROR(RAW[[#This Row],[ACTUAL GROSS]]/RAW[[#This Row],[CONVERTED]],0)</f>
        <v>0</v>
      </c>
      <c r="W414" s="22">
        <f>IFERROR(RAW[[#This Row],[SALES]]/RAW[[#This Row],[HOURLY PAY]],0)</f>
        <v>0</v>
      </c>
    </row>
    <row r="415" spans="1:23" x14ac:dyDescent="0.35">
      <c r="A415" s="23">
        <v>45297</v>
      </c>
      <c r="B415" s="24" t="s">
        <v>25</v>
      </c>
      <c r="C415" s="25" t="s">
        <v>39</v>
      </c>
      <c r="D415" s="14" t="s">
        <v>28</v>
      </c>
      <c r="E415" s="26">
        <v>1280</v>
      </c>
      <c r="F415" s="26">
        <v>207.35</v>
      </c>
      <c r="G415" s="26">
        <v>33</v>
      </c>
      <c r="H415" s="26">
        <v>51.2</v>
      </c>
      <c r="I415" s="26">
        <v>3.4834799999999997</v>
      </c>
      <c r="J415" s="26">
        <v>6</v>
      </c>
      <c r="K415" s="26">
        <v>152.66651999999999</v>
      </c>
      <c r="L415" s="27">
        <v>5</v>
      </c>
      <c r="M415" s="27">
        <v>26</v>
      </c>
      <c r="N415" s="28">
        <v>5.4333333333333336</v>
      </c>
      <c r="O415" s="26">
        <v>11.573</v>
      </c>
      <c r="P415" s="26">
        <v>170.23952</v>
      </c>
      <c r="Q415" s="33">
        <v>197.23952</v>
      </c>
      <c r="R415" s="34">
        <v>1</v>
      </c>
      <c r="S415" s="34">
        <v>0</v>
      </c>
      <c r="T415" s="20">
        <v>0</v>
      </c>
      <c r="U415" s="21" t="s">
        <v>24</v>
      </c>
      <c r="V415" s="22">
        <f>IFERROR(RAW[[#This Row],[ACTUAL GROSS]]/RAW[[#This Row],[CONVERTED]],0)</f>
        <v>36.301752147239263</v>
      </c>
      <c r="W415" s="22">
        <f>IFERROR(RAW[[#This Row],[SALES]]/RAW[[#This Row],[HOURLY PAY]],0)</f>
        <v>110.60226389008899</v>
      </c>
    </row>
    <row r="416" spans="1:23" x14ac:dyDescent="0.35">
      <c r="A416" s="23">
        <v>45298</v>
      </c>
      <c r="B416" s="24" t="s">
        <v>21</v>
      </c>
      <c r="C416" s="25" t="s">
        <v>39</v>
      </c>
      <c r="D416" s="14" t="s">
        <v>29</v>
      </c>
      <c r="E416" s="26">
        <v>0</v>
      </c>
      <c r="F416" s="26">
        <v>0</v>
      </c>
      <c r="G416" s="26">
        <v>0</v>
      </c>
      <c r="H416" s="26">
        <v>0</v>
      </c>
      <c r="I416" s="26">
        <v>0</v>
      </c>
      <c r="J416" s="26">
        <v>0</v>
      </c>
      <c r="K416" s="26">
        <v>0</v>
      </c>
      <c r="L416" s="27">
        <v>0</v>
      </c>
      <c r="M416" s="27">
        <v>0</v>
      </c>
      <c r="N416" s="28">
        <v>0</v>
      </c>
      <c r="O416" s="26">
        <v>0</v>
      </c>
      <c r="P416" s="26">
        <v>0</v>
      </c>
      <c r="Q416" s="33">
        <v>0</v>
      </c>
      <c r="R416" s="34">
        <v>0</v>
      </c>
      <c r="S416" s="34">
        <v>0</v>
      </c>
      <c r="T416" s="20">
        <v>0</v>
      </c>
      <c r="U416" s="21" t="s">
        <v>24</v>
      </c>
      <c r="V416" s="22">
        <f>IFERROR(RAW[[#This Row],[ACTUAL GROSS]]/RAW[[#This Row],[CONVERTED]],0)</f>
        <v>0</v>
      </c>
      <c r="W416" s="22">
        <f>IFERROR(RAW[[#This Row],[SALES]]/RAW[[#This Row],[HOURLY PAY]],0)</f>
        <v>0</v>
      </c>
    </row>
    <row r="417" spans="1:23" x14ac:dyDescent="0.35">
      <c r="A417" s="23">
        <v>45298</v>
      </c>
      <c r="B417" s="24" t="s">
        <v>25</v>
      </c>
      <c r="C417" s="25" t="s">
        <v>39</v>
      </c>
      <c r="D417" s="14" t="s">
        <v>29</v>
      </c>
      <c r="E417" s="26">
        <v>1389.5</v>
      </c>
      <c r="F417" s="26">
        <v>193.54</v>
      </c>
      <c r="G417" s="26">
        <v>88</v>
      </c>
      <c r="H417" s="26">
        <v>55.58</v>
      </c>
      <c r="I417" s="26">
        <v>3.2514719999999997</v>
      </c>
      <c r="J417" s="26">
        <v>18</v>
      </c>
      <c r="K417" s="26">
        <v>134.708528</v>
      </c>
      <c r="L417" s="27">
        <v>5</v>
      </c>
      <c r="M417" s="27">
        <v>14</v>
      </c>
      <c r="N417" s="28">
        <v>5.2333333333333334</v>
      </c>
      <c r="O417" s="26">
        <v>11.147</v>
      </c>
      <c r="P417" s="26">
        <v>163.85552799999999</v>
      </c>
      <c r="Q417" s="33">
        <v>233.85552799999999</v>
      </c>
      <c r="R417" s="34">
        <v>1</v>
      </c>
      <c r="S417" s="34">
        <v>0</v>
      </c>
      <c r="T417" s="20">
        <v>0</v>
      </c>
      <c r="U417" s="21" t="s">
        <v>24</v>
      </c>
      <c r="V417" s="22">
        <f>IFERROR(RAW[[#This Row],[ACTUAL GROSS]]/RAW[[#This Row],[CONVERTED]],0)</f>
        <v>44.685769681528662</v>
      </c>
      <c r="W417" s="22">
        <f>IFERROR(RAW[[#This Row],[SALES]]/RAW[[#This Row],[HOURLY PAY]],0)</f>
        <v>124.65237283574055</v>
      </c>
    </row>
    <row r="418" spans="1:23" x14ac:dyDescent="0.35">
      <c r="A418" s="23">
        <v>45299</v>
      </c>
      <c r="B418" s="24" t="s">
        <v>21</v>
      </c>
      <c r="C418" s="25" t="s">
        <v>39</v>
      </c>
      <c r="D418" s="14" t="s">
        <v>30</v>
      </c>
      <c r="E418" s="26">
        <v>0</v>
      </c>
      <c r="F418" s="26">
        <v>0</v>
      </c>
      <c r="G418" s="26">
        <v>0</v>
      </c>
      <c r="H418" s="26">
        <v>0</v>
      </c>
      <c r="I418" s="26">
        <v>0</v>
      </c>
      <c r="J418" s="26">
        <v>0</v>
      </c>
      <c r="K418" s="26">
        <v>0</v>
      </c>
      <c r="L418" s="27">
        <v>0</v>
      </c>
      <c r="M418" s="27">
        <v>0</v>
      </c>
      <c r="N418" s="28">
        <v>0</v>
      </c>
      <c r="O418" s="26">
        <v>0</v>
      </c>
      <c r="P418" s="26">
        <v>0</v>
      </c>
      <c r="Q418" s="33">
        <v>0</v>
      </c>
      <c r="R418" s="34">
        <v>0</v>
      </c>
      <c r="S418" s="34">
        <v>0</v>
      </c>
      <c r="T418" s="20">
        <v>0</v>
      </c>
      <c r="U418" s="21" t="s">
        <v>24</v>
      </c>
      <c r="V418" s="22">
        <f>IFERROR(RAW[[#This Row],[ACTUAL GROSS]]/RAW[[#This Row],[CONVERTED]],0)</f>
        <v>0</v>
      </c>
      <c r="W418" s="22">
        <f>IFERROR(RAW[[#This Row],[SALES]]/RAW[[#This Row],[HOURLY PAY]],0)</f>
        <v>0</v>
      </c>
    </row>
    <row r="419" spans="1:23" x14ac:dyDescent="0.35">
      <c r="A419" s="23">
        <v>45299</v>
      </c>
      <c r="B419" s="24" t="s">
        <v>25</v>
      </c>
      <c r="C419" s="25" t="s">
        <v>39</v>
      </c>
      <c r="D419" s="14" t="s">
        <v>30</v>
      </c>
      <c r="E419" s="26">
        <v>491.5</v>
      </c>
      <c r="F419" s="26">
        <v>100.5</v>
      </c>
      <c r="G419" s="26">
        <v>0</v>
      </c>
      <c r="H419" s="26">
        <v>19.66</v>
      </c>
      <c r="I419" s="26">
        <v>1.6883999999999999</v>
      </c>
      <c r="J419" s="26">
        <v>0</v>
      </c>
      <c r="K419" s="26">
        <v>79.151600000000002</v>
      </c>
      <c r="L419" s="27">
        <v>6</v>
      </c>
      <c r="M419" s="27">
        <v>8</v>
      </c>
      <c r="N419" s="28">
        <v>6.1333333333333337</v>
      </c>
      <c r="O419" s="26">
        <v>13.064</v>
      </c>
      <c r="P419" s="26">
        <v>92.215599999999995</v>
      </c>
      <c r="Q419" s="33">
        <v>92.215599999999995</v>
      </c>
      <c r="R419" s="34">
        <v>1</v>
      </c>
      <c r="S419" s="34">
        <v>0</v>
      </c>
      <c r="T419" s="20">
        <v>0</v>
      </c>
      <c r="U419" s="21" t="s">
        <v>24</v>
      </c>
      <c r="V419" s="22">
        <f>IFERROR(RAW[[#This Row],[ACTUAL GROSS]]/RAW[[#This Row],[CONVERTED]],0)</f>
        <v>15.035152173913042</v>
      </c>
      <c r="W419" s="22">
        <f>IFERROR(RAW[[#This Row],[SALES]]/RAW[[#This Row],[HOURLY PAY]],0)</f>
        <v>37.622473974280467</v>
      </c>
    </row>
    <row r="420" spans="1:23" x14ac:dyDescent="0.35">
      <c r="A420" s="23">
        <v>45300</v>
      </c>
      <c r="B420" s="24" t="s">
        <v>21</v>
      </c>
      <c r="C420" s="25" t="s">
        <v>39</v>
      </c>
      <c r="D420" s="14" t="s">
        <v>31</v>
      </c>
      <c r="E420" s="26">
        <v>0</v>
      </c>
      <c r="F420" s="26">
        <v>0</v>
      </c>
      <c r="G420" s="26">
        <v>0</v>
      </c>
      <c r="H420" s="26">
        <v>0</v>
      </c>
      <c r="I420" s="26">
        <v>0</v>
      </c>
      <c r="J420" s="26">
        <v>0</v>
      </c>
      <c r="K420" s="26">
        <v>0</v>
      </c>
      <c r="L420" s="27">
        <v>0</v>
      </c>
      <c r="M420" s="27">
        <v>0</v>
      </c>
      <c r="N420" s="28">
        <v>0</v>
      </c>
      <c r="O420" s="26">
        <v>0</v>
      </c>
      <c r="P420" s="26">
        <v>0</v>
      </c>
      <c r="Q420" s="33">
        <v>0</v>
      </c>
      <c r="R420" s="34">
        <v>0</v>
      </c>
      <c r="S420" s="34">
        <v>0</v>
      </c>
      <c r="T420" s="20">
        <v>0</v>
      </c>
      <c r="U420" s="21" t="s">
        <v>24</v>
      </c>
      <c r="V420" s="22">
        <f>IFERROR(RAW[[#This Row],[ACTUAL GROSS]]/RAW[[#This Row],[CONVERTED]],0)</f>
        <v>0</v>
      </c>
      <c r="W420" s="22">
        <f>IFERROR(RAW[[#This Row],[SALES]]/RAW[[#This Row],[HOURLY PAY]],0)</f>
        <v>0</v>
      </c>
    </row>
    <row r="421" spans="1:23" x14ac:dyDescent="0.35">
      <c r="A421" s="23">
        <v>45300</v>
      </c>
      <c r="B421" s="24" t="s">
        <v>25</v>
      </c>
      <c r="C421" s="25" t="s">
        <v>39</v>
      </c>
      <c r="D421" s="14" t="s">
        <v>31</v>
      </c>
      <c r="E421" s="26">
        <v>0</v>
      </c>
      <c r="F421" s="26">
        <v>0</v>
      </c>
      <c r="G421" s="26">
        <v>0</v>
      </c>
      <c r="H421" s="26">
        <v>0</v>
      </c>
      <c r="I421" s="26">
        <v>0</v>
      </c>
      <c r="J421" s="26">
        <v>0</v>
      </c>
      <c r="K421" s="26">
        <v>0</v>
      </c>
      <c r="L421" s="27">
        <v>0</v>
      </c>
      <c r="M421" s="27">
        <v>0</v>
      </c>
      <c r="N421" s="28">
        <v>0</v>
      </c>
      <c r="O421" s="26">
        <v>0</v>
      </c>
      <c r="P421" s="26">
        <v>0</v>
      </c>
      <c r="Q421" s="33">
        <v>0</v>
      </c>
      <c r="R421" s="34">
        <v>0</v>
      </c>
      <c r="S421" s="34">
        <v>0</v>
      </c>
      <c r="T421" s="20">
        <v>0</v>
      </c>
      <c r="U421" s="21" t="s">
        <v>24</v>
      </c>
      <c r="V421" s="22">
        <f>IFERROR(RAW[[#This Row],[ACTUAL GROSS]]/RAW[[#This Row],[CONVERTED]],0)</f>
        <v>0</v>
      </c>
      <c r="W421" s="22">
        <f>IFERROR(RAW[[#This Row],[SALES]]/RAW[[#This Row],[HOURLY PAY]],0)</f>
        <v>0</v>
      </c>
    </row>
    <row r="422" spans="1:23" s="41" customFormat="1" x14ac:dyDescent="0.35">
      <c r="A422" s="23">
        <v>45301</v>
      </c>
      <c r="B422" s="24" t="s">
        <v>21</v>
      </c>
      <c r="C422" s="25" t="s">
        <v>39</v>
      </c>
      <c r="D422" s="14" t="s">
        <v>23</v>
      </c>
      <c r="E422" s="26">
        <v>0</v>
      </c>
      <c r="F422" s="26">
        <v>0</v>
      </c>
      <c r="G422" s="26">
        <v>0</v>
      </c>
      <c r="H422" s="26">
        <v>0</v>
      </c>
      <c r="I422" s="26">
        <v>0</v>
      </c>
      <c r="J422" s="26">
        <v>0</v>
      </c>
      <c r="K422" s="26">
        <v>0</v>
      </c>
      <c r="L422" s="27">
        <v>0</v>
      </c>
      <c r="M422" s="27">
        <v>0</v>
      </c>
      <c r="N422" s="28">
        <v>0</v>
      </c>
      <c r="O422" s="26">
        <v>0</v>
      </c>
      <c r="P422" s="26">
        <v>0</v>
      </c>
      <c r="Q422" s="33">
        <v>0</v>
      </c>
      <c r="R422" s="34">
        <v>0</v>
      </c>
      <c r="S422" s="34">
        <v>0</v>
      </c>
      <c r="T422" s="20">
        <v>0</v>
      </c>
      <c r="U422" s="21" t="s">
        <v>24</v>
      </c>
      <c r="V422" s="237">
        <f>IFERROR(RAW[[#This Row],[ACTUAL GROSS]]/RAW[[#This Row],[CONVERTED]],0)</f>
        <v>0</v>
      </c>
      <c r="W422" s="237">
        <f>IFERROR(RAW[[#This Row],[SALES]]/RAW[[#This Row],[HOURLY PAY]],0)</f>
        <v>0</v>
      </c>
    </row>
    <row r="423" spans="1:23" x14ac:dyDescent="0.35">
      <c r="A423" s="23">
        <v>45301</v>
      </c>
      <c r="B423" s="24" t="s">
        <v>25</v>
      </c>
      <c r="C423" s="25" t="s">
        <v>39</v>
      </c>
      <c r="D423" s="14" t="s">
        <v>23</v>
      </c>
      <c r="E423" s="26">
        <v>1140.5</v>
      </c>
      <c r="F423" s="26">
        <v>174.25</v>
      </c>
      <c r="G423" s="26">
        <v>33</v>
      </c>
      <c r="H423" s="26">
        <v>45.62</v>
      </c>
      <c r="I423" s="26">
        <v>2.9274</v>
      </c>
      <c r="J423" s="26">
        <v>0</v>
      </c>
      <c r="K423" s="26">
        <v>125.7026</v>
      </c>
      <c r="L423" s="27">
        <v>5</v>
      </c>
      <c r="M423" s="27">
        <v>49</v>
      </c>
      <c r="N423" s="28">
        <v>5.8166666666666664</v>
      </c>
      <c r="O423" s="26">
        <v>12.389499999999998</v>
      </c>
      <c r="P423" s="26">
        <v>138.09210000000002</v>
      </c>
      <c r="Q423" s="33">
        <v>171.09210000000002</v>
      </c>
      <c r="R423" s="34">
        <v>1</v>
      </c>
      <c r="S423" s="34">
        <v>0</v>
      </c>
      <c r="T423" s="20">
        <v>0</v>
      </c>
      <c r="U423" s="21" t="s">
        <v>24</v>
      </c>
      <c r="V423" s="22">
        <f>IFERROR(RAW[[#This Row],[ACTUAL GROSS]]/RAW[[#This Row],[CONVERTED]],0)</f>
        <v>29.414114613180519</v>
      </c>
      <c r="W423" s="22">
        <f>IFERROR(RAW[[#This Row],[SALES]]/RAW[[#This Row],[HOURLY PAY]],0)</f>
        <v>92.053755195932055</v>
      </c>
    </row>
    <row r="424" spans="1:23" x14ac:dyDescent="0.35">
      <c r="A424" s="23">
        <v>45302</v>
      </c>
      <c r="B424" s="24" t="s">
        <v>21</v>
      </c>
      <c r="C424" s="25" t="s">
        <v>39</v>
      </c>
      <c r="D424" s="14" t="s">
        <v>26</v>
      </c>
      <c r="E424" s="26">
        <v>0</v>
      </c>
      <c r="F424" s="26">
        <v>0</v>
      </c>
      <c r="G424" s="26">
        <v>0</v>
      </c>
      <c r="H424" s="26">
        <v>0</v>
      </c>
      <c r="I424" s="26">
        <v>0</v>
      </c>
      <c r="J424" s="26">
        <v>0</v>
      </c>
      <c r="K424" s="26">
        <v>0</v>
      </c>
      <c r="L424" s="27">
        <v>0</v>
      </c>
      <c r="M424" s="27">
        <v>0</v>
      </c>
      <c r="N424" s="28">
        <v>0</v>
      </c>
      <c r="O424" s="26">
        <v>0</v>
      </c>
      <c r="P424" s="26">
        <v>0</v>
      </c>
      <c r="Q424" s="33">
        <v>0</v>
      </c>
      <c r="R424" s="34">
        <v>0</v>
      </c>
      <c r="S424" s="34">
        <v>0</v>
      </c>
      <c r="T424" s="20">
        <v>0</v>
      </c>
      <c r="U424" s="21" t="s">
        <v>24</v>
      </c>
      <c r="V424" s="22">
        <f>IFERROR(RAW[[#This Row],[ACTUAL GROSS]]/RAW[[#This Row],[CONVERTED]],0)</f>
        <v>0</v>
      </c>
      <c r="W424" s="22">
        <f>IFERROR(RAW[[#This Row],[SALES]]/RAW[[#This Row],[HOURLY PAY]],0)</f>
        <v>0</v>
      </c>
    </row>
    <row r="425" spans="1:23" x14ac:dyDescent="0.35">
      <c r="A425" s="23">
        <v>45302</v>
      </c>
      <c r="B425" s="24" t="s">
        <v>25</v>
      </c>
      <c r="C425" s="25" t="s">
        <v>39</v>
      </c>
      <c r="D425" s="14" t="s">
        <v>26</v>
      </c>
      <c r="E425" s="26">
        <v>0</v>
      </c>
      <c r="F425" s="26">
        <v>0</v>
      </c>
      <c r="G425" s="26">
        <v>0</v>
      </c>
      <c r="H425" s="26">
        <v>0</v>
      </c>
      <c r="I425" s="26">
        <v>0</v>
      </c>
      <c r="J425" s="26">
        <v>0</v>
      </c>
      <c r="K425" s="26">
        <v>0</v>
      </c>
      <c r="L425" s="27">
        <v>0</v>
      </c>
      <c r="M425" s="27">
        <v>0</v>
      </c>
      <c r="N425" s="28">
        <v>0</v>
      </c>
      <c r="O425" s="26">
        <v>0</v>
      </c>
      <c r="P425" s="26">
        <v>0</v>
      </c>
      <c r="Q425" s="33">
        <v>0</v>
      </c>
      <c r="R425" s="34">
        <v>0</v>
      </c>
      <c r="S425" s="34">
        <v>0</v>
      </c>
      <c r="T425" s="20">
        <v>0</v>
      </c>
      <c r="U425" s="21" t="s">
        <v>24</v>
      </c>
      <c r="V425" s="22">
        <f>IFERROR(RAW[[#This Row],[ACTUAL GROSS]]/RAW[[#This Row],[CONVERTED]],0)</f>
        <v>0</v>
      </c>
      <c r="W425" s="22">
        <f>IFERROR(RAW[[#This Row],[SALES]]/RAW[[#This Row],[HOURLY PAY]],0)</f>
        <v>0</v>
      </c>
    </row>
    <row r="426" spans="1:23" x14ac:dyDescent="0.35">
      <c r="A426" s="23">
        <v>45303</v>
      </c>
      <c r="B426" s="24" t="s">
        <v>21</v>
      </c>
      <c r="C426" s="25" t="s">
        <v>39</v>
      </c>
      <c r="D426" s="14" t="s">
        <v>27</v>
      </c>
      <c r="E426" s="26">
        <v>0</v>
      </c>
      <c r="F426" s="26">
        <v>0</v>
      </c>
      <c r="G426" s="26">
        <v>0</v>
      </c>
      <c r="H426" s="26">
        <v>0</v>
      </c>
      <c r="I426" s="26">
        <v>0</v>
      </c>
      <c r="J426" s="26">
        <v>0</v>
      </c>
      <c r="K426" s="26">
        <v>0</v>
      </c>
      <c r="L426" s="27">
        <v>0</v>
      </c>
      <c r="M426" s="27">
        <v>0</v>
      </c>
      <c r="N426" s="28">
        <v>0</v>
      </c>
      <c r="O426" s="26">
        <v>0</v>
      </c>
      <c r="P426" s="26">
        <v>0</v>
      </c>
      <c r="Q426" s="33">
        <v>0</v>
      </c>
      <c r="R426" s="34">
        <v>0</v>
      </c>
      <c r="S426" s="34">
        <v>0</v>
      </c>
      <c r="T426" s="20">
        <v>0</v>
      </c>
      <c r="U426" s="21" t="s">
        <v>24</v>
      </c>
      <c r="V426" s="22">
        <f>IFERROR(RAW[[#This Row],[ACTUAL GROSS]]/RAW[[#This Row],[CONVERTED]],0)</f>
        <v>0</v>
      </c>
      <c r="W426" s="22">
        <f>IFERROR(RAW[[#This Row],[SALES]]/RAW[[#This Row],[HOURLY PAY]],0)</f>
        <v>0</v>
      </c>
    </row>
    <row r="427" spans="1:23" x14ac:dyDescent="0.35">
      <c r="A427" s="23">
        <v>45303</v>
      </c>
      <c r="B427" s="24" t="s">
        <v>25</v>
      </c>
      <c r="C427" s="25" t="s">
        <v>39</v>
      </c>
      <c r="D427" s="14" t="s">
        <v>27</v>
      </c>
      <c r="E427" s="26">
        <v>1276.5</v>
      </c>
      <c r="F427" s="26">
        <v>240.3</v>
      </c>
      <c r="G427" s="26">
        <v>18</v>
      </c>
      <c r="H427" s="26">
        <v>51.06</v>
      </c>
      <c r="I427" s="26">
        <v>4.0370400000000002</v>
      </c>
      <c r="J427" s="26">
        <v>7</v>
      </c>
      <c r="K427" s="26">
        <v>185.20296000000002</v>
      </c>
      <c r="L427" s="27">
        <v>5</v>
      </c>
      <c r="M427" s="27">
        <v>59</v>
      </c>
      <c r="N427" s="28">
        <v>5.9833333333333334</v>
      </c>
      <c r="O427" s="26">
        <v>12.744499999999999</v>
      </c>
      <c r="P427" s="26">
        <v>204.94746000000001</v>
      </c>
      <c r="Q427" s="33">
        <v>215.94746000000001</v>
      </c>
      <c r="R427" s="34">
        <v>1</v>
      </c>
      <c r="S427" s="34">
        <v>0</v>
      </c>
      <c r="T427" s="20">
        <v>0</v>
      </c>
      <c r="U427" s="21" t="s">
        <v>24</v>
      </c>
      <c r="V427" s="22">
        <f>IFERROR(RAW[[#This Row],[ACTUAL GROSS]]/RAW[[#This Row],[CONVERTED]],0)</f>
        <v>36.091497493036215</v>
      </c>
      <c r="W427" s="22">
        <f>IFERROR(RAW[[#This Row],[SALES]]/RAW[[#This Row],[HOURLY PAY]],0)</f>
        <v>100.16085370159678</v>
      </c>
    </row>
    <row r="428" spans="1:23" x14ac:dyDescent="0.35">
      <c r="A428" s="23">
        <v>45304</v>
      </c>
      <c r="B428" s="24" t="s">
        <v>21</v>
      </c>
      <c r="C428" s="25" t="s">
        <v>39</v>
      </c>
      <c r="D428" s="14" t="s">
        <v>28</v>
      </c>
      <c r="E428" s="26">
        <v>0</v>
      </c>
      <c r="F428" s="26">
        <v>0</v>
      </c>
      <c r="G428" s="26">
        <v>0</v>
      </c>
      <c r="H428" s="26">
        <v>0</v>
      </c>
      <c r="I428" s="26">
        <v>0</v>
      </c>
      <c r="J428" s="26">
        <v>0</v>
      </c>
      <c r="K428" s="26">
        <v>0</v>
      </c>
      <c r="L428" s="27">
        <v>0</v>
      </c>
      <c r="M428" s="27">
        <v>0</v>
      </c>
      <c r="N428" s="28">
        <v>0</v>
      </c>
      <c r="O428" s="26">
        <v>0</v>
      </c>
      <c r="P428" s="26">
        <v>0</v>
      </c>
      <c r="Q428" s="33">
        <v>0</v>
      </c>
      <c r="R428" s="34">
        <v>0</v>
      </c>
      <c r="S428" s="34">
        <v>0</v>
      </c>
      <c r="T428" s="20">
        <v>0</v>
      </c>
      <c r="U428" s="21" t="s">
        <v>24</v>
      </c>
      <c r="V428" s="22">
        <f>IFERROR(RAW[[#This Row],[ACTUAL GROSS]]/RAW[[#This Row],[CONVERTED]],0)</f>
        <v>0</v>
      </c>
      <c r="W428" s="22">
        <f>IFERROR(RAW[[#This Row],[SALES]]/RAW[[#This Row],[HOURLY PAY]],0)</f>
        <v>0</v>
      </c>
    </row>
    <row r="429" spans="1:23" x14ac:dyDescent="0.35">
      <c r="A429" s="23">
        <v>45304</v>
      </c>
      <c r="B429" s="24" t="s">
        <v>25</v>
      </c>
      <c r="C429" s="25" t="s">
        <v>39</v>
      </c>
      <c r="D429" s="14" t="s">
        <v>28</v>
      </c>
      <c r="E429" s="26">
        <v>1227</v>
      </c>
      <c r="F429" s="26">
        <v>268.33999999999997</v>
      </c>
      <c r="G429" s="26">
        <v>0</v>
      </c>
      <c r="H429" s="26">
        <v>49.08</v>
      </c>
      <c r="I429" s="26">
        <v>4.5081119999999997</v>
      </c>
      <c r="J429" s="26">
        <v>0</v>
      </c>
      <c r="K429" s="26">
        <v>214.75188799999998</v>
      </c>
      <c r="L429" s="27">
        <v>6</v>
      </c>
      <c r="M429" s="27">
        <v>17</v>
      </c>
      <c r="N429" s="28">
        <v>6.2833333333333332</v>
      </c>
      <c r="O429" s="26">
        <v>13.3835</v>
      </c>
      <c r="P429" s="26">
        <v>228.13538799999998</v>
      </c>
      <c r="Q429" s="33">
        <v>228.13538799999998</v>
      </c>
      <c r="R429" s="34">
        <v>1</v>
      </c>
      <c r="S429" s="34">
        <v>0</v>
      </c>
      <c r="T429" s="20">
        <v>0</v>
      </c>
      <c r="U429" s="21" t="s">
        <v>24</v>
      </c>
      <c r="V429" s="22">
        <f>IFERROR(RAW[[#This Row],[ACTUAL GROSS]]/RAW[[#This Row],[CONVERTED]],0)</f>
        <v>36.308019310344825</v>
      </c>
      <c r="W429" s="22">
        <f>IFERROR(RAW[[#This Row],[SALES]]/RAW[[#This Row],[HOURLY PAY]],0)</f>
        <v>91.680053797586581</v>
      </c>
    </row>
    <row r="430" spans="1:23" x14ac:dyDescent="0.35">
      <c r="A430" s="23">
        <v>45305</v>
      </c>
      <c r="B430" s="24" t="s">
        <v>21</v>
      </c>
      <c r="C430" s="25" t="s">
        <v>39</v>
      </c>
      <c r="D430" s="14" t="s">
        <v>29</v>
      </c>
      <c r="E430" s="26">
        <v>0</v>
      </c>
      <c r="F430" s="26">
        <v>0</v>
      </c>
      <c r="G430" s="26">
        <v>0</v>
      </c>
      <c r="H430" s="26">
        <v>0</v>
      </c>
      <c r="I430" s="26">
        <v>0</v>
      </c>
      <c r="J430" s="26">
        <v>0</v>
      </c>
      <c r="K430" s="26">
        <v>0</v>
      </c>
      <c r="L430" s="27">
        <v>0</v>
      </c>
      <c r="M430" s="27">
        <v>0</v>
      </c>
      <c r="N430" s="28">
        <v>0</v>
      </c>
      <c r="O430" s="26">
        <v>0</v>
      </c>
      <c r="P430" s="26">
        <v>0</v>
      </c>
      <c r="Q430" s="33">
        <v>0</v>
      </c>
      <c r="R430" s="34">
        <v>0</v>
      </c>
      <c r="S430" s="34">
        <v>0</v>
      </c>
      <c r="T430" s="20">
        <v>0</v>
      </c>
      <c r="U430" s="21" t="s">
        <v>24</v>
      </c>
      <c r="V430" s="22">
        <f>IFERROR(RAW[[#This Row],[ACTUAL GROSS]]/RAW[[#This Row],[CONVERTED]],0)</f>
        <v>0</v>
      </c>
      <c r="W430" s="22">
        <f>IFERROR(RAW[[#This Row],[SALES]]/RAW[[#This Row],[HOURLY PAY]],0)</f>
        <v>0</v>
      </c>
    </row>
    <row r="431" spans="1:23" x14ac:dyDescent="0.35">
      <c r="A431" s="23">
        <v>45305</v>
      </c>
      <c r="B431" s="24" t="s">
        <v>25</v>
      </c>
      <c r="C431" s="25" t="s">
        <v>39</v>
      </c>
      <c r="D431" s="14" t="s">
        <v>29</v>
      </c>
      <c r="E431" s="26">
        <v>0</v>
      </c>
      <c r="F431" s="26">
        <v>0</v>
      </c>
      <c r="G431" s="26">
        <v>0</v>
      </c>
      <c r="H431" s="26">
        <v>0</v>
      </c>
      <c r="I431" s="26">
        <v>0</v>
      </c>
      <c r="J431" s="26">
        <v>0</v>
      </c>
      <c r="K431" s="26">
        <v>0</v>
      </c>
      <c r="L431" s="27">
        <v>0</v>
      </c>
      <c r="M431" s="27">
        <v>0</v>
      </c>
      <c r="N431" s="28">
        <v>0</v>
      </c>
      <c r="O431" s="26">
        <v>0</v>
      </c>
      <c r="P431" s="26">
        <v>0</v>
      </c>
      <c r="Q431" s="33">
        <v>0</v>
      </c>
      <c r="R431" s="34">
        <v>0</v>
      </c>
      <c r="S431" s="34">
        <v>0</v>
      </c>
      <c r="T431" s="20">
        <v>0</v>
      </c>
      <c r="U431" s="21" t="s">
        <v>24</v>
      </c>
      <c r="V431" s="22">
        <f>IFERROR(RAW[[#This Row],[ACTUAL GROSS]]/RAW[[#This Row],[CONVERTED]],0)</f>
        <v>0</v>
      </c>
      <c r="W431" s="22">
        <f>IFERROR(RAW[[#This Row],[SALES]]/RAW[[#This Row],[HOURLY PAY]],0)</f>
        <v>0</v>
      </c>
    </row>
    <row r="432" spans="1:23" x14ac:dyDescent="0.35">
      <c r="A432" s="23">
        <v>45306</v>
      </c>
      <c r="B432" s="24" t="s">
        <v>21</v>
      </c>
      <c r="C432" s="25" t="s">
        <v>39</v>
      </c>
      <c r="D432" s="14" t="s">
        <v>30</v>
      </c>
      <c r="E432" s="26">
        <v>0</v>
      </c>
      <c r="F432" s="26">
        <v>0</v>
      </c>
      <c r="G432" s="26">
        <v>0</v>
      </c>
      <c r="H432" s="26">
        <v>0</v>
      </c>
      <c r="I432" s="26">
        <v>0</v>
      </c>
      <c r="J432" s="26">
        <v>0</v>
      </c>
      <c r="K432" s="26">
        <v>0</v>
      </c>
      <c r="L432" s="27">
        <v>0</v>
      </c>
      <c r="M432" s="27">
        <v>0</v>
      </c>
      <c r="N432" s="28">
        <v>0</v>
      </c>
      <c r="O432" s="26">
        <v>0</v>
      </c>
      <c r="P432" s="26">
        <v>0</v>
      </c>
      <c r="Q432" s="33">
        <v>0</v>
      </c>
      <c r="R432" s="34">
        <v>0</v>
      </c>
      <c r="S432" s="34">
        <v>0</v>
      </c>
      <c r="T432" s="20">
        <v>0</v>
      </c>
      <c r="U432" s="21" t="s">
        <v>24</v>
      </c>
      <c r="V432" s="22">
        <f>IFERROR(RAW[[#This Row],[ACTUAL GROSS]]/RAW[[#This Row],[CONVERTED]],0)</f>
        <v>0</v>
      </c>
      <c r="W432" s="22">
        <f>IFERROR(RAW[[#This Row],[SALES]]/RAW[[#This Row],[HOURLY PAY]],0)</f>
        <v>0</v>
      </c>
    </row>
    <row r="433" spans="1:23" x14ac:dyDescent="0.35">
      <c r="A433" s="23">
        <v>45306</v>
      </c>
      <c r="B433" s="24" t="s">
        <v>25</v>
      </c>
      <c r="C433" s="25" t="s">
        <v>39</v>
      </c>
      <c r="D433" s="14" t="s">
        <v>30</v>
      </c>
      <c r="E433" s="26">
        <v>0</v>
      </c>
      <c r="F433" s="26">
        <v>0</v>
      </c>
      <c r="G433" s="26">
        <v>0</v>
      </c>
      <c r="H433" s="26">
        <v>0</v>
      </c>
      <c r="I433" s="26">
        <v>0</v>
      </c>
      <c r="J433" s="26">
        <v>0</v>
      </c>
      <c r="K433" s="26">
        <v>0</v>
      </c>
      <c r="L433" s="27">
        <v>0</v>
      </c>
      <c r="M433" s="27">
        <v>0</v>
      </c>
      <c r="N433" s="28">
        <v>0</v>
      </c>
      <c r="O433" s="26">
        <v>0</v>
      </c>
      <c r="P433" s="26">
        <v>0</v>
      </c>
      <c r="Q433" s="33">
        <v>0</v>
      </c>
      <c r="R433" s="34">
        <v>0</v>
      </c>
      <c r="S433" s="34">
        <v>0</v>
      </c>
      <c r="T433" s="20">
        <v>0</v>
      </c>
      <c r="U433" s="21" t="s">
        <v>24</v>
      </c>
      <c r="V433" s="22">
        <f>IFERROR(RAW[[#This Row],[ACTUAL GROSS]]/RAW[[#This Row],[CONVERTED]],0)</f>
        <v>0</v>
      </c>
      <c r="W433" s="22">
        <f>IFERROR(RAW[[#This Row],[SALES]]/RAW[[#This Row],[HOURLY PAY]],0)</f>
        <v>0</v>
      </c>
    </row>
    <row r="434" spans="1:23" x14ac:dyDescent="0.35">
      <c r="A434" s="23">
        <v>45307</v>
      </c>
      <c r="B434" s="24" t="s">
        <v>21</v>
      </c>
      <c r="C434" s="25" t="s">
        <v>39</v>
      </c>
      <c r="D434" s="14" t="s">
        <v>31</v>
      </c>
      <c r="E434" s="26">
        <v>0</v>
      </c>
      <c r="F434" s="26">
        <v>0</v>
      </c>
      <c r="G434" s="26">
        <v>0</v>
      </c>
      <c r="H434" s="26">
        <v>0</v>
      </c>
      <c r="I434" s="26">
        <v>0</v>
      </c>
      <c r="J434" s="26">
        <v>0</v>
      </c>
      <c r="K434" s="26">
        <v>0</v>
      </c>
      <c r="L434" s="27">
        <v>0</v>
      </c>
      <c r="M434" s="27">
        <v>0</v>
      </c>
      <c r="N434" s="28">
        <v>0</v>
      </c>
      <c r="O434" s="26">
        <v>0</v>
      </c>
      <c r="P434" s="26">
        <v>0</v>
      </c>
      <c r="Q434" s="33">
        <v>0</v>
      </c>
      <c r="R434" s="34">
        <v>0</v>
      </c>
      <c r="S434" s="34">
        <v>0</v>
      </c>
      <c r="T434" s="20">
        <v>0</v>
      </c>
      <c r="U434" s="21" t="s">
        <v>24</v>
      </c>
      <c r="V434" s="22">
        <f>IFERROR(RAW[[#This Row],[ACTUAL GROSS]]/RAW[[#This Row],[CONVERTED]],0)</f>
        <v>0</v>
      </c>
      <c r="W434" s="22">
        <f>IFERROR(RAW[[#This Row],[SALES]]/RAW[[#This Row],[HOURLY PAY]],0)</f>
        <v>0</v>
      </c>
    </row>
    <row r="435" spans="1:23" x14ac:dyDescent="0.35">
      <c r="A435" s="23">
        <v>45307</v>
      </c>
      <c r="B435" s="24" t="s">
        <v>25</v>
      </c>
      <c r="C435" s="25" t="s">
        <v>39</v>
      </c>
      <c r="D435" s="14" t="s">
        <v>31</v>
      </c>
      <c r="E435" s="26">
        <v>0</v>
      </c>
      <c r="F435" s="26">
        <v>0</v>
      </c>
      <c r="G435" s="26">
        <v>0</v>
      </c>
      <c r="H435" s="26">
        <v>0</v>
      </c>
      <c r="I435" s="26">
        <v>0</v>
      </c>
      <c r="J435" s="26">
        <v>0</v>
      </c>
      <c r="K435" s="26">
        <v>0</v>
      </c>
      <c r="L435" s="27">
        <v>0</v>
      </c>
      <c r="M435" s="27">
        <v>0</v>
      </c>
      <c r="N435" s="28">
        <v>0</v>
      </c>
      <c r="O435" s="26">
        <v>0</v>
      </c>
      <c r="P435" s="26">
        <v>0</v>
      </c>
      <c r="Q435" s="33">
        <v>0</v>
      </c>
      <c r="R435" s="34">
        <v>0</v>
      </c>
      <c r="S435" s="34">
        <v>0</v>
      </c>
      <c r="T435" s="20">
        <v>0</v>
      </c>
      <c r="U435" s="21" t="s">
        <v>24</v>
      </c>
      <c r="V435" s="22">
        <f>IFERROR(RAW[[#This Row],[ACTUAL GROSS]]/RAW[[#This Row],[CONVERTED]],0)</f>
        <v>0</v>
      </c>
      <c r="W435" s="22">
        <f>IFERROR(RAW[[#This Row],[SALES]]/RAW[[#This Row],[HOURLY PAY]],0)</f>
        <v>0</v>
      </c>
    </row>
    <row r="436" spans="1:23" s="41" customFormat="1" x14ac:dyDescent="0.35">
      <c r="A436" s="23">
        <v>45308</v>
      </c>
      <c r="B436" s="24" t="s">
        <v>21</v>
      </c>
      <c r="C436" s="25" t="s">
        <v>39</v>
      </c>
      <c r="D436" s="14" t="s">
        <v>23</v>
      </c>
      <c r="E436" s="26">
        <v>0</v>
      </c>
      <c r="F436" s="26">
        <v>0</v>
      </c>
      <c r="G436" s="26">
        <v>0</v>
      </c>
      <c r="H436" s="26">
        <v>0</v>
      </c>
      <c r="I436" s="26">
        <v>0</v>
      </c>
      <c r="J436" s="26">
        <v>0</v>
      </c>
      <c r="K436" s="26">
        <v>0</v>
      </c>
      <c r="L436" s="27">
        <v>0</v>
      </c>
      <c r="M436" s="27">
        <v>0</v>
      </c>
      <c r="N436" s="28">
        <v>0</v>
      </c>
      <c r="O436" s="26">
        <v>0</v>
      </c>
      <c r="P436" s="26">
        <v>0</v>
      </c>
      <c r="Q436" s="33">
        <v>0</v>
      </c>
      <c r="R436" s="34">
        <v>0</v>
      </c>
      <c r="S436" s="34">
        <v>0</v>
      </c>
      <c r="T436" s="20">
        <v>0</v>
      </c>
      <c r="U436" s="21" t="s">
        <v>24</v>
      </c>
      <c r="V436" s="237">
        <f>IFERROR(RAW[[#This Row],[ACTUAL GROSS]]/RAW[[#This Row],[CONVERTED]],0)</f>
        <v>0</v>
      </c>
      <c r="W436" s="237">
        <f>IFERROR(RAW[[#This Row],[SALES]]/RAW[[#This Row],[HOURLY PAY]],0)</f>
        <v>0</v>
      </c>
    </row>
    <row r="437" spans="1:23" x14ac:dyDescent="0.35">
      <c r="A437" s="23">
        <v>45308</v>
      </c>
      <c r="B437" s="24" t="s">
        <v>25</v>
      </c>
      <c r="C437" s="25" t="s">
        <v>39</v>
      </c>
      <c r="D437" s="14" t="s">
        <v>23</v>
      </c>
      <c r="E437" s="26">
        <v>454</v>
      </c>
      <c r="F437" s="26">
        <v>65.400000000000006</v>
      </c>
      <c r="G437" s="26">
        <v>21</v>
      </c>
      <c r="H437" s="26">
        <v>18.16</v>
      </c>
      <c r="I437" s="26">
        <v>1.0987199999999999</v>
      </c>
      <c r="J437" s="26">
        <v>7.5</v>
      </c>
      <c r="K437" s="26">
        <v>46.141280000000009</v>
      </c>
      <c r="L437" s="27">
        <v>5</v>
      </c>
      <c r="M437" s="27">
        <v>28</v>
      </c>
      <c r="N437" s="28">
        <v>5.4666666666666668</v>
      </c>
      <c r="O437" s="26">
        <v>11.644</v>
      </c>
      <c r="P437" s="26">
        <v>65.285280000000014</v>
      </c>
      <c r="Q437" s="33">
        <v>78.785280000000014</v>
      </c>
      <c r="R437" s="34">
        <v>1</v>
      </c>
      <c r="S437" s="34">
        <v>0</v>
      </c>
      <c r="T437" s="20">
        <v>0</v>
      </c>
      <c r="U437" s="21" t="s">
        <v>24</v>
      </c>
      <c r="V437" s="22">
        <f>IFERROR(RAW[[#This Row],[ACTUAL GROSS]]/RAW[[#This Row],[CONVERTED]],0)</f>
        <v>14.411941463414637</v>
      </c>
      <c r="W437" s="22">
        <f>IFERROR(RAW[[#This Row],[SALES]]/RAW[[#This Row],[HOURLY PAY]],0)</f>
        <v>38.990037787701823</v>
      </c>
    </row>
    <row r="438" spans="1:23" x14ac:dyDescent="0.35">
      <c r="A438" s="23">
        <v>45309</v>
      </c>
      <c r="B438" s="24" t="s">
        <v>21</v>
      </c>
      <c r="C438" s="25" t="s">
        <v>39</v>
      </c>
      <c r="D438" s="14" t="s">
        <v>26</v>
      </c>
      <c r="E438" s="26">
        <v>919</v>
      </c>
      <c r="F438" s="26">
        <v>176.58</v>
      </c>
      <c r="G438" s="26">
        <v>0</v>
      </c>
      <c r="H438" s="26">
        <v>36.76</v>
      </c>
      <c r="I438" s="26">
        <v>2.9665439999999998</v>
      </c>
      <c r="J438" s="26">
        <v>0</v>
      </c>
      <c r="K438" s="26">
        <v>136.85345600000002</v>
      </c>
      <c r="L438" s="27">
        <v>5</v>
      </c>
      <c r="M438" s="27">
        <v>15</v>
      </c>
      <c r="N438" s="28">
        <v>5.25</v>
      </c>
      <c r="O438" s="26">
        <v>11.182499999999999</v>
      </c>
      <c r="P438" s="26">
        <v>148.03595600000003</v>
      </c>
      <c r="Q438" s="33">
        <v>148.03595600000003</v>
      </c>
      <c r="R438" s="34">
        <v>1</v>
      </c>
      <c r="S438" s="34">
        <v>1</v>
      </c>
      <c r="T438" s="20">
        <v>0</v>
      </c>
      <c r="U438" s="21" t="s">
        <v>24</v>
      </c>
      <c r="V438" s="22">
        <f>IFERROR(RAW[[#This Row],[ACTUAL GROSS]]/RAW[[#This Row],[CONVERTED]],0)</f>
        <v>28.197324952380956</v>
      </c>
      <c r="W438" s="42">
        <f>IFERROR(RAW[[#This Row],[SALES]]/RAW[[#This Row],[HOURLY PAY]],0)</f>
        <v>82.181980773530071</v>
      </c>
    </row>
    <row r="439" spans="1:23" x14ac:dyDescent="0.35">
      <c r="A439" s="23">
        <v>45309</v>
      </c>
      <c r="B439" s="24" t="s">
        <v>25</v>
      </c>
      <c r="C439" s="25" t="s">
        <v>39</v>
      </c>
      <c r="D439" s="14" t="s">
        <v>26</v>
      </c>
      <c r="E439" s="26">
        <v>0</v>
      </c>
      <c r="F439" s="26">
        <v>0</v>
      </c>
      <c r="G439" s="26">
        <v>0</v>
      </c>
      <c r="H439" s="26">
        <v>0</v>
      </c>
      <c r="I439" s="26">
        <v>0</v>
      </c>
      <c r="J439" s="26">
        <v>0</v>
      </c>
      <c r="K439" s="26">
        <v>0</v>
      </c>
      <c r="L439" s="27">
        <v>0</v>
      </c>
      <c r="M439" s="27">
        <v>0</v>
      </c>
      <c r="N439" s="28">
        <v>0</v>
      </c>
      <c r="O439" s="26">
        <v>0</v>
      </c>
      <c r="P439" s="26">
        <v>0</v>
      </c>
      <c r="Q439" s="33">
        <v>0</v>
      </c>
      <c r="R439" s="34">
        <v>0</v>
      </c>
      <c r="S439" s="34">
        <v>0</v>
      </c>
      <c r="T439" s="20">
        <v>0</v>
      </c>
      <c r="U439" s="21" t="s">
        <v>24</v>
      </c>
      <c r="V439" s="22">
        <f>IFERROR(RAW[[#This Row],[ACTUAL GROSS]]/RAW[[#This Row],[CONVERTED]],0)</f>
        <v>0</v>
      </c>
      <c r="W439" s="31">
        <f>IFERROR(RAW[[#This Row],[SALES]]/RAW[[#This Row],[HOURLY PAY]],0)</f>
        <v>0</v>
      </c>
    </row>
    <row r="440" spans="1:23" x14ac:dyDescent="0.35">
      <c r="A440" s="23">
        <v>45310</v>
      </c>
      <c r="B440" s="24" t="s">
        <v>21</v>
      </c>
      <c r="C440" s="25" t="s">
        <v>39</v>
      </c>
      <c r="D440" s="14" t="s">
        <v>27</v>
      </c>
      <c r="E440" s="26">
        <v>0</v>
      </c>
      <c r="F440" s="26">
        <v>0</v>
      </c>
      <c r="G440" s="26">
        <v>0</v>
      </c>
      <c r="H440" s="26">
        <v>0</v>
      </c>
      <c r="I440" s="26">
        <v>0</v>
      </c>
      <c r="J440" s="26">
        <v>0</v>
      </c>
      <c r="K440" s="26">
        <v>0</v>
      </c>
      <c r="L440" s="27">
        <v>0</v>
      </c>
      <c r="M440" s="27">
        <v>0</v>
      </c>
      <c r="N440" s="28">
        <v>0</v>
      </c>
      <c r="O440" s="26">
        <v>0</v>
      </c>
      <c r="P440" s="26">
        <v>0</v>
      </c>
      <c r="Q440" s="33">
        <v>0</v>
      </c>
      <c r="R440" s="34">
        <v>0</v>
      </c>
      <c r="S440" s="34">
        <v>0</v>
      </c>
      <c r="T440" s="20">
        <v>0</v>
      </c>
      <c r="U440" s="21" t="s">
        <v>24</v>
      </c>
      <c r="V440" s="22">
        <f>IFERROR(RAW[[#This Row],[ACTUAL GROSS]]/RAW[[#This Row],[CONVERTED]],0)</f>
        <v>0</v>
      </c>
      <c r="W440" s="22">
        <f>IFERROR(RAW[[#This Row],[SALES]]/RAW[[#This Row],[HOURLY PAY]],0)</f>
        <v>0</v>
      </c>
    </row>
    <row r="441" spans="1:23" x14ac:dyDescent="0.35">
      <c r="A441" s="23">
        <v>45310</v>
      </c>
      <c r="B441" s="24" t="s">
        <v>25</v>
      </c>
      <c r="C441" s="25" t="s">
        <v>39</v>
      </c>
      <c r="D441" s="14" t="s">
        <v>27</v>
      </c>
      <c r="E441" s="26">
        <v>1417</v>
      </c>
      <c r="F441" s="26">
        <v>285.7</v>
      </c>
      <c r="G441" s="26">
        <v>0</v>
      </c>
      <c r="H441" s="26">
        <v>56.68</v>
      </c>
      <c r="I441" s="26">
        <v>4.7997599999999991</v>
      </c>
      <c r="J441" s="26">
        <v>0</v>
      </c>
      <c r="K441" s="26">
        <v>224.22023999999999</v>
      </c>
      <c r="L441" s="27">
        <v>5</v>
      </c>
      <c r="M441" s="27">
        <v>13</v>
      </c>
      <c r="N441" s="28">
        <v>5.2166666666666668</v>
      </c>
      <c r="O441" s="26">
        <v>11.111499999999999</v>
      </c>
      <c r="P441" s="26">
        <v>235.33174</v>
      </c>
      <c r="Q441" s="33">
        <v>235.33174</v>
      </c>
      <c r="R441" s="34">
        <v>1</v>
      </c>
      <c r="S441" s="34">
        <v>0</v>
      </c>
      <c r="T441" s="20">
        <v>0</v>
      </c>
      <c r="U441" s="21" t="s">
        <v>24</v>
      </c>
      <c r="V441" s="22">
        <f>IFERROR(RAW[[#This Row],[ACTUAL GROSS]]/RAW[[#This Row],[CONVERTED]],0)</f>
        <v>45.111515654952072</v>
      </c>
      <c r="W441" s="22">
        <f>IFERROR(RAW[[#This Row],[SALES]]/RAW[[#This Row],[HOURLY PAY]],0)</f>
        <v>127.52553660621879</v>
      </c>
    </row>
    <row r="442" spans="1:23" x14ac:dyDescent="0.35">
      <c r="A442" s="23">
        <v>45311</v>
      </c>
      <c r="B442" s="24" t="s">
        <v>21</v>
      </c>
      <c r="C442" s="25" t="s">
        <v>39</v>
      </c>
      <c r="D442" s="14" t="s">
        <v>28</v>
      </c>
      <c r="E442" s="26">
        <v>0</v>
      </c>
      <c r="F442" s="26">
        <v>0</v>
      </c>
      <c r="G442" s="26">
        <v>0</v>
      </c>
      <c r="H442" s="26">
        <v>0</v>
      </c>
      <c r="I442" s="26">
        <v>0</v>
      </c>
      <c r="J442" s="26">
        <v>0</v>
      </c>
      <c r="K442" s="26">
        <v>0</v>
      </c>
      <c r="L442" s="27">
        <v>0</v>
      </c>
      <c r="M442" s="27">
        <v>0</v>
      </c>
      <c r="N442" s="28">
        <v>0</v>
      </c>
      <c r="O442" s="26">
        <v>0</v>
      </c>
      <c r="P442" s="26">
        <v>0</v>
      </c>
      <c r="Q442" s="33">
        <v>0</v>
      </c>
      <c r="R442" s="34">
        <v>0</v>
      </c>
      <c r="S442" s="34">
        <v>0</v>
      </c>
      <c r="T442" s="20">
        <v>0</v>
      </c>
      <c r="U442" s="21" t="s">
        <v>24</v>
      </c>
      <c r="V442" s="42">
        <f>IFERROR(RAW[[#This Row],[ACTUAL GROSS]]/RAW[[#This Row],[CONVERTED]],0)</f>
        <v>0</v>
      </c>
      <c r="W442" s="22">
        <f>IFERROR(RAW[[#This Row],[SALES]]/RAW[[#This Row],[HOURLY PAY]],0)</f>
        <v>0</v>
      </c>
    </row>
    <row r="443" spans="1:23" x14ac:dyDescent="0.35">
      <c r="A443" s="23">
        <v>45311</v>
      </c>
      <c r="B443" s="24" t="s">
        <v>25</v>
      </c>
      <c r="C443" s="25" t="s">
        <v>39</v>
      </c>
      <c r="D443" s="14" t="s">
        <v>28</v>
      </c>
      <c r="E443" s="26">
        <v>1544</v>
      </c>
      <c r="F443" s="26">
        <v>300.93</v>
      </c>
      <c r="G443" s="26">
        <v>13</v>
      </c>
      <c r="H443" s="26">
        <v>61.76</v>
      </c>
      <c r="I443" s="26">
        <v>5.0556239999999999</v>
      </c>
      <c r="J443" s="26">
        <v>4.5</v>
      </c>
      <c r="K443" s="26">
        <v>234.11437599999999</v>
      </c>
      <c r="L443" s="27">
        <v>5</v>
      </c>
      <c r="M443" s="27">
        <v>44</v>
      </c>
      <c r="N443" s="28">
        <v>5.7333333333333334</v>
      </c>
      <c r="O443" s="26">
        <v>12.212</v>
      </c>
      <c r="P443" s="26">
        <v>250.82637599999998</v>
      </c>
      <c r="Q443" s="33">
        <v>259.32637599999998</v>
      </c>
      <c r="R443" s="34">
        <v>1</v>
      </c>
      <c r="S443" s="34">
        <v>0</v>
      </c>
      <c r="T443" s="20">
        <v>0</v>
      </c>
      <c r="U443" s="21" t="s">
        <v>24</v>
      </c>
      <c r="V443" s="22">
        <f>IFERROR(RAW[[#This Row],[ACTUAL GROSS]]/RAW[[#This Row],[CONVERTED]],0)</f>
        <v>45.231344651162786</v>
      </c>
      <c r="W443" s="22">
        <f>IFERROR(RAW[[#This Row],[SALES]]/RAW[[#This Row],[HOURLY PAY]],0)</f>
        <v>126.43301670488044</v>
      </c>
    </row>
    <row r="444" spans="1:23" x14ac:dyDescent="0.35">
      <c r="A444" s="23">
        <v>45312</v>
      </c>
      <c r="B444" s="24" t="s">
        <v>21</v>
      </c>
      <c r="C444" s="25" t="s">
        <v>39</v>
      </c>
      <c r="D444" s="14" t="s">
        <v>29</v>
      </c>
      <c r="E444" s="26">
        <v>0</v>
      </c>
      <c r="F444" s="26">
        <v>0</v>
      </c>
      <c r="G444" s="26">
        <v>0</v>
      </c>
      <c r="H444" s="26">
        <v>0</v>
      </c>
      <c r="I444" s="26">
        <v>0</v>
      </c>
      <c r="J444" s="26">
        <v>0</v>
      </c>
      <c r="K444" s="26">
        <v>0</v>
      </c>
      <c r="L444" s="27">
        <v>0</v>
      </c>
      <c r="M444" s="27">
        <v>0</v>
      </c>
      <c r="N444" s="28">
        <v>0</v>
      </c>
      <c r="O444" s="26">
        <v>0</v>
      </c>
      <c r="P444" s="26">
        <v>0</v>
      </c>
      <c r="Q444" s="33">
        <v>0</v>
      </c>
      <c r="R444" s="34">
        <v>0</v>
      </c>
      <c r="S444" s="34">
        <v>0</v>
      </c>
      <c r="T444" s="20">
        <v>0</v>
      </c>
      <c r="U444" s="21" t="s">
        <v>24</v>
      </c>
      <c r="V444" s="22">
        <f>IFERROR(RAW[[#This Row],[ACTUAL GROSS]]/RAW[[#This Row],[CONVERTED]],0)</f>
        <v>0</v>
      </c>
      <c r="W444" s="22">
        <f>IFERROR(RAW[[#This Row],[SALES]]/RAW[[#This Row],[HOURLY PAY]],0)</f>
        <v>0</v>
      </c>
    </row>
    <row r="445" spans="1:23" x14ac:dyDescent="0.35">
      <c r="A445" s="23">
        <v>45312</v>
      </c>
      <c r="B445" s="24" t="s">
        <v>25</v>
      </c>
      <c r="C445" s="25" t="s">
        <v>39</v>
      </c>
      <c r="D445" s="14" t="s">
        <v>29</v>
      </c>
      <c r="E445" s="26">
        <v>0</v>
      </c>
      <c r="F445" s="26">
        <v>0</v>
      </c>
      <c r="G445" s="26">
        <v>0</v>
      </c>
      <c r="H445" s="26">
        <v>0</v>
      </c>
      <c r="I445" s="26">
        <v>0</v>
      </c>
      <c r="J445" s="26">
        <v>0</v>
      </c>
      <c r="K445" s="26">
        <v>0</v>
      </c>
      <c r="L445" s="27">
        <v>0</v>
      </c>
      <c r="M445" s="27">
        <v>0</v>
      </c>
      <c r="N445" s="28">
        <v>0</v>
      </c>
      <c r="O445" s="26">
        <v>0</v>
      </c>
      <c r="P445" s="26">
        <v>0</v>
      </c>
      <c r="Q445" s="33">
        <v>0</v>
      </c>
      <c r="R445" s="34">
        <v>0</v>
      </c>
      <c r="S445" s="34">
        <v>0</v>
      </c>
      <c r="T445" s="20">
        <v>0</v>
      </c>
      <c r="U445" s="21" t="s">
        <v>24</v>
      </c>
      <c r="V445" s="22">
        <f>IFERROR(RAW[[#This Row],[ACTUAL GROSS]]/RAW[[#This Row],[CONVERTED]],0)</f>
        <v>0</v>
      </c>
      <c r="W445" s="22">
        <f>IFERROR(RAW[[#This Row],[SALES]]/RAW[[#This Row],[HOURLY PAY]],0)</f>
        <v>0</v>
      </c>
    </row>
    <row r="446" spans="1:23" x14ac:dyDescent="0.35">
      <c r="A446" s="23">
        <v>45313</v>
      </c>
      <c r="B446" s="24" t="s">
        <v>21</v>
      </c>
      <c r="C446" s="25" t="s">
        <v>39</v>
      </c>
      <c r="D446" s="14" t="s">
        <v>30</v>
      </c>
      <c r="E446" s="26">
        <v>283.5</v>
      </c>
      <c r="F446" s="26">
        <v>50.14</v>
      </c>
      <c r="G446" s="26">
        <v>0</v>
      </c>
      <c r="H446" s="26">
        <v>11.34</v>
      </c>
      <c r="I446" s="26">
        <v>0.84235199999999999</v>
      </c>
      <c r="J446" s="26">
        <v>0</v>
      </c>
      <c r="K446" s="26">
        <v>37.957647999999999</v>
      </c>
      <c r="L446" s="27">
        <v>2</v>
      </c>
      <c r="M446" s="27">
        <v>51</v>
      </c>
      <c r="N446" s="28">
        <v>2.85</v>
      </c>
      <c r="O446" s="26">
        <v>6.0705</v>
      </c>
      <c r="P446" s="26">
        <v>44.028148000000002</v>
      </c>
      <c r="Q446" s="33">
        <v>44.028148000000002</v>
      </c>
      <c r="R446" s="34">
        <v>1</v>
      </c>
      <c r="S446" s="34">
        <v>1</v>
      </c>
      <c r="T446" s="20">
        <v>0</v>
      </c>
      <c r="U446" s="21" t="s">
        <v>24</v>
      </c>
      <c r="V446" s="22">
        <f>IFERROR(RAW[[#This Row],[ACTUAL GROSS]]/RAW[[#This Row],[CONVERTED]],0)</f>
        <v>15.44847298245614</v>
      </c>
      <c r="W446" s="22">
        <f>IFERROR(RAW[[#This Row],[SALES]]/RAW[[#This Row],[HOURLY PAY]],0)</f>
        <v>46.701260192735361</v>
      </c>
    </row>
    <row r="447" spans="1:23" x14ac:dyDescent="0.35">
      <c r="A447" s="23">
        <v>45313</v>
      </c>
      <c r="B447" s="24" t="s">
        <v>25</v>
      </c>
      <c r="C447" s="25" t="s">
        <v>39</v>
      </c>
      <c r="D447" s="14" t="s">
        <v>30</v>
      </c>
      <c r="E447" s="26">
        <v>0</v>
      </c>
      <c r="F447" s="26">
        <v>0</v>
      </c>
      <c r="G447" s="26">
        <v>0</v>
      </c>
      <c r="H447" s="26">
        <v>0</v>
      </c>
      <c r="I447" s="26">
        <v>0</v>
      </c>
      <c r="J447" s="26">
        <v>0</v>
      </c>
      <c r="K447" s="26">
        <v>0</v>
      </c>
      <c r="L447" s="27">
        <v>0</v>
      </c>
      <c r="M447" s="27">
        <v>0</v>
      </c>
      <c r="N447" s="28">
        <v>0</v>
      </c>
      <c r="O447" s="26">
        <v>0</v>
      </c>
      <c r="P447" s="26">
        <v>0</v>
      </c>
      <c r="Q447" s="33">
        <v>0</v>
      </c>
      <c r="R447" s="34">
        <v>0</v>
      </c>
      <c r="S447" s="34">
        <v>0</v>
      </c>
      <c r="T447" s="20">
        <v>0</v>
      </c>
      <c r="U447" s="21" t="s">
        <v>24</v>
      </c>
      <c r="V447" s="22">
        <f>IFERROR(RAW[[#This Row],[ACTUAL GROSS]]/RAW[[#This Row],[CONVERTED]],0)</f>
        <v>0</v>
      </c>
      <c r="W447" s="22">
        <f>IFERROR(RAW[[#This Row],[SALES]]/RAW[[#This Row],[HOURLY PAY]],0)</f>
        <v>0</v>
      </c>
    </row>
    <row r="448" spans="1:23" x14ac:dyDescent="0.35">
      <c r="A448" s="23">
        <v>45314</v>
      </c>
      <c r="B448" s="24" t="s">
        <v>21</v>
      </c>
      <c r="C448" s="25" t="s">
        <v>39</v>
      </c>
      <c r="D448" s="14" t="s">
        <v>31</v>
      </c>
      <c r="E448" s="26">
        <v>0</v>
      </c>
      <c r="F448" s="26">
        <v>0</v>
      </c>
      <c r="G448" s="26">
        <v>0</v>
      </c>
      <c r="H448" s="26">
        <v>0</v>
      </c>
      <c r="I448" s="26">
        <v>0</v>
      </c>
      <c r="J448" s="26">
        <v>0</v>
      </c>
      <c r="K448" s="26">
        <v>0</v>
      </c>
      <c r="L448" s="27">
        <v>0</v>
      </c>
      <c r="M448" s="27">
        <v>0</v>
      </c>
      <c r="N448" s="28">
        <v>0</v>
      </c>
      <c r="O448" s="26">
        <v>0</v>
      </c>
      <c r="P448" s="26">
        <v>0</v>
      </c>
      <c r="Q448" s="33">
        <v>0</v>
      </c>
      <c r="R448" s="34">
        <v>0</v>
      </c>
      <c r="S448" s="34">
        <v>0</v>
      </c>
      <c r="T448" s="20">
        <v>0</v>
      </c>
      <c r="U448" s="21" t="s">
        <v>24</v>
      </c>
      <c r="V448" s="22">
        <f>IFERROR(RAW[[#This Row],[ACTUAL GROSS]]/RAW[[#This Row],[CONVERTED]],0)</f>
        <v>0</v>
      </c>
      <c r="W448" s="240">
        <f>IFERROR(RAW[[#This Row],[SALES]]/RAW[[#This Row],[HOURLY PAY]],0)</f>
        <v>0</v>
      </c>
    </row>
    <row r="449" spans="1:23" x14ac:dyDescent="0.35">
      <c r="A449" s="23">
        <v>45314</v>
      </c>
      <c r="B449" s="24" t="s">
        <v>25</v>
      </c>
      <c r="C449" s="25" t="s">
        <v>39</v>
      </c>
      <c r="D449" s="14" t="s">
        <v>31</v>
      </c>
      <c r="E449" s="26">
        <v>0</v>
      </c>
      <c r="F449" s="26">
        <v>0</v>
      </c>
      <c r="G449" s="26">
        <v>0</v>
      </c>
      <c r="H449" s="26">
        <v>0</v>
      </c>
      <c r="I449" s="26">
        <v>0</v>
      </c>
      <c r="J449" s="26">
        <v>0</v>
      </c>
      <c r="K449" s="26">
        <v>0</v>
      </c>
      <c r="L449" s="27">
        <v>0</v>
      </c>
      <c r="M449" s="27">
        <v>0</v>
      </c>
      <c r="N449" s="28">
        <v>0</v>
      </c>
      <c r="O449" s="26">
        <v>0</v>
      </c>
      <c r="P449" s="26">
        <v>0</v>
      </c>
      <c r="Q449" s="33">
        <v>0</v>
      </c>
      <c r="R449" s="34">
        <v>0</v>
      </c>
      <c r="S449" s="34">
        <v>0</v>
      </c>
      <c r="T449" s="20">
        <v>0</v>
      </c>
      <c r="U449" s="21" t="s">
        <v>24</v>
      </c>
      <c r="V449" s="22">
        <f>IFERROR(RAW[[#This Row],[ACTUAL GROSS]]/RAW[[#This Row],[CONVERTED]],0)</f>
        <v>0</v>
      </c>
      <c r="W449" s="22">
        <f>IFERROR(RAW[[#This Row],[SALES]]/RAW[[#This Row],[HOURLY PAY]],0)</f>
        <v>0</v>
      </c>
    </row>
    <row r="450" spans="1:23" s="38" customFormat="1" x14ac:dyDescent="0.35">
      <c r="A450" s="23">
        <v>45315</v>
      </c>
      <c r="B450" s="24" t="s">
        <v>21</v>
      </c>
      <c r="C450" s="25" t="s">
        <v>39</v>
      </c>
      <c r="D450" s="14" t="s">
        <v>23</v>
      </c>
      <c r="E450" s="26">
        <v>0</v>
      </c>
      <c r="F450" s="26">
        <v>0</v>
      </c>
      <c r="G450" s="26">
        <v>0</v>
      </c>
      <c r="H450" s="26">
        <v>0</v>
      </c>
      <c r="I450" s="26">
        <v>0</v>
      </c>
      <c r="J450" s="26">
        <v>0</v>
      </c>
      <c r="K450" s="26">
        <v>0</v>
      </c>
      <c r="L450" s="27">
        <v>0</v>
      </c>
      <c r="M450" s="27">
        <v>0</v>
      </c>
      <c r="N450" s="28">
        <v>0</v>
      </c>
      <c r="O450" s="26">
        <v>0</v>
      </c>
      <c r="P450" s="26">
        <v>0</v>
      </c>
      <c r="Q450" s="33">
        <v>0</v>
      </c>
      <c r="R450" s="34">
        <v>0</v>
      </c>
      <c r="S450" s="34">
        <v>0</v>
      </c>
      <c r="T450" s="20">
        <v>0</v>
      </c>
      <c r="U450" s="21" t="s">
        <v>24</v>
      </c>
      <c r="V450" s="49">
        <f>IFERROR(RAW[[#This Row],[ACTUAL GROSS]]/RAW[[#This Row],[CONVERTED]],0)</f>
        <v>0</v>
      </c>
      <c r="W450" s="241">
        <f>IFERROR(RAW[[#This Row],[SALES]]/RAW[[#This Row],[HOURLY PAY]],0)</f>
        <v>0</v>
      </c>
    </row>
    <row r="451" spans="1:23" x14ac:dyDescent="0.35">
      <c r="A451" s="23">
        <v>45315</v>
      </c>
      <c r="B451" s="24" t="s">
        <v>25</v>
      </c>
      <c r="C451" s="25" t="s">
        <v>39</v>
      </c>
      <c r="D451" s="14" t="s">
        <v>23</v>
      </c>
      <c r="E451" s="26">
        <v>0</v>
      </c>
      <c r="F451" s="26">
        <v>0</v>
      </c>
      <c r="G451" s="26">
        <v>0</v>
      </c>
      <c r="H451" s="26">
        <v>0</v>
      </c>
      <c r="I451" s="26">
        <v>0</v>
      </c>
      <c r="J451" s="26">
        <v>0</v>
      </c>
      <c r="K451" s="26">
        <v>0</v>
      </c>
      <c r="L451" s="27">
        <v>0</v>
      </c>
      <c r="M451" s="27">
        <v>0</v>
      </c>
      <c r="N451" s="28">
        <v>0</v>
      </c>
      <c r="O451" s="26">
        <v>0</v>
      </c>
      <c r="P451" s="26">
        <v>0</v>
      </c>
      <c r="Q451" s="33">
        <v>0</v>
      </c>
      <c r="R451" s="34">
        <v>0</v>
      </c>
      <c r="S451" s="34">
        <v>0</v>
      </c>
      <c r="T451" s="20">
        <v>0</v>
      </c>
      <c r="U451" s="21" t="s">
        <v>24</v>
      </c>
      <c r="V451" s="22">
        <f>IFERROR(RAW[[#This Row],[ACTUAL GROSS]]/RAW[[#This Row],[CONVERTED]],0)</f>
        <v>0</v>
      </c>
      <c r="W451" s="242">
        <f>IFERROR(RAW[[#This Row],[SALES]]/RAW[[#This Row],[HOURLY PAY]],0)</f>
        <v>0</v>
      </c>
    </row>
    <row r="452" spans="1:23" x14ac:dyDescent="0.35">
      <c r="A452" s="23">
        <v>45316</v>
      </c>
      <c r="B452" s="24" t="s">
        <v>21</v>
      </c>
      <c r="C452" s="25" t="s">
        <v>39</v>
      </c>
      <c r="D452" s="14" t="s">
        <v>26</v>
      </c>
      <c r="E452" s="26">
        <v>0</v>
      </c>
      <c r="F452" s="26">
        <v>0</v>
      </c>
      <c r="G452" s="26">
        <v>0</v>
      </c>
      <c r="H452" s="26">
        <v>0</v>
      </c>
      <c r="I452" s="26">
        <v>0</v>
      </c>
      <c r="J452" s="26">
        <v>0</v>
      </c>
      <c r="K452" s="26">
        <v>0</v>
      </c>
      <c r="L452" s="27">
        <v>0</v>
      </c>
      <c r="M452" s="27">
        <v>0</v>
      </c>
      <c r="N452" s="28">
        <v>0</v>
      </c>
      <c r="O452" s="26">
        <v>0</v>
      </c>
      <c r="P452" s="26">
        <v>0</v>
      </c>
      <c r="Q452" s="33">
        <v>0</v>
      </c>
      <c r="R452" s="34">
        <v>0</v>
      </c>
      <c r="S452" s="34">
        <v>0</v>
      </c>
      <c r="T452" s="20">
        <v>0</v>
      </c>
      <c r="U452" s="21" t="s">
        <v>24</v>
      </c>
      <c r="V452" s="22">
        <f>IFERROR(RAW[[#This Row],[ACTUAL GROSS]]/RAW[[#This Row],[CONVERTED]],0)</f>
        <v>0</v>
      </c>
      <c r="W452" s="242">
        <f>IFERROR(RAW[[#This Row],[SALES]]/RAW[[#This Row],[HOURLY PAY]],0)</f>
        <v>0</v>
      </c>
    </row>
    <row r="453" spans="1:23" x14ac:dyDescent="0.35">
      <c r="A453" s="23">
        <v>45316</v>
      </c>
      <c r="B453" s="24" t="s">
        <v>25</v>
      </c>
      <c r="C453" s="25" t="s">
        <v>39</v>
      </c>
      <c r="D453" s="14" t="s">
        <v>26</v>
      </c>
      <c r="E453" s="26">
        <v>1739</v>
      </c>
      <c r="F453" s="26">
        <v>339.47</v>
      </c>
      <c r="G453" s="26">
        <v>9</v>
      </c>
      <c r="H453" s="26">
        <v>69.56</v>
      </c>
      <c r="I453" s="26">
        <v>5.7030960000000004</v>
      </c>
      <c r="J453" s="26">
        <v>3.25</v>
      </c>
      <c r="K453" s="26">
        <v>264.20690400000001</v>
      </c>
      <c r="L453" s="27">
        <v>6</v>
      </c>
      <c r="M453" s="27">
        <v>46</v>
      </c>
      <c r="N453" s="28">
        <v>6.7666666666666666</v>
      </c>
      <c r="O453" s="26">
        <v>14.412999999999998</v>
      </c>
      <c r="P453" s="26">
        <v>281.86990400000002</v>
      </c>
      <c r="Q453" s="33">
        <v>287.61990400000002</v>
      </c>
      <c r="R453" s="34">
        <v>1</v>
      </c>
      <c r="S453" s="34">
        <v>0</v>
      </c>
      <c r="T453" s="20">
        <v>0</v>
      </c>
      <c r="U453" s="21" t="s">
        <v>24</v>
      </c>
      <c r="V453" s="44">
        <f>IFERROR(RAW[[#This Row],[ACTUAL GROSS]]/RAW[[#This Row],[CONVERTED]],0)</f>
        <v>42.50540453201971</v>
      </c>
      <c r="W453" s="242">
        <f>IFERROR(RAW[[#This Row],[SALES]]/RAW[[#This Row],[HOURLY PAY]],0)</f>
        <v>120.65496426836884</v>
      </c>
    </row>
    <row r="454" spans="1:23" x14ac:dyDescent="0.35">
      <c r="A454" s="23">
        <v>45317</v>
      </c>
      <c r="B454" s="24" t="s">
        <v>21</v>
      </c>
      <c r="C454" s="25" t="s">
        <v>39</v>
      </c>
      <c r="D454" s="14" t="s">
        <v>27</v>
      </c>
      <c r="E454" s="26">
        <v>0</v>
      </c>
      <c r="F454" s="26">
        <v>0</v>
      </c>
      <c r="G454" s="26">
        <v>0</v>
      </c>
      <c r="H454" s="26">
        <v>0</v>
      </c>
      <c r="I454" s="26">
        <v>0</v>
      </c>
      <c r="J454" s="26">
        <v>0</v>
      </c>
      <c r="K454" s="26">
        <v>0</v>
      </c>
      <c r="L454" s="27">
        <v>0</v>
      </c>
      <c r="M454" s="27">
        <v>0</v>
      </c>
      <c r="N454" s="28">
        <v>0</v>
      </c>
      <c r="O454" s="26">
        <v>0</v>
      </c>
      <c r="P454" s="26">
        <v>0</v>
      </c>
      <c r="Q454" s="33">
        <v>0</v>
      </c>
      <c r="R454" s="34">
        <v>0</v>
      </c>
      <c r="S454" s="34">
        <v>0</v>
      </c>
      <c r="T454" s="20">
        <v>0</v>
      </c>
      <c r="U454" s="21" t="s">
        <v>24</v>
      </c>
      <c r="V454" s="22">
        <f>IFERROR(RAW[[#This Row],[ACTUAL GROSS]]/RAW[[#This Row],[CONVERTED]],0)</f>
        <v>0</v>
      </c>
      <c r="W454" s="242">
        <f>IFERROR(RAW[[#This Row],[SALES]]/RAW[[#This Row],[HOURLY PAY]],0)</f>
        <v>0</v>
      </c>
    </row>
    <row r="455" spans="1:23" x14ac:dyDescent="0.35">
      <c r="A455" s="23">
        <v>45317</v>
      </c>
      <c r="B455" s="24" t="s">
        <v>25</v>
      </c>
      <c r="C455" s="25" t="s">
        <v>39</v>
      </c>
      <c r="D455" s="14" t="s">
        <v>27</v>
      </c>
      <c r="E455" s="26">
        <v>1224</v>
      </c>
      <c r="F455" s="26">
        <v>237.2</v>
      </c>
      <c r="G455" s="26">
        <v>0</v>
      </c>
      <c r="H455" s="26">
        <v>48.96</v>
      </c>
      <c r="I455" s="26">
        <v>3.9849599999999996</v>
      </c>
      <c r="J455" s="26">
        <v>0</v>
      </c>
      <c r="K455" s="26">
        <v>184.25503999999998</v>
      </c>
      <c r="L455" s="27">
        <v>4</v>
      </c>
      <c r="M455" s="27">
        <v>42</v>
      </c>
      <c r="N455" s="28">
        <v>4.7</v>
      </c>
      <c r="O455" s="26">
        <v>10.010999999999999</v>
      </c>
      <c r="P455" s="26">
        <v>194.26603999999998</v>
      </c>
      <c r="Q455" s="33">
        <v>194.26603999999998</v>
      </c>
      <c r="R455" s="34">
        <v>1</v>
      </c>
      <c r="S455" s="34">
        <v>0</v>
      </c>
      <c r="T455" s="20">
        <v>0</v>
      </c>
      <c r="U455" s="21" t="s">
        <v>24</v>
      </c>
      <c r="V455" s="22">
        <f>IFERROR(RAW[[#This Row],[ACTUAL GROSS]]/RAW[[#This Row],[CONVERTED]],0)</f>
        <v>41.333199999999991</v>
      </c>
      <c r="W455" s="242">
        <f>IFERROR(RAW[[#This Row],[SALES]]/RAW[[#This Row],[HOURLY PAY]],0)</f>
        <v>122.26550794126462</v>
      </c>
    </row>
    <row r="456" spans="1:23" x14ac:dyDescent="0.35">
      <c r="A456" s="23">
        <v>45318</v>
      </c>
      <c r="B456" s="24" t="s">
        <v>21</v>
      </c>
      <c r="C456" s="25" t="s">
        <v>39</v>
      </c>
      <c r="D456" s="14" t="s">
        <v>28</v>
      </c>
      <c r="E456" s="26">
        <v>1188.5</v>
      </c>
      <c r="F456" s="26">
        <v>190.71</v>
      </c>
      <c r="G456" s="26">
        <v>48</v>
      </c>
      <c r="H456" s="26">
        <v>47.54</v>
      </c>
      <c r="I456" s="26">
        <v>3.2039279999999999</v>
      </c>
      <c r="J456" s="26">
        <v>10</v>
      </c>
      <c r="K456" s="26">
        <v>139.966072</v>
      </c>
      <c r="L456" s="27">
        <v>5</v>
      </c>
      <c r="M456" s="27">
        <v>6</v>
      </c>
      <c r="N456" s="28">
        <v>5.0999999999999996</v>
      </c>
      <c r="O456" s="26">
        <v>10.863</v>
      </c>
      <c r="P456" s="26">
        <v>160.829072</v>
      </c>
      <c r="Q456" s="33">
        <v>198.829072</v>
      </c>
      <c r="R456" s="34">
        <v>1</v>
      </c>
      <c r="S456" s="34">
        <v>1</v>
      </c>
      <c r="T456" s="20">
        <v>0</v>
      </c>
      <c r="U456" s="21" t="s">
        <v>34</v>
      </c>
      <c r="V456" s="22">
        <f>IFERROR(RAW[[#This Row],[ACTUAL GROSS]]/RAW[[#This Row],[CONVERTED]],0)</f>
        <v>38.98609254901961</v>
      </c>
      <c r="W456" s="242">
        <f>IFERROR(RAW[[#This Row],[SALES]]/RAW[[#This Row],[HOURLY PAY]],0)</f>
        <v>109.40808248181902</v>
      </c>
    </row>
    <row r="457" spans="1:23" x14ac:dyDescent="0.35">
      <c r="A457" s="23">
        <v>45318</v>
      </c>
      <c r="B457" s="24" t="s">
        <v>25</v>
      </c>
      <c r="C457" s="25" t="s">
        <v>39</v>
      </c>
      <c r="D457" s="14" t="s">
        <v>28</v>
      </c>
      <c r="E457" s="26">
        <v>1192.5</v>
      </c>
      <c r="F457" s="26">
        <v>240.91</v>
      </c>
      <c r="G457" s="26">
        <v>0</v>
      </c>
      <c r="H457" s="26">
        <v>47.7</v>
      </c>
      <c r="I457" s="26">
        <v>4.047288</v>
      </c>
      <c r="J457" s="26">
        <v>0</v>
      </c>
      <c r="K457" s="26">
        <v>189.162712</v>
      </c>
      <c r="L457" s="27">
        <v>4</v>
      </c>
      <c r="M457" s="27">
        <v>22</v>
      </c>
      <c r="N457" s="28">
        <v>4.3666666666666663</v>
      </c>
      <c r="O457" s="26">
        <v>9.3009999999999984</v>
      </c>
      <c r="P457" s="26">
        <v>198.46371199999999</v>
      </c>
      <c r="Q457" s="33">
        <v>198.46371199999999</v>
      </c>
      <c r="R457" s="34">
        <v>1</v>
      </c>
      <c r="S457" s="34">
        <v>0</v>
      </c>
      <c r="T457" s="20">
        <v>1</v>
      </c>
      <c r="U457" s="21" t="s">
        <v>34</v>
      </c>
      <c r="V457" s="22">
        <f>IFERROR(RAW[[#This Row],[ACTUAL GROSS]]/RAW[[#This Row],[CONVERTED]],0)</f>
        <v>45.449705038167941</v>
      </c>
      <c r="W457" s="242">
        <f>IFERROR(RAW[[#This Row],[SALES]]/RAW[[#This Row],[HOURLY PAY]],0)</f>
        <v>128.21202021288036</v>
      </c>
    </row>
    <row r="458" spans="1:23" x14ac:dyDescent="0.35">
      <c r="A458" s="23">
        <v>45319</v>
      </c>
      <c r="B458" s="24" t="s">
        <v>21</v>
      </c>
      <c r="C458" s="25" t="s">
        <v>39</v>
      </c>
      <c r="D458" s="14" t="s">
        <v>29</v>
      </c>
      <c r="E458" s="26">
        <v>0</v>
      </c>
      <c r="F458" s="26">
        <v>0</v>
      </c>
      <c r="G458" s="26">
        <v>0</v>
      </c>
      <c r="H458" s="26">
        <v>0</v>
      </c>
      <c r="I458" s="26">
        <v>0</v>
      </c>
      <c r="J458" s="26">
        <v>0</v>
      </c>
      <c r="K458" s="26">
        <v>0</v>
      </c>
      <c r="L458" s="27">
        <v>0</v>
      </c>
      <c r="M458" s="27">
        <v>0</v>
      </c>
      <c r="N458" s="28">
        <v>0</v>
      </c>
      <c r="O458" s="26">
        <v>0</v>
      </c>
      <c r="P458" s="26">
        <v>0</v>
      </c>
      <c r="Q458" s="33">
        <v>0</v>
      </c>
      <c r="R458" s="34">
        <v>0</v>
      </c>
      <c r="S458" s="34">
        <v>0</v>
      </c>
      <c r="T458" s="20">
        <v>0</v>
      </c>
      <c r="U458" s="21" t="s">
        <v>24</v>
      </c>
      <c r="V458" s="22">
        <f>IFERROR(RAW[[#This Row],[ACTUAL GROSS]]/RAW[[#This Row],[CONVERTED]],0)</f>
        <v>0</v>
      </c>
      <c r="W458" s="242">
        <f>IFERROR(RAW[[#This Row],[SALES]]/RAW[[#This Row],[HOURLY PAY]],0)</f>
        <v>0</v>
      </c>
    </row>
    <row r="459" spans="1:23" x14ac:dyDescent="0.35">
      <c r="A459" s="23">
        <v>45319</v>
      </c>
      <c r="B459" s="24" t="s">
        <v>25</v>
      </c>
      <c r="C459" s="25" t="s">
        <v>39</v>
      </c>
      <c r="D459" s="14" t="s">
        <v>29</v>
      </c>
      <c r="E459" s="26">
        <v>908</v>
      </c>
      <c r="F459" s="26">
        <v>174.35</v>
      </c>
      <c r="G459" s="26">
        <v>0</v>
      </c>
      <c r="H459" s="26">
        <v>36.32</v>
      </c>
      <c r="I459" s="26">
        <v>2.9290799999999999</v>
      </c>
      <c r="J459" s="26">
        <v>0</v>
      </c>
      <c r="K459" s="26">
        <v>135.10092</v>
      </c>
      <c r="L459" s="27">
        <v>4</v>
      </c>
      <c r="M459" s="27">
        <v>20</v>
      </c>
      <c r="N459" s="28">
        <v>4.333333333333333</v>
      </c>
      <c r="O459" s="26">
        <v>9.2299999999999986</v>
      </c>
      <c r="P459" s="26">
        <v>144.33091999999999</v>
      </c>
      <c r="Q459" s="33">
        <v>144.33091999999999</v>
      </c>
      <c r="R459" s="34">
        <v>1</v>
      </c>
      <c r="S459" s="34">
        <v>0</v>
      </c>
      <c r="T459" s="20">
        <v>0</v>
      </c>
      <c r="U459" s="21" t="s">
        <v>24</v>
      </c>
      <c r="V459" s="22">
        <f>IFERROR(RAW[[#This Row],[ACTUAL GROSS]]/RAW[[#This Row],[CONVERTED]],0)</f>
        <v>33.307135384615385</v>
      </c>
      <c r="W459" s="22">
        <f>IFERROR(RAW[[#This Row],[SALES]]/RAW[[#This Row],[HOURLY PAY]],0)</f>
        <v>98.374864572047684</v>
      </c>
    </row>
    <row r="460" spans="1:23" x14ac:dyDescent="0.35">
      <c r="A460" s="23">
        <v>45320</v>
      </c>
      <c r="B460" s="24" t="s">
        <v>21</v>
      </c>
      <c r="C460" s="25" t="s">
        <v>39</v>
      </c>
      <c r="D460" s="14" t="s">
        <v>30</v>
      </c>
      <c r="E460" s="26">
        <v>0</v>
      </c>
      <c r="F460" s="26">
        <v>0</v>
      </c>
      <c r="G460" s="26">
        <v>0</v>
      </c>
      <c r="H460" s="26">
        <v>0</v>
      </c>
      <c r="I460" s="26">
        <v>0</v>
      </c>
      <c r="J460" s="26">
        <v>0</v>
      </c>
      <c r="K460" s="26">
        <v>0</v>
      </c>
      <c r="L460" s="27">
        <v>0</v>
      </c>
      <c r="M460" s="27">
        <v>0</v>
      </c>
      <c r="N460" s="28">
        <v>0</v>
      </c>
      <c r="O460" s="26">
        <v>0</v>
      </c>
      <c r="P460" s="26">
        <v>0</v>
      </c>
      <c r="Q460" s="33">
        <v>0</v>
      </c>
      <c r="R460" s="34">
        <v>0</v>
      </c>
      <c r="S460" s="34">
        <v>0</v>
      </c>
      <c r="T460" s="20">
        <v>0</v>
      </c>
      <c r="U460" s="21" t="s">
        <v>24</v>
      </c>
      <c r="V460" s="22">
        <f>IFERROR(RAW[[#This Row],[ACTUAL GROSS]]/RAW[[#This Row],[CONVERTED]],0)</f>
        <v>0</v>
      </c>
      <c r="W460" s="22">
        <f>IFERROR(RAW[[#This Row],[SALES]]/RAW[[#This Row],[HOURLY PAY]],0)</f>
        <v>0</v>
      </c>
    </row>
    <row r="461" spans="1:23" x14ac:dyDescent="0.35">
      <c r="A461" s="23">
        <v>45320</v>
      </c>
      <c r="B461" s="24" t="s">
        <v>25</v>
      </c>
      <c r="C461" s="25" t="s">
        <v>39</v>
      </c>
      <c r="D461" s="14" t="s">
        <v>30</v>
      </c>
      <c r="E461" s="26">
        <v>0</v>
      </c>
      <c r="F461" s="26">
        <v>0</v>
      </c>
      <c r="G461" s="26">
        <v>0</v>
      </c>
      <c r="H461" s="26">
        <v>0</v>
      </c>
      <c r="I461" s="26">
        <v>0</v>
      </c>
      <c r="J461" s="26">
        <v>0</v>
      </c>
      <c r="K461" s="26">
        <v>0</v>
      </c>
      <c r="L461" s="27">
        <v>0</v>
      </c>
      <c r="M461" s="27">
        <v>0</v>
      </c>
      <c r="N461" s="28">
        <v>0</v>
      </c>
      <c r="O461" s="26">
        <v>0</v>
      </c>
      <c r="P461" s="26">
        <v>0</v>
      </c>
      <c r="Q461" s="33">
        <v>0</v>
      </c>
      <c r="R461" s="34">
        <v>0</v>
      </c>
      <c r="S461" s="34">
        <v>0</v>
      </c>
      <c r="T461" s="20">
        <v>0</v>
      </c>
      <c r="U461" s="21" t="s">
        <v>24</v>
      </c>
      <c r="V461" s="22">
        <f>IFERROR(RAW[[#This Row],[ACTUAL GROSS]]/RAW[[#This Row],[CONVERTED]],0)</f>
        <v>0</v>
      </c>
      <c r="W461" s="22">
        <f>IFERROR(RAW[[#This Row],[SALES]]/RAW[[#This Row],[HOURLY PAY]],0)</f>
        <v>0</v>
      </c>
    </row>
    <row r="462" spans="1:23" x14ac:dyDescent="0.35">
      <c r="A462" s="23">
        <v>45321</v>
      </c>
      <c r="B462" s="24" t="s">
        <v>21</v>
      </c>
      <c r="C462" s="25" t="s">
        <v>39</v>
      </c>
      <c r="D462" s="14" t="s">
        <v>31</v>
      </c>
      <c r="E462" s="26">
        <v>0</v>
      </c>
      <c r="F462" s="26">
        <v>0</v>
      </c>
      <c r="G462" s="26">
        <v>0</v>
      </c>
      <c r="H462" s="26">
        <v>0</v>
      </c>
      <c r="I462" s="26">
        <v>0</v>
      </c>
      <c r="J462" s="26">
        <v>0</v>
      </c>
      <c r="K462" s="26">
        <v>0</v>
      </c>
      <c r="L462" s="27">
        <v>0</v>
      </c>
      <c r="M462" s="27">
        <v>0</v>
      </c>
      <c r="N462" s="28">
        <v>0</v>
      </c>
      <c r="O462" s="26">
        <v>0</v>
      </c>
      <c r="P462" s="26">
        <v>0</v>
      </c>
      <c r="Q462" s="33">
        <v>0</v>
      </c>
      <c r="R462" s="34">
        <v>0</v>
      </c>
      <c r="S462" s="34">
        <v>0</v>
      </c>
      <c r="T462" s="20">
        <v>0</v>
      </c>
      <c r="U462" s="21" t="s">
        <v>24</v>
      </c>
      <c r="V462" s="22">
        <f>IFERROR(RAW[[#This Row],[ACTUAL GROSS]]/RAW[[#This Row],[CONVERTED]],0)</f>
        <v>0</v>
      </c>
      <c r="W462" s="22">
        <f>IFERROR(RAW[[#This Row],[SALES]]/RAW[[#This Row],[HOURLY PAY]],0)</f>
        <v>0</v>
      </c>
    </row>
    <row r="463" spans="1:23" s="38" customFormat="1" x14ac:dyDescent="0.35">
      <c r="A463" s="23">
        <v>45321</v>
      </c>
      <c r="B463" s="24" t="s">
        <v>25</v>
      </c>
      <c r="C463" s="25" t="s">
        <v>39</v>
      </c>
      <c r="D463" s="14" t="s">
        <v>31</v>
      </c>
      <c r="E463" s="26">
        <v>0</v>
      </c>
      <c r="F463" s="26">
        <v>0</v>
      </c>
      <c r="G463" s="26">
        <v>0</v>
      </c>
      <c r="H463" s="26">
        <v>0</v>
      </c>
      <c r="I463" s="26">
        <v>0</v>
      </c>
      <c r="J463" s="26">
        <v>0</v>
      </c>
      <c r="K463" s="26">
        <v>0</v>
      </c>
      <c r="L463" s="27">
        <v>0</v>
      </c>
      <c r="M463" s="27">
        <v>0</v>
      </c>
      <c r="N463" s="28">
        <v>0</v>
      </c>
      <c r="O463" s="26">
        <v>0</v>
      </c>
      <c r="P463" s="26">
        <v>0</v>
      </c>
      <c r="Q463" s="33">
        <v>0</v>
      </c>
      <c r="R463" s="34">
        <v>0</v>
      </c>
      <c r="S463" s="34">
        <v>0</v>
      </c>
      <c r="T463" s="20">
        <v>0</v>
      </c>
      <c r="U463" s="21" t="s">
        <v>24</v>
      </c>
      <c r="V463" s="49">
        <f>IFERROR(RAW[[#This Row],[ACTUAL GROSS]]/RAW[[#This Row],[CONVERTED]],0)</f>
        <v>0</v>
      </c>
      <c r="W463" s="49">
        <f>IFERROR(RAW[[#This Row],[SALES]]/RAW[[#This Row],[HOURLY PAY]],0)</f>
        <v>0</v>
      </c>
    </row>
    <row r="464" spans="1:23" x14ac:dyDescent="0.35">
      <c r="A464" s="23">
        <v>45322</v>
      </c>
      <c r="B464" s="24" t="s">
        <v>21</v>
      </c>
      <c r="C464" s="25" t="s">
        <v>39</v>
      </c>
      <c r="D464" s="14" t="s">
        <v>23</v>
      </c>
      <c r="H464" s="26">
        <v>0</v>
      </c>
      <c r="I464" s="26">
        <v>0</v>
      </c>
      <c r="K464" s="26">
        <v>0</v>
      </c>
      <c r="N464" s="28">
        <v>0</v>
      </c>
      <c r="O464" s="26">
        <v>0</v>
      </c>
      <c r="P464" s="26">
        <v>0</v>
      </c>
      <c r="Q464" s="33">
        <v>0</v>
      </c>
      <c r="R464" s="34">
        <v>0</v>
      </c>
      <c r="S464" s="34">
        <v>0</v>
      </c>
      <c r="T464" s="20">
        <v>0</v>
      </c>
      <c r="U464" s="21" t="s">
        <v>24</v>
      </c>
      <c r="V464" s="237">
        <f>IFERROR(RAW[[#This Row],[ACTUAL GROSS]]/RAW[[#This Row],[CONVERTED]],0)</f>
        <v>0</v>
      </c>
      <c r="W464" s="22">
        <f>IFERROR(RAW[[#This Row],[SALES]]/RAW[[#This Row],[HOURLY PAY]],0)</f>
        <v>0</v>
      </c>
    </row>
    <row r="465" spans="1:23" x14ac:dyDescent="0.35">
      <c r="A465" s="23">
        <v>45322</v>
      </c>
      <c r="B465" s="24" t="s">
        <v>25</v>
      </c>
      <c r="C465" s="25" t="s">
        <v>39</v>
      </c>
      <c r="D465" s="14" t="s">
        <v>23</v>
      </c>
      <c r="E465" s="26">
        <v>1320</v>
      </c>
      <c r="F465" s="26">
        <v>227.24</v>
      </c>
      <c r="G465" s="26">
        <v>0</v>
      </c>
      <c r="H465" s="26">
        <v>52.800000000000004</v>
      </c>
      <c r="I465" s="26">
        <v>3.8176320000000001</v>
      </c>
      <c r="J465" s="26">
        <v>0</v>
      </c>
      <c r="K465" s="26">
        <v>170.62236799999999</v>
      </c>
      <c r="L465" s="27">
        <v>6</v>
      </c>
      <c r="M465" s="27">
        <v>16</v>
      </c>
      <c r="N465" s="28">
        <v>6.2666666666666666</v>
      </c>
      <c r="O465" s="26">
        <v>13.347999999999999</v>
      </c>
      <c r="P465" s="26">
        <v>183.97036800000001</v>
      </c>
      <c r="Q465" s="33">
        <v>183.97036800000001</v>
      </c>
      <c r="R465" s="34">
        <v>1</v>
      </c>
      <c r="S465" s="34">
        <v>0</v>
      </c>
      <c r="T465" s="20">
        <v>0</v>
      </c>
      <c r="U465" s="21" t="s">
        <v>24</v>
      </c>
      <c r="V465" s="22">
        <f>IFERROR(RAW[[#This Row],[ACTUAL GROSS]]/RAW[[#This Row],[CONVERTED]],0)</f>
        <v>29.356973617021278</v>
      </c>
      <c r="W465" s="22">
        <f>IFERROR(RAW[[#This Row],[SALES]]/RAW[[#This Row],[HOURLY PAY]],0)</f>
        <v>98.891219658375789</v>
      </c>
    </row>
    <row r="466" spans="1:23" x14ac:dyDescent="0.35">
      <c r="A466" s="23">
        <v>45323</v>
      </c>
      <c r="B466" s="24" t="s">
        <v>21</v>
      </c>
      <c r="C466" s="25" t="s">
        <v>40</v>
      </c>
      <c r="D466" s="14" t="s">
        <v>26</v>
      </c>
      <c r="E466" s="26">
        <v>0</v>
      </c>
      <c r="F466" s="26">
        <v>0</v>
      </c>
      <c r="G466" s="26">
        <v>0</v>
      </c>
      <c r="H466" s="26">
        <v>0</v>
      </c>
      <c r="I466" s="26">
        <v>0</v>
      </c>
      <c r="J466" s="26">
        <v>0</v>
      </c>
      <c r="K466" s="26">
        <v>0</v>
      </c>
      <c r="L466" s="27">
        <v>0</v>
      </c>
      <c r="M466" s="27">
        <v>0</v>
      </c>
      <c r="N466" s="28">
        <v>0</v>
      </c>
      <c r="O466" s="26">
        <v>0</v>
      </c>
      <c r="P466" s="26">
        <v>0</v>
      </c>
      <c r="Q466" s="33">
        <v>0</v>
      </c>
      <c r="R466" s="34">
        <v>0</v>
      </c>
      <c r="S466" s="34">
        <v>0</v>
      </c>
      <c r="T466" s="20">
        <v>0</v>
      </c>
      <c r="U466" s="21" t="s">
        <v>24</v>
      </c>
      <c r="V466" s="22">
        <f>IFERROR(RAW[[#This Row],[ACTUAL GROSS]]/RAW[[#This Row],[CONVERTED]],0)</f>
        <v>0</v>
      </c>
      <c r="W466" s="22">
        <f>IFERROR(RAW[[#This Row],[SALES]]/RAW[[#This Row],[HOURLY PAY]],0)</f>
        <v>0</v>
      </c>
    </row>
    <row r="467" spans="1:23" x14ac:dyDescent="0.35">
      <c r="A467" s="23">
        <v>45323</v>
      </c>
      <c r="B467" s="24" t="s">
        <v>25</v>
      </c>
      <c r="C467" s="25" t="s">
        <v>40</v>
      </c>
      <c r="D467" s="14" t="s">
        <v>26</v>
      </c>
      <c r="E467" s="26">
        <v>1451.5</v>
      </c>
      <c r="F467" s="26">
        <v>227.86</v>
      </c>
      <c r="G467" s="26">
        <v>61</v>
      </c>
      <c r="H467" s="26">
        <v>58.06</v>
      </c>
      <c r="I467" s="26">
        <v>3.8280479999999999</v>
      </c>
      <c r="J467" s="26">
        <v>10.96</v>
      </c>
      <c r="K467" s="26">
        <v>165.97195200000002</v>
      </c>
      <c r="L467" s="27">
        <v>6</v>
      </c>
      <c r="M467" s="27">
        <v>38</v>
      </c>
      <c r="N467" s="28">
        <v>6.6333333333333337</v>
      </c>
      <c r="O467" s="26">
        <v>14.129</v>
      </c>
      <c r="P467" s="26">
        <v>191.06095200000001</v>
      </c>
      <c r="Q467" s="33">
        <v>241.10095200000001</v>
      </c>
      <c r="R467" s="34">
        <v>1</v>
      </c>
      <c r="S467" s="34">
        <v>0</v>
      </c>
      <c r="T467" s="20">
        <v>0</v>
      </c>
      <c r="U467" s="21" t="s">
        <v>24</v>
      </c>
      <c r="V467" s="44">
        <f>IFERROR(RAW[[#This Row],[ACTUAL GROSS]]/RAW[[#This Row],[CONVERTED]],0)</f>
        <v>36.34687718592965</v>
      </c>
      <c r="W467" s="22">
        <f>IFERROR(RAW[[#This Row],[SALES]]/RAW[[#This Row],[HOURLY PAY]],0)</f>
        <v>102.73196970769339</v>
      </c>
    </row>
    <row r="468" spans="1:23" x14ac:dyDescent="0.35">
      <c r="A468" s="23">
        <v>45324</v>
      </c>
      <c r="B468" s="24" t="s">
        <v>21</v>
      </c>
      <c r="C468" s="25" t="s">
        <v>40</v>
      </c>
      <c r="D468" s="14" t="s">
        <v>27</v>
      </c>
      <c r="E468" s="26">
        <v>0</v>
      </c>
      <c r="F468" s="26">
        <v>0</v>
      </c>
      <c r="G468" s="26">
        <v>0</v>
      </c>
      <c r="H468" s="26">
        <v>0</v>
      </c>
      <c r="I468" s="26">
        <v>0</v>
      </c>
      <c r="J468" s="26">
        <v>0</v>
      </c>
      <c r="K468" s="26">
        <v>0</v>
      </c>
      <c r="L468" s="27">
        <v>0</v>
      </c>
      <c r="M468" s="27">
        <v>0</v>
      </c>
      <c r="N468" s="28">
        <v>0</v>
      </c>
      <c r="O468" s="26">
        <v>0</v>
      </c>
      <c r="P468" s="26">
        <v>0</v>
      </c>
      <c r="Q468" s="33">
        <v>0</v>
      </c>
      <c r="R468" s="34">
        <v>0</v>
      </c>
      <c r="S468" s="34">
        <v>0</v>
      </c>
      <c r="T468" s="20">
        <v>0</v>
      </c>
      <c r="U468" s="21" t="s">
        <v>24</v>
      </c>
      <c r="V468" s="31">
        <f>IFERROR(RAW[[#This Row],[ACTUAL GROSS]]/RAW[[#This Row],[CONVERTED]],0)</f>
        <v>0</v>
      </c>
      <c r="W468" s="22">
        <f>IFERROR(RAW[[#This Row],[SALES]]/RAW[[#This Row],[HOURLY PAY]],0)</f>
        <v>0</v>
      </c>
    </row>
    <row r="469" spans="1:23" x14ac:dyDescent="0.35">
      <c r="A469" s="23">
        <v>45324</v>
      </c>
      <c r="B469" s="24" t="s">
        <v>25</v>
      </c>
      <c r="C469" s="25" t="s">
        <v>40</v>
      </c>
      <c r="D469" s="14" t="s">
        <v>27</v>
      </c>
      <c r="E469" s="26">
        <v>1462</v>
      </c>
      <c r="F469" s="26">
        <v>268.33</v>
      </c>
      <c r="G469" s="26">
        <v>54</v>
      </c>
      <c r="H469" s="26">
        <v>58.480000000000004</v>
      </c>
      <c r="I469" s="26">
        <v>4.5079439999999993</v>
      </c>
      <c r="J469" s="26">
        <v>13.75</v>
      </c>
      <c r="K469" s="26">
        <v>205.34205599999999</v>
      </c>
      <c r="L469" s="27">
        <v>7</v>
      </c>
      <c r="M469" s="27">
        <v>58</v>
      </c>
      <c r="N469" s="28">
        <v>7.9666666666666668</v>
      </c>
      <c r="O469" s="26">
        <v>16.968999999999998</v>
      </c>
      <c r="P469" s="26">
        <v>236.06105599999998</v>
      </c>
      <c r="Q469" s="33">
        <v>276.31105599999995</v>
      </c>
      <c r="R469" s="34">
        <v>1</v>
      </c>
      <c r="S469" s="34">
        <v>0</v>
      </c>
      <c r="T469" s="20">
        <v>0</v>
      </c>
      <c r="U469" s="21" t="s">
        <v>24</v>
      </c>
      <c r="V469" s="22">
        <f>IFERROR(RAW[[#This Row],[ACTUAL GROSS]]/RAW[[#This Row],[CONVERTED]],0)</f>
        <v>34.683396150627608</v>
      </c>
      <c r="W469" s="22">
        <f>IFERROR(RAW[[#This Row],[SALES]]/RAW[[#This Row],[HOURLY PAY]],0)</f>
        <v>86.157110024161724</v>
      </c>
    </row>
    <row r="470" spans="1:23" x14ac:dyDescent="0.35">
      <c r="A470" s="23">
        <v>45325</v>
      </c>
      <c r="B470" s="24" t="s">
        <v>21</v>
      </c>
      <c r="C470" s="25" t="s">
        <v>40</v>
      </c>
      <c r="D470" s="14" t="s">
        <v>28</v>
      </c>
      <c r="E470" s="26">
        <v>207</v>
      </c>
      <c r="F470" s="26">
        <v>30.09</v>
      </c>
      <c r="G470" s="26">
        <v>16</v>
      </c>
      <c r="H470" s="26">
        <v>8.2799999999999994</v>
      </c>
      <c r="I470" s="26">
        <v>0.50551199999999996</v>
      </c>
      <c r="J470" s="26">
        <v>6.08</v>
      </c>
      <c r="K470" s="26">
        <v>21.304487999999999</v>
      </c>
      <c r="L470" s="27">
        <v>2</v>
      </c>
      <c r="M470" s="27">
        <v>44</v>
      </c>
      <c r="N470" s="28">
        <v>2.7333333333333334</v>
      </c>
      <c r="O470" s="26">
        <v>5.8220000000000001</v>
      </c>
      <c r="P470" s="26">
        <v>33.206488</v>
      </c>
      <c r="Q470" s="33">
        <v>43.126488000000002</v>
      </c>
      <c r="R470" s="34">
        <v>1</v>
      </c>
      <c r="S470" s="34">
        <v>1</v>
      </c>
      <c r="T470" s="20">
        <v>0</v>
      </c>
      <c r="U470" s="21" t="s">
        <v>24</v>
      </c>
      <c r="V470" s="22">
        <f>IFERROR(RAW[[#This Row],[ACTUAL GROSS]]/RAW[[#This Row],[CONVERTED]],0)</f>
        <v>15.777983414634146</v>
      </c>
      <c r="W470" s="22">
        <f>IFERROR(RAW[[#This Row],[SALES]]/RAW[[#This Row],[HOURLY PAY]],0)</f>
        <v>35.554792167639988</v>
      </c>
    </row>
    <row r="471" spans="1:23" x14ac:dyDescent="0.35">
      <c r="A471" s="23">
        <v>45325</v>
      </c>
      <c r="B471" s="24" t="s">
        <v>25</v>
      </c>
      <c r="C471" s="25" t="s">
        <v>40</v>
      </c>
      <c r="D471" s="14" t="s">
        <v>28</v>
      </c>
      <c r="E471" s="26">
        <v>0</v>
      </c>
      <c r="F471" s="26">
        <v>0</v>
      </c>
      <c r="G471" s="26">
        <v>0</v>
      </c>
      <c r="H471" s="26">
        <v>0</v>
      </c>
      <c r="I471" s="26">
        <v>0</v>
      </c>
      <c r="J471" s="26">
        <v>0</v>
      </c>
      <c r="K471" s="26">
        <v>0</v>
      </c>
      <c r="L471" s="27">
        <v>0</v>
      </c>
      <c r="M471" s="27">
        <v>0</v>
      </c>
      <c r="N471" s="28">
        <v>0</v>
      </c>
      <c r="O471" s="26">
        <v>0</v>
      </c>
      <c r="P471" s="26">
        <v>0</v>
      </c>
      <c r="Q471" s="33">
        <v>0</v>
      </c>
      <c r="R471" s="34">
        <v>0</v>
      </c>
      <c r="S471" s="34">
        <v>0</v>
      </c>
      <c r="T471" s="20">
        <v>0</v>
      </c>
      <c r="U471" s="21" t="s">
        <v>24</v>
      </c>
      <c r="V471" s="22">
        <f>IFERROR(RAW[[#This Row],[ACTUAL GROSS]]/RAW[[#This Row],[CONVERTED]],0)</f>
        <v>0</v>
      </c>
      <c r="W471" s="22">
        <f>IFERROR(RAW[[#This Row],[SALES]]/RAW[[#This Row],[HOURLY PAY]],0)</f>
        <v>0</v>
      </c>
    </row>
    <row r="472" spans="1:23" x14ac:dyDescent="0.35">
      <c r="A472" s="23">
        <v>45326</v>
      </c>
      <c r="B472" s="24" t="s">
        <v>21</v>
      </c>
      <c r="C472" s="25" t="s">
        <v>40</v>
      </c>
      <c r="D472" s="14" t="s">
        <v>29</v>
      </c>
      <c r="E472" s="26">
        <v>0</v>
      </c>
      <c r="F472" s="26">
        <v>0</v>
      </c>
      <c r="G472" s="26">
        <v>0</v>
      </c>
      <c r="H472" s="26">
        <v>0</v>
      </c>
      <c r="I472" s="26">
        <v>0</v>
      </c>
      <c r="J472" s="26">
        <v>0</v>
      </c>
      <c r="K472" s="26">
        <v>0</v>
      </c>
      <c r="L472" s="27">
        <v>0</v>
      </c>
      <c r="M472" s="27">
        <v>0</v>
      </c>
      <c r="N472" s="28">
        <v>0</v>
      </c>
      <c r="O472" s="26">
        <v>0</v>
      </c>
      <c r="P472" s="26">
        <v>0</v>
      </c>
      <c r="Q472" s="33">
        <v>0</v>
      </c>
      <c r="R472" s="34">
        <v>0</v>
      </c>
      <c r="S472" s="34">
        <v>0</v>
      </c>
      <c r="T472" s="20">
        <v>0</v>
      </c>
      <c r="U472" s="21" t="s">
        <v>24</v>
      </c>
      <c r="V472" s="22">
        <f>IFERROR(RAW[[#This Row],[ACTUAL GROSS]]/RAW[[#This Row],[CONVERTED]],0)</f>
        <v>0</v>
      </c>
      <c r="W472" s="22">
        <f>IFERROR(RAW[[#This Row],[SALES]]/RAW[[#This Row],[HOURLY PAY]],0)</f>
        <v>0</v>
      </c>
    </row>
    <row r="473" spans="1:23" ht="18.5" customHeight="1" x14ac:dyDescent="0.35">
      <c r="A473" s="23">
        <v>45326</v>
      </c>
      <c r="B473" s="24" t="s">
        <v>25</v>
      </c>
      <c r="C473" s="25" t="s">
        <v>40</v>
      </c>
      <c r="D473" s="14" t="s">
        <v>29</v>
      </c>
      <c r="E473" s="26">
        <v>1094.5</v>
      </c>
      <c r="F473" s="26">
        <v>170.05</v>
      </c>
      <c r="G473" s="26">
        <v>56</v>
      </c>
      <c r="H473" s="26">
        <v>43.78</v>
      </c>
      <c r="I473" s="26">
        <v>2.85684</v>
      </c>
      <c r="J473" s="26">
        <v>16.28</v>
      </c>
      <c r="K473" s="26">
        <v>123.41316</v>
      </c>
      <c r="L473" s="27">
        <v>4</v>
      </c>
      <c r="M473" s="27">
        <v>0</v>
      </c>
      <c r="N473" s="28">
        <v>4</v>
      </c>
      <c r="O473" s="26">
        <v>8.52</v>
      </c>
      <c r="P473" s="26">
        <v>148.21316000000002</v>
      </c>
      <c r="Q473" s="33">
        <v>187.93316000000002</v>
      </c>
      <c r="R473" s="34">
        <v>1</v>
      </c>
      <c r="S473" s="34">
        <v>0</v>
      </c>
      <c r="T473" s="20">
        <v>0</v>
      </c>
      <c r="U473" s="21" t="s">
        <v>24</v>
      </c>
      <c r="V473" s="22">
        <f>IFERROR(RAW[[#This Row],[ACTUAL GROSS]]/RAW[[#This Row],[CONVERTED]],0)</f>
        <v>46.983290000000004</v>
      </c>
      <c r="W473" s="22">
        <f>IFERROR(RAW[[#This Row],[SALES]]/RAW[[#This Row],[HOURLY PAY]],0)</f>
        <v>128.46244131455398</v>
      </c>
    </row>
    <row r="474" spans="1:23" x14ac:dyDescent="0.35">
      <c r="A474" s="23">
        <v>45327</v>
      </c>
      <c r="B474" s="24" t="s">
        <v>21</v>
      </c>
      <c r="C474" s="25" t="s">
        <v>40</v>
      </c>
      <c r="D474" s="14" t="s">
        <v>30</v>
      </c>
      <c r="E474" s="26">
        <v>334</v>
      </c>
      <c r="F474" s="26">
        <v>55.57</v>
      </c>
      <c r="G474" s="26">
        <v>11</v>
      </c>
      <c r="H474" s="26">
        <v>13.36</v>
      </c>
      <c r="I474" s="26">
        <v>0.93357599999999996</v>
      </c>
      <c r="J474" s="26">
        <v>2.4</v>
      </c>
      <c r="K474" s="26">
        <v>41.276423999999999</v>
      </c>
      <c r="L474" s="27">
        <v>2</v>
      </c>
      <c r="M474" s="27">
        <v>31</v>
      </c>
      <c r="N474" s="28">
        <v>2.5166666666666666</v>
      </c>
      <c r="O474" s="26">
        <v>5.3605</v>
      </c>
      <c r="P474" s="26">
        <v>49.036923999999999</v>
      </c>
      <c r="Q474" s="33">
        <v>57.636924</v>
      </c>
      <c r="R474" s="34">
        <v>1</v>
      </c>
      <c r="S474" s="34">
        <v>1</v>
      </c>
      <c r="T474" s="20">
        <v>0</v>
      </c>
      <c r="U474" s="21" t="s">
        <v>34</v>
      </c>
      <c r="V474" s="22">
        <f>IFERROR(RAW[[#This Row],[ACTUAL GROSS]]/RAW[[#This Row],[CONVERTED]],0)</f>
        <v>22.902089006622518</v>
      </c>
      <c r="W474" s="22">
        <f>IFERROR(RAW[[#This Row],[SALES]]/RAW[[#This Row],[HOURLY PAY]],0)</f>
        <v>62.307620557783785</v>
      </c>
    </row>
    <row r="475" spans="1:23" x14ac:dyDescent="0.35">
      <c r="A475" s="23">
        <v>45327</v>
      </c>
      <c r="B475" s="24" t="s">
        <v>25</v>
      </c>
      <c r="C475" s="25" t="s">
        <v>40</v>
      </c>
      <c r="D475" s="14" t="s">
        <v>30</v>
      </c>
      <c r="E475" s="26">
        <v>1044</v>
      </c>
      <c r="F475" s="26">
        <v>178.2</v>
      </c>
      <c r="G475" s="26">
        <v>41</v>
      </c>
      <c r="H475" s="26">
        <v>41.76</v>
      </c>
      <c r="I475" s="26">
        <v>2.9937599999999995</v>
      </c>
      <c r="J475" s="26">
        <v>6.48</v>
      </c>
      <c r="K475" s="26">
        <v>133.44623999999999</v>
      </c>
      <c r="L475" s="27">
        <v>4</v>
      </c>
      <c r="M475" s="27">
        <v>32</v>
      </c>
      <c r="N475" s="28">
        <v>4.5333333333333332</v>
      </c>
      <c r="O475" s="26">
        <v>9.6559999999999988</v>
      </c>
      <c r="P475" s="26">
        <v>149.58223999999998</v>
      </c>
      <c r="Q475" s="33">
        <v>184.10223999999999</v>
      </c>
      <c r="R475" s="34">
        <v>1</v>
      </c>
      <c r="S475" s="34">
        <v>0</v>
      </c>
      <c r="T475" s="20">
        <v>1</v>
      </c>
      <c r="U475" s="21" t="s">
        <v>34</v>
      </c>
      <c r="V475" s="22">
        <f>IFERROR(RAW[[#This Row],[ACTUAL GROSS]]/RAW[[#This Row],[CONVERTED]],0)</f>
        <v>40.610788235294116</v>
      </c>
      <c r="W475" s="22">
        <f>IFERROR(RAW[[#This Row],[SALES]]/RAW[[#This Row],[HOURLY PAY]],0)</f>
        <v>108.11930405965204</v>
      </c>
    </row>
    <row r="476" spans="1:23" x14ac:dyDescent="0.35">
      <c r="A476" s="23">
        <v>45328</v>
      </c>
      <c r="B476" s="24" t="s">
        <v>21</v>
      </c>
      <c r="C476" s="25" t="s">
        <v>40</v>
      </c>
      <c r="D476" s="14" t="s">
        <v>31</v>
      </c>
      <c r="E476" s="26">
        <v>0</v>
      </c>
      <c r="F476" s="26">
        <v>0</v>
      </c>
      <c r="G476" s="26">
        <v>0</v>
      </c>
      <c r="H476" s="26">
        <v>0</v>
      </c>
      <c r="I476" s="26">
        <v>0</v>
      </c>
      <c r="J476" s="26">
        <v>0</v>
      </c>
      <c r="K476" s="26">
        <v>0</v>
      </c>
      <c r="L476" s="27">
        <v>0</v>
      </c>
      <c r="M476" s="27">
        <v>0</v>
      </c>
      <c r="N476" s="28">
        <v>0</v>
      </c>
      <c r="O476" s="26">
        <v>0</v>
      </c>
      <c r="P476" s="26">
        <v>0</v>
      </c>
      <c r="Q476" s="33">
        <v>0</v>
      </c>
      <c r="R476" s="34">
        <v>0</v>
      </c>
      <c r="S476" s="34">
        <v>0</v>
      </c>
      <c r="T476" s="20">
        <v>0</v>
      </c>
      <c r="U476" s="21" t="s">
        <v>24</v>
      </c>
      <c r="V476" s="22">
        <f>IFERROR(RAW[[#This Row],[ACTUAL GROSS]]/RAW[[#This Row],[CONVERTED]],0)</f>
        <v>0</v>
      </c>
      <c r="W476" s="22">
        <f>IFERROR(RAW[[#This Row],[SALES]]/RAW[[#This Row],[HOURLY PAY]],0)</f>
        <v>0</v>
      </c>
    </row>
    <row r="477" spans="1:23" x14ac:dyDescent="0.35">
      <c r="A477" s="23">
        <v>45328</v>
      </c>
      <c r="B477" s="24" t="s">
        <v>25</v>
      </c>
      <c r="C477" s="25" t="s">
        <v>40</v>
      </c>
      <c r="D477" s="14" t="s">
        <v>31</v>
      </c>
      <c r="E477" s="26">
        <v>0</v>
      </c>
      <c r="F477" s="26">
        <v>0</v>
      </c>
      <c r="G477" s="26">
        <v>0</v>
      </c>
      <c r="H477" s="26">
        <v>0</v>
      </c>
      <c r="I477" s="26">
        <v>0</v>
      </c>
      <c r="J477" s="26">
        <v>0</v>
      </c>
      <c r="K477" s="26">
        <v>0</v>
      </c>
      <c r="L477" s="27">
        <v>0</v>
      </c>
      <c r="M477" s="27">
        <v>0</v>
      </c>
      <c r="N477" s="28">
        <v>0</v>
      </c>
      <c r="O477" s="26">
        <v>0</v>
      </c>
      <c r="P477" s="26">
        <v>0</v>
      </c>
      <c r="Q477" s="33">
        <v>0</v>
      </c>
      <c r="R477" s="34">
        <v>0</v>
      </c>
      <c r="S477" s="34">
        <v>0</v>
      </c>
      <c r="T477" s="20">
        <v>0</v>
      </c>
      <c r="U477" s="21" t="s">
        <v>24</v>
      </c>
      <c r="V477" s="22">
        <f>IFERROR(RAW[[#This Row],[ACTUAL GROSS]]/RAW[[#This Row],[CONVERTED]],0)</f>
        <v>0</v>
      </c>
      <c r="W477" s="22">
        <f>IFERROR(RAW[[#This Row],[SALES]]/RAW[[#This Row],[HOURLY PAY]],0)</f>
        <v>0</v>
      </c>
    </row>
    <row r="478" spans="1:23" x14ac:dyDescent="0.35">
      <c r="A478" s="23">
        <v>45329</v>
      </c>
      <c r="B478" s="24" t="s">
        <v>21</v>
      </c>
      <c r="C478" s="25" t="s">
        <v>40</v>
      </c>
      <c r="D478" s="14" t="s">
        <v>23</v>
      </c>
      <c r="E478" s="26">
        <v>980</v>
      </c>
      <c r="F478" s="26">
        <v>205.09</v>
      </c>
      <c r="G478" s="26">
        <v>50</v>
      </c>
      <c r="H478" s="26">
        <v>39.200000000000003</v>
      </c>
      <c r="I478" s="26">
        <v>3.4455119999999999</v>
      </c>
      <c r="J478" s="26">
        <v>0</v>
      </c>
      <c r="K478" s="26">
        <v>162.44448800000001</v>
      </c>
      <c r="L478" s="27">
        <v>3</v>
      </c>
      <c r="M478" s="27">
        <v>47</v>
      </c>
      <c r="N478" s="28">
        <v>3.7833333333333332</v>
      </c>
      <c r="O478" s="26">
        <v>8.0584999999999987</v>
      </c>
      <c r="P478" s="26">
        <v>170.50298800000002</v>
      </c>
      <c r="Q478" s="33">
        <v>220.50298800000002</v>
      </c>
      <c r="R478" s="34">
        <v>1</v>
      </c>
      <c r="S478" s="34">
        <v>1</v>
      </c>
      <c r="T478" s="20">
        <v>0</v>
      </c>
      <c r="U478" s="21" t="s">
        <v>34</v>
      </c>
      <c r="V478" s="237">
        <f>IFERROR(RAW[[#This Row],[ACTUAL GROSS]]/RAW[[#This Row],[CONVERTED]],0)</f>
        <v>58.282728105726875</v>
      </c>
      <c r="W478" s="22">
        <f>IFERROR(RAW[[#This Row],[SALES]]/RAW[[#This Row],[HOURLY PAY]],0)</f>
        <v>121.61072159831237</v>
      </c>
    </row>
    <row r="479" spans="1:23" x14ac:dyDescent="0.35">
      <c r="A479" s="23">
        <v>45329</v>
      </c>
      <c r="B479" s="24" t="s">
        <v>25</v>
      </c>
      <c r="C479" s="25" t="s">
        <v>40</v>
      </c>
      <c r="D479" s="14" t="s">
        <v>23</v>
      </c>
      <c r="E479" s="26">
        <v>1491.5</v>
      </c>
      <c r="F479" s="26">
        <v>301.27999999999997</v>
      </c>
      <c r="G479" s="26">
        <v>0</v>
      </c>
      <c r="H479" s="26">
        <v>59.660000000000004</v>
      </c>
      <c r="I479" s="26">
        <v>5.0615039999999993</v>
      </c>
      <c r="J479" s="26">
        <v>0</v>
      </c>
      <c r="K479" s="26">
        <v>236.55849599999996</v>
      </c>
      <c r="L479" s="27">
        <v>5</v>
      </c>
      <c r="M479" s="27">
        <v>47</v>
      </c>
      <c r="N479" s="28">
        <v>5.7833333333333332</v>
      </c>
      <c r="O479" s="26">
        <v>12.318499999999998</v>
      </c>
      <c r="P479" s="26">
        <v>248.87699599999996</v>
      </c>
      <c r="Q479" s="33">
        <v>248.87699599999996</v>
      </c>
      <c r="R479" s="34">
        <v>1</v>
      </c>
      <c r="S479" s="34">
        <v>0</v>
      </c>
      <c r="T479" s="20">
        <v>1</v>
      </c>
      <c r="U479" s="21" t="s">
        <v>34</v>
      </c>
      <c r="V479" s="22">
        <f>IFERROR(RAW[[#This Row],[ACTUAL GROSS]]/RAW[[#This Row],[CONVERTED]],0)</f>
        <v>43.033486340057628</v>
      </c>
      <c r="W479" s="22">
        <f>IFERROR(RAW[[#This Row],[SALES]]/RAW[[#This Row],[HOURLY PAY]],0)</f>
        <v>121.07805333441573</v>
      </c>
    </row>
    <row r="480" spans="1:23" x14ac:dyDescent="0.35">
      <c r="A480" s="23">
        <v>45330</v>
      </c>
      <c r="B480" s="24" t="s">
        <v>21</v>
      </c>
      <c r="C480" s="25" t="s">
        <v>40</v>
      </c>
      <c r="D480" s="14" t="s">
        <v>26</v>
      </c>
      <c r="E480" s="26">
        <v>0</v>
      </c>
      <c r="F480" s="26">
        <v>0</v>
      </c>
      <c r="G480" s="26">
        <v>0</v>
      </c>
      <c r="H480" s="26">
        <v>0</v>
      </c>
      <c r="I480" s="26">
        <v>0</v>
      </c>
      <c r="J480" s="26">
        <v>0</v>
      </c>
      <c r="K480" s="26">
        <v>0</v>
      </c>
      <c r="L480" s="27">
        <v>0</v>
      </c>
      <c r="M480" s="27">
        <v>0</v>
      </c>
      <c r="N480" s="28">
        <v>0</v>
      </c>
      <c r="O480" s="26">
        <v>0</v>
      </c>
      <c r="P480" s="45">
        <v>0</v>
      </c>
      <c r="Q480" s="46">
        <v>0</v>
      </c>
      <c r="R480" s="27">
        <v>0</v>
      </c>
      <c r="S480" s="34">
        <v>0</v>
      </c>
      <c r="T480" s="20">
        <v>0</v>
      </c>
      <c r="U480" s="21" t="s">
        <v>24</v>
      </c>
      <c r="V480" s="22">
        <f>IFERROR(RAW[[#This Row],[ACTUAL GROSS]]/RAW[[#This Row],[CONVERTED]],0)</f>
        <v>0</v>
      </c>
      <c r="W480" s="22">
        <f>IFERROR(RAW[[#This Row],[SALES]]/RAW[[#This Row],[HOURLY PAY]],0)</f>
        <v>0</v>
      </c>
    </row>
    <row r="481" spans="1:23" x14ac:dyDescent="0.35">
      <c r="A481" s="23">
        <v>45330</v>
      </c>
      <c r="B481" s="24" t="s">
        <v>25</v>
      </c>
      <c r="C481" s="25" t="s">
        <v>40</v>
      </c>
      <c r="D481" s="14" t="s">
        <v>26</v>
      </c>
      <c r="E481" s="26">
        <v>1198</v>
      </c>
      <c r="F481" s="26">
        <v>245.79</v>
      </c>
      <c r="G481" s="26">
        <v>0</v>
      </c>
      <c r="H481" s="26">
        <v>47.92</v>
      </c>
      <c r="I481" s="26">
        <v>4.1292719999999994</v>
      </c>
      <c r="J481" s="26">
        <v>0</v>
      </c>
      <c r="K481" s="26">
        <v>193.74072799999999</v>
      </c>
      <c r="L481" s="27">
        <v>6</v>
      </c>
      <c r="M481" s="27">
        <v>8</v>
      </c>
      <c r="N481" s="28">
        <v>6.1333333333333337</v>
      </c>
      <c r="O481" s="26">
        <v>13.064</v>
      </c>
      <c r="P481" s="45">
        <v>206.80472799999998</v>
      </c>
      <c r="Q481" s="46">
        <v>206.80472799999998</v>
      </c>
      <c r="R481" s="27">
        <v>1</v>
      </c>
      <c r="S481" s="34">
        <v>0</v>
      </c>
      <c r="T481" s="20">
        <v>0</v>
      </c>
      <c r="U481" s="21" t="s">
        <v>24</v>
      </c>
      <c r="V481" s="44">
        <f>IFERROR(RAW[[#This Row],[ACTUAL GROSS]]/RAW[[#This Row],[CONVERTED]],0)</f>
        <v>33.718162173913036</v>
      </c>
      <c r="W481" s="22">
        <f>IFERROR(RAW[[#This Row],[SALES]]/RAW[[#This Row],[HOURLY PAY]],0)</f>
        <v>91.702388242498472</v>
      </c>
    </row>
    <row r="482" spans="1:23" x14ac:dyDescent="0.35">
      <c r="A482" s="23">
        <v>45331</v>
      </c>
      <c r="B482" s="24" t="s">
        <v>21</v>
      </c>
      <c r="C482" s="25" t="s">
        <v>40</v>
      </c>
      <c r="D482" s="14" t="s">
        <v>27</v>
      </c>
      <c r="E482" s="26">
        <v>0</v>
      </c>
      <c r="F482" s="26">
        <v>0</v>
      </c>
      <c r="G482" s="26">
        <v>0</v>
      </c>
      <c r="H482" s="26">
        <v>0</v>
      </c>
      <c r="I482" s="26">
        <v>0</v>
      </c>
      <c r="J482" s="26">
        <v>0</v>
      </c>
      <c r="K482" s="26">
        <v>0</v>
      </c>
      <c r="L482" s="27">
        <v>0</v>
      </c>
      <c r="M482" s="27">
        <v>0</v>
      </c>
      <c r="N482" s="28">
        <v>0</v>
      </c>
      <c r="O482" s="26">
        <v>0</v>
      </c>
      <c r="P482" s="45">
        <v>0</v>
      </c>
      <c r="Q482" s="46">
        <v>0</v>
      </c>
      <c r="R482" s="27">
        <v>0</v>
      </c>
      <c r="S482" s="34">
        <v>0</v>
      </c>
      <c r="T482" s="20">
        <v>0</v>
      </c>
      <c r="U482" s="21" t="s">
        <v>24</v>
      </c>
      <c r="V482" s="22">
        <f>IFERROR(RAW[[#This Row],[ACTUAL GROSS]]/RAW[[#This Row],[CONVERTED]],0)</f>
        <v>0</v>
      </c>
      <c r="W482" s="22">
        <f>IFERROR(RAW[[#This Row],[SALES]]/RAW[[#This Row],[HOURLY PAY]],0)</f>
        <v>0</v>
      </c>
    </row>
    <row r="483" spans="1:23" x14ac:dyDescent="0.35">
      <c r="A483" s="23">
        <v>45331</v>
      </c>
      <c r="B483" s="24" t="s">
        <v>25</v>
      </c>
      <c r="C483" s="25" t="s">
        <v>40</v>
      </c>
      <c r="D483" s="14" t="s">
        <v>27</v>
      </c>
      <c r="E483" s="26">
        <v>0</v>
      </c>
      <c r="F483" s="26">
        <v>0</v>
      </c>
      <c r="G483" s="26">
        <v>0</v>
      </c>
      <c r="H483" s="26">
        <v>0</v>
      </c>
      <c r="I483" s="26">
        <v>0</v>
      </c>
      <c r="J483" s="26">
        <v>0</v>
      </c>
      <c r="K483" s="26">
        <v>0</v>
      </c>
      <c r="L483" s="27">
        <v>0</v>
      </c>
      <c r="M483" s="27">
        <v>0</v>
      </c>
      <c r="N483" s="28">
        <v>0</v>
      </c>
      <c r="O483" s="26">
        <v>0</v>
      </c>
      <c r="P483" s="45">
        <v>0</v>
      </c>
      <c r="Q483" s="46">
        <v>0</v>
      </c>
      <c r="R483" s="27">
        <v>0</v>
      </c>
      <c r="S483" s="34">
        <v>0</v>
      </c>
      <c r="T483" s="20">
        <v>0</v>
      </c>
      <c r="U483" s="21" t="s">
        <v>24</v>
      </c>
      <c r="V483" s="22">
        <f>IFERROR(RAW[[#This Row],[ACTUAL GROSS]]/RAW[[#This Row],[CONVERTED]],0)</f>
        <v>0</v>
      </c>
      <c r="W483" s="22">
        <f>IFERROR(RAW[[#This Row],[SALES]]/RAW[[#This Row],[HOURLY PAY]],0)</f>
        <v>0</v>
      </c>
    </row>
    <row r="484" spans="1:23" x14ac:dyDescent="0.35">
      <c r="A484" s="23">
        <v>45332</v>
      </c>
      <c r="B484" s="24" t="s">
        <v>21</v>
      </c>
      <c r="C484" s="25" t="s">
        <v>40</v>
      </c>
      <c r="D484" s="14" t="s">
        <v>28</v>
      </c>
      <c r="E484" s="26">
        <v>908.5</v>
      </c>
      <c r="F484" s="26">
        <v>168.28</v>
      </c>
      <c r="G484" s="26">
        <v>36</v>
      </c>
      <c r="H484" s="26">
        <v>36.340000000000003</v>
      </c>
      <c r="I484" s="26">
        <v>2.8271039999999998</v>
      </c>
      <c r="J484" s="26">
        <v>8.4</v>
      </c>
      <c r="K484" s="26">
        <v>129.11289600000001</v>
      </c>
      <c r="L484" s="27">
        <v>4</v>
      </c>
      <c r="M484" s="27">
        <v>56</v>
      </c>
      <c r="N484" s="28">
        <v>4.9333333333333336</v>
      </c>
      <c r="O484" s="26">
        <v>10.507999999999999</v>
      </c>
      <c r="P484" s="45">
        <v>148.02089600000002</v>
      </c>
      <c r="Q484" s="46">
        <v>175.62089600000002</v>
      </c>
      <c r="R484" s="27">
        <v>1</v>
      </c>
      <c r="S484" s="34">
        <v>1</v>
      </c>
      <c r="T484" s="20">
        <v>0</v>
      </c>
      <c r="U484" s="21" t="s">
        <v>24</v>
      </c>
      <c r="V484" s="22">
        <f>IFERROR(RAW[[#This Row],[ACTUAL GROSS]]/RAW[[#This Row],[CONVERTED]],0)</f>
        <v>35.59883027027027</v>
      </c>
      <c r="W484" s="22">
        <f>IFERROR(RAW[[#This Row],[SALES]]/RAW[[#This Row],[HOURLY PAY]],0)</f>
        <v>86.457936810049489</v>
      </c>
    </row>
    <row r="485" spans="1:23" x14ac:dyDescent="0.35">
      <c r="A485" s="23">
        <v>45332</v>
      </c>
      <c r="B485" s="24" t="s">
        <v>25</v>
      </c>
      <c r="C485" s="25" t="s">
        <v>40</v>
      </c>
      <c r="D485" s="14" t="s">
        <v>28</v>
      </c>
      <c r="E485" s="26">
        <v>0</v>
      </c>
      <c r="F485" s="26">
        <v>0</v>
      </c>
      <c r="G485" s="26">
        <v>0</v>
      </c>
      <c r="H485" s="26">
        <v>0</v>
      </c>
      <c r="I485" s="26">
        <v>0</v>
      </c>
      <c r="J485" s="26">
        <v>0</v>
      </c>
      <c r="K485" s="26">
        <v>0</v>
      </c>
      <c r="L485" s="27">
        <v>0</v>
      </c>
      <c r="M485" s="27">
        <v>0</v>
      </c>
      <c r="N485" s="28">
        <v>0</v>
      </c>
      <c r="O485" s="26">
        <v>0</v>
      </c>
      <c r="P485" s="45">
        <v>0</v>
      </c>
      <c r="Q485" s="46">
        <v>0</v>
      </c>
      <c r="R485" s="27">
        <v>0</v>
      </c>
      <c r="S485" s="34">
        <v>0</v>
      </c>
      <c r="T485" s="20">
        <v>0</v>
      </c>
      <c r="U485" s="21" t="s">
        <v>24</v>
      </c>
      <c r="V485" s="22">
        <f>IFERROR(RAW[[#This Row],[ACTUAL GROSS]]/RAW[[#This Row],[CONVERTED]],0)</f>
        <v>0</v>
      </c>
      <c r="W485" s="22">
        <f>IFERROR(RAW[[#This Row],[SALES]]/RAW[[#This Row],[HOURLY PAY]],0)</f>
        <v>0</v>
      </c>
    </row>
    <row r="486" spans="1:23" x14ac:dyDescent="0.35">
      <c r="A486" s="23">
        <v>45333</v>
      </c>
      <c r="B486" s="24" t="s">
        <v>21</v>
      </c>
      <c r="C486" s="25" t="s">
        <v>40</v>
      </c>
      <c r="D486" s="14" t="s">
        <v>29</v>
      </c>
      <c r="E486" s="26">
        <v>513</v>
      </c>
      <c r="F486" s="26">
        <v>102.4</v>
      </c>
      <c r="G486" s="26">
        <v>0</v>
      </c>
      <c r="H486" s="26">
        <v>20.52</v>
      </c>
      <c r="I486" s="26">
        <v>1.7203200000000001</v>
      </c>
      <c r="J486" s="26">
        <v>0</v>
      </c>
      <c r="K486" s="26">
        <v>80.159680000000009</v>
      </c>
      <c r="L486" s="27">
        <v>3</v>
      </c>
      <c r="M486" s="27">
        <v>40</v>
      </c>
      <c r="N486" s="28">
        <v>3.6666666666666665</v>
      </c>
      <c r="O486" s="26">
        <v>7.81</v>
      </c>
      <c r="P486" s="45">
        <v>87.969680000000011</v>
      </c>
      <c r="Q486" s="46">
        <v>87.969680000000011</v>
      </c>
      <c r="R486" s="27">
        <v>1</v>
      </c>
      <c r="S486" s="34">
        <v>1</v>
      </c>
      <c r="T486" s="20">
        <v>0</v>
      </c>
      <c r="U486" s="21" t="s">
        <v>24</v>
      </c>
      <c r="V486" s="22">
        <f>IFERROR(RAW[[#This Row],[ACTUAL GROSS]]/RAW[[#This Row],[CONVERTED]],0)</f>
        <v>23.991730909090911</v>
      </c>
      <c r="W486" s="22">
        <f>IFERROR(RAW[[#This Row],[SALES]]/RAW[[#This Row],[HOURLY PAY]],0)</f>
        <v>65.685019206145967</v>
      </c>
    </row>
    <row r="487" spans="1:23" x14ac:dyDescent="0.35">
      <c r="A487" s="23">
        <v>45333</v>
      </c>
      <c r="B487" s="24" t="s">
        <v>25</v>
      </c>
      <c r="C487" s="25" t="s">
        <v>40</v>
      </c>
      <c r="D487" s="14" t="s">
        <v>29</v>
      </c>
      <c r="E487" s="26">
        <v>0</v>
      </c>
      <c r="F487" s="26">
        <v>0</v>
      </c>
      <c r="G487" s="26">
        <v>0</v>
      </c>
      <c r="H487" s="26">
        <v>0</v>
      </c>
      <c r="I487" s="26">
        <v>0</v>
      </c>
      <c r="J487" s="26">
        <v>0</v>
      </c>
      <c r="K487" s="26">
        <v>0</v>
      </c>
      <c r="L487" s="27">
        <v>0</v>
      </c>
      <c r="M487" s="27">
        <v>0</v>
      </c>
      <c r="N487" s="28">
        <v>0</v>
      </c>
      <c r="O487" s="26">
        <v>0</v>
      </c>
      <c r="P487" s="45">
        <v>0</v>
      </c>
      <c r="Q487" s="46">
        <v>0</v>
      </c>
      <c r="R487" s="27">
        <v>0</v>
      </c>
      <c r="S487" s="34">
        <v>0</v>
      </c>
      <c r="T487" s="20">
        <v>0</v>
      </c>
      <c r="U487" s="21" t="s">
        <v>24</v>
      </c>
      <c r="V487" s="22">
        <f>IFERROR(RAW[[#This Row],[ACTUAL GROSS]]/RAW[[#This Row],[CONVERTED]],0)</f>
        <v>0</v>
      </c>
      <c r="W487" s="22">
        <f>IFERROR(RAW[[#This Row],[SALES]]/RAW[[#This Row],[HOURLY PAY]],0)</f>
        <v>0</v>
      </c>
    </row>
    <row r="488" spans="1:23" x14ac:dyDescent="0.35">
      <c r="A488" s="23">
        <v>45334</v>
      </c>
      <c r="B488" s="24" t="s">
        <v>21</v>
      </c>
      <c r="C488" s="25" t="s">
        <v>40</v>
      </c>
      <c r="D488" s="14" t="s">
        <v>30</v>
      </c>
      <c r="E488" s="26">
        <v>55</v>
      </c>
      <c r="F488" s="26">
        <v>11</v>
      </c>
      <c r="G488" s="26">
        <v>0</v>
      </c>
      <c r="H488" s="26">
        <v>2.2000000000000002</v>
      </c>
      <c r="I488" s="26">
        <v>0.18479999999999999</v>
      </c>
      <c r="J488" s="26">
        <v>0</v>
      </c>
      <c r="K488" s="26">
        <v>8.6151999999999997</v>
      </c>
      <c r="L488" s="27">
        <v>1</v>
      </c>
      <c r="M488" s="27">
        <v>55</v>
      </c>
      <c r="N488" s="28">
        <v>1.9166666666666667</v>
      </c>
      <c r="O488" s="26">
        <v>4.0824999999999996</v>
      </c>
      <c r="P488" s="45">
        <v>12.697699999999999</v>
      </c>
      <c r="Q488" s="46">
        <v>12.697699999999999</v>
      </c>
      <c r="R488" s="27">
        <v>1</v>
      </c>
      <c r="S488" s="34">
        <v>1</v>
      </c>
      <c r="T488" s="20">
        <v>0</v>
      </c>
      <c r="U488" s="21" t="s">
        <v>34</v>
      </c>
      <c r="V488" s="22">
        <f>IFERROR(RAW[[#This Row],[ACTUAL GROSS]]/RAW[[#This Row],[CONVERTED]],0)</f>
        <v>6.6248869565217383</v>
      </c>
      <c r="W488" s="22">
        <f>IFERROR(RAW[[#This Row],[SALES]]/RAW[[#This Row],[HOURLY PAY]],0)</f>
        <v>13.472137170851196</v>
      </c>
    </row>
    <row r="489" spans="1:23" x14ac:dyDescent="0.35">
      <c r="A489" s="23">
        <v>45334</v>
      </c>
      <c r="B489" s="24" t="s">
        <v>25</v>
      </c>
      <c r="C489" s="25" t="s">
        <v>40</v>
      </c>
      <c r="D489" s="14" t="s">
        <v>30</v>
      </c>
      <c r="E489" s="26">
        <v>1041.5</v>
      </c>
      <c r="F489" s="26">
        <v>177.22</v>
      </c>
      <c r="G489" s="26">
        <v>0</v>
      </c>
      <c r="H489" s="26">
        <v>41.660000000000004</v>
      </c>
      <c r="I489" s="26">
        <v>2.9772959999999999</v>
      </c>
      <c r="J489" s="26">
        <v>0</v>
      </c>
      <c r="K489" s="26">
        <v>132.58270399999998</v>
      </c>
      <c r="L489" s="27">
        <v>4</v>
      </c>
      <c r="M489" s="27">
        <v>23</v>
      </c>
      <c r="N489" s="28">
        <v>4.3833333333333337</v>
      </c>
      <c r="O489" s="26">
        <v>9.3365000000000009</v>
      </c>
      <c r="P489" s="45">
        <v>141.91920399999998</v>
      </c>
      <c r="Q489" s="46">
        <v>141.91920399999998</v>
      </c>
      <c r="R489" s="27">
        <v>1</v>
      </c>
      <c r="S489" s="34">
        <v>0</v>
      </c>
      <c r="T489" s="20">
        <v>1</v>
      </c>
      <c r="U489" s="21" t="s">
        <v>34</v>
      </c>
      <c r="V489" s="22">
        <f>IFERROR(RAW[[#This Row],[ACTUAL GROSS]]/RAW[[#This Row],[CONVERTED]],0)</f>
        <v>32.377004714828892</v>
      </c>
      <c r="W489" s="22">
        <f>IFERROR(RAW[[#This Row],[SALES]]/RAW[[#This Row],[HOURLY PAY]],0)</f>
        <v>111.5514379049965</v>
      </c>
    </row>
    <row r="490" spans="1:23" x14ac:dyDescent="0.35">
      <c r="A490" s="23">
        <v>45335</v>
      </c>
      <c r="B490" s="24" t="s">
        <v>21</v>
      </c>
      <c r="C490" s="25" t="s">
        <v>40</v>
      </c>
      <c r="D490" s="14" t="s">
        <v>31</v>
      </c>
      <c r="E490" s="26">
        <v>0</v>
      </c>
      <c r="F490" s="26">
        <v>0</v>
      </c>
      <c r="G490" s="26">
        <v>0</v>
      </c>
      <c r="H490" s="26">
        <v>0</v>
      </c>
      <c r="I490" s="26">
        <v>0</v>
      </c>
      <c r="J490" s="26">
        <v>0</v>
      </c>
      <c r="K490" s="26">
        <v>0</v>
      </c>
      <c r="L490" s="27">
        <v>0</v>
      </c>
      <c r="M490" s="27">
        <v>0</v>
      </c>
      <c r="N490" s="28">
        <v>0</v>
      </c>
      <c r="O490" s="26">
        <v>0</v>
      </c>
      <c r="P490" s="45">
        <v>0</v>
      </c>
      <c r="Q490" s="46">
        <v>0</v>
      </c>
      <c r="R490" s="27">
        <v>0</v>
      </c>
      <c r="S490" s="34">
        <v>0</v>
      </c>
      <c r="T490" s="20">
        <v>0</v>
      </c>
      <c r="U490" s="21" t="s">
        <v>24</v>
      </c>
      <c r="V490" s="22">
        <f>IFERROR(RAW[[#This Row],[ACTUAL GROSS]]/RAW[[#This Row],[CONVERTED]],0)</f>
        <v>0</v>
      </c>
      <c r="W490" s="22">
        <f>IFERROR(RAW[[#This Row],[SALES]]/RAW[[#This Row],[HOURLY PAY]],0)</f>
        <v>0</v>
      </c>
    </row>
    <row r="491" spans="1:23" x14ac:dyDescent="0.35">
      <c r="A491" s="23">
        <v>45335</v>
      </c>
      <c r="B491" s="24" t="s">
        <v>25</v>
      </c>
      <c r="C491" s="25" t="s">
        <v>40</v>
      </c>
      <c r="D491" s="14" t="s">
        <v>31</v>
      </c>
      <c r="E491" s="26">
        <v>0</v>
      </c>
      <c r="F491" s="26">
        <v>0</v>
      </c>
      <c r="G491" s="26">
        <v>0</v>
      </c>
      <c r="H491" s="26">
        <v>0</v>
      </c>
      <c r="I491" s="26">
        <v>0</v>
      </c>
      <c r="J491" s="26">
        <v>0</v>
      </c>
      <c r="K491" s="26">
        <v>0</v>
      </c>
      <c r="L491" s="27">
        <v>0</v>
      </c>
      <c r="M491" s="27">
        <v>0</v>
      </c>
      <c r="N491" s="28">
        <v>0</v>
      </c>
      <c r="O491" s="26">
        <v>0</v>
      </c>
      <c r="P491" s="45">
        <v>0</v>
      </c>
      <c r="Q491" s="46">
        <v>0</v>
      </c>
      <c r="R491" s="27">
        <v>0</v>
      </c>
      <c r="S491" s="34">
        <v>0</v>
      </c>
      <c r="T491" s="20">
        <v>0</v>
      </c>
      <c r="U491" s="21" t="s">
        <v>24</v>
      </c>
      <c r="V491" s="22">
        <f>IFERROR(RAW[[#This Row],[ACTUAL GROSS]]/RAW[[#This Row],[CONVERTED]],0)</f>
        <v>0</v>
      </c>
      <c r="W491" s="22">
        <f>IFERROR(RAW[[#This Row],[SALES]]/RAW[[#This Row],[HOURLY PAY]],0)</f>
        <v>0</v>
      </c>
    </row>
    <row r="492" spans="1:23" s="48" customFormat="1" x14ac:dyDescent="0.35">
      <c r="A492" s="23">
        <v>45336</v>
      </c>
      <c r="B492" s="24" t="s">
        <v>21</v>
      </c>
      <c r="C492" s="25" t="s">
        <v>40</v>
      </c>
      <c r="D492" s="14" t="s">
        <v>23</v>
      </c>
      <c r="E492" s="26">
        <v>0</v>
      </c>
      <c r="F492" s="26">
        <v>0</v>
      </c>
      <c r="G492" s="26">
        <v>0</v>
      </c>
      <c r="H492" s="26">
        <v>0</v>
      </c>
      <c r="I492" s="26">
        <v>0</v>
      </c>
      <c r="J492" s="26">
        <v>0</v>
      </c>
      <c r="K492" s="26">
        <v>0</v>
      </c>
      <c r="L492" s="27">
        <v>0</v>
      </c>
      <c r="M492" s="27">
        <v>0</v>
      </c>
      <c r="N492" s="28">
        <v>0</v>
      </c>
      <c r="O492" s="26">
        <v>0</v>
      </c>
      <c r="P492" s="26">
        <v>0</v>
      </c>
      <c r="Q492" s="33">
        <v>0</v>
      </c>
      <c r="R492" s="34">
        <v>0</v>
      </c>
      <c r="S492" s="34">
        <v>0</v>
      </c>
      <c r="T492" s="20">
        <v>0</v>
      </c>
      <c r="U492" s="21" t="s">
        <v>24</v>
      </c>
      <c r="V492" s="238">
        <f>IFERROR(RAW[[#This Row],[ACTUAL GROSS]]/RAW[[#This Row],[CONVERTED]],0)</f>
        <v>0</v>
      </c>
      <c r="W492" s="238">
        <f>IFERROR(RAW[[#This Row],[SALES]]/RAW[[#This Row],[HOURLY PAY]],0)</f>
        <v>0</v>
      </c>
    </row>
    <row r="493" spans="1:23" x14ac:dyDescent="0.35">
      <c r="A493" s="23">
        <v>45336</v>
      </c>
      <c r="B493" s="24" t="s">
        <v>25</v>
      </c>
      <c r="C493" s="25" t="s">
        <v>40</v>
      </c>
      <c r="D493" s="14" t="s">
        <v>23</v>
      </c>
      <c r="E493" s="26">
        <v>2119</v>
      </c>
      <c r="F493" s="26">
        <v>265.49</v>
      </c>
      <c r="G493" s="26">
        <v>183</v>
      </c>
      <c r="H493" s="26">
        <v>84.76</v>
      </c>
      <c r="I493" s="26">
        <v>4.4602319999999995</v>
      </c>
      <c r="J493" s="26">
        <v>21.2</v>
      </c>
      <c r="K493" s="26">
        <v>176.269768</v>
      </c>
      <c r="L493" s="27">
        <v>6</v>
      </c>
      <c r="M493" s="27">
        <v>28</v>
      </c>
      <c r="N493" s="28">
        <v>6.4666666666666668</v>
      </c>
      <c r="O493" s="26">
        <v>13.773999999999999</v>
      </c>
      <c r="P493" s="26">
        <v>211.24376799999999</v>
      </c>
      <c r="Q493" s="33">
        <v>373.043768</v>
      </c>
      <c r="R493" s="34">
        <v>1</v>
      </c>
      <c r="S493" s="34">
        <v>0</v>
      </c>
      <c r="T493" s="20">
        <v>0</v>
      </c>
      <c r="U493" s="21" t="s">
        <v>24</v>
      </c>
      <c r="V493" s="22">
        <f>IFERROR(RAW[[#This Row],[ACTUAL GROSS]]/RAW[[#This Row],[CONVERTED]],0)</f>
        <v>57.687180618556702</v>
      </c>
      <c r="W493" s="22">
        <f>IFERROR(RAW[[#This Row],[SALES]]/RAW[[#This Row],[HOURLY PAY]],0)</f>
        <v>153.84056918832584</v>
      </c>
    </row>
    <row r="494" spans="1:23" x14ac:dyDescent="0.35">
      <c r="A494" s="23">
        <v>45337</v>
      </c>
      <c r="B494" s="24" t="s">
        <v>21</v>
      </c>
      <c r="C494" s="25" t="s">
        <v>40</v>
      </c>
      <c r="D494" s="14" t="s">
        <v>26</v>
      </c>
      <c r="E494" s="26">
        <v>0</v>
      </c>
      <c r="F494" s="26">
        <v>0</v>
      </c>
      <c r="G494" s="26">
        <v>0</v>
      </c>
      <c r="H494" s="26">
        <v>0</v>
      </c>
      <c r="I494" s="26">
        <v>0</v>
      </c>
      <c r="J494" s="26">
        <v>0</v>
      </c>
      <c r="K494" s="26">
        <v>0</v>
      </c>
      <c r="L494" s="27">
        <v>0</v>
      </c>
      <c r="M494" s="27">
        <v>0</v>
      </c>
      <c r="N494" s="28">
        <v>0</v>
      </c>
      <c r="O494" s="26">
        <v>0</v>
      </c>
      <c r="P494" s="26">
        <v>0</v>
      </c>
      <c r="Q494" s="33">
        <v>0</v>
      </c>
      <c r="R494" s="34">
        <v>0</v>
      </c>
      <c r="S494" s="34">
        <v>0</v>
      </c>
      <c r="T494" s="20">
        <v>0</v>
      </c>
      <c r="U494" s="21" t="s">
        <v>24</v>
      </c>
      <c r="V494" s="22">
        <f>IFERROR(RAW[[#This Row],[ACTUAL GROSS]]/RAW[[#This Row],[CONVERTED]],0)</f>
        <v>0</v>
      </c>
      <c r="W494" s="22">
        <f>IFERROR(RAW[[#This Row],[SALES]]/RAW[[#This Row],[HOURLY PAY]],0)</f>
        <v>0</v>
      </c>
    </row>
    <row r="495" spans="1:23" x14ac:dyDescent="0.35">
      <c r="A495" s="23">
        <v>45337</v>
      </c>
      <c r="B495" s="24" t="s">
        <v>25</v>
      </c>
      <c r="C495" s="25" t="s">
        <v>40</v>
      </c>
      <c r="D495" s="14" t="s">
        <v>26</v>
      </c>
      <c r="E495" s="26">
        <v>1197</v>
      </c>
      <c r="F495" s="26">
        <v>200.31</v>
      </c>
      <c r="G495" s="26">
        <v>47</v>
      </c>
      <c r="H495" s="26">
        <v>47.88</v>
      </c>
      <c r="I495" s="26">
        <v>3.365208</v>
      </c>
      <c r="J495" s="26">
        <v>5.12</v>
      </c>
      <c r="K495" s="26">
        <v>149.06479200000001</v>
      </c>
      <c r="L495" s="27">
        <v>7</v>
      </c>
      <c r="M495" s="27">
        <v>3</v>
      </c>
      <c r="N495" s="28">
        <v>7.05</v>
      </c>
      <c r="O495" s="26">
        <v>15.016499999999999</v>
      </c>
      <c r="P495" s="26">
        <v>169.20129200000002</v>
      </c>
      <c r="Q495" s="33">
        <v>211.08129200000002</v>
      </c>
      <c r="R495" s="34">
        <v>1</v>
      </c>
      <c r="S495" s="34">
        <v>0</v>
      </c>
      <c r="T495" s="20">
        <v>0</v>
      </c>
      <c r="U495" s="21" t="s">
        <v>24</v>
      </c>
      <c r="V495" s="44">
        <f>IFERROR(RAW[[#This Row],[ACTUAL GROSS]]/RAW[[#This Row],[CONVERTED]],0)</f>
        <v>29.940608794326245</v>
      </c>
      <c r="W495" s="22">
        <f>IFERROR(RAW[[#This Row],[SALES]]/RAW[[#This Row],[HOURLY PAY]],0)</f>
        <v>79.712316451902907</v>
      </c>
    </row>
    <row r="496" spans="1:23" x14ac:dyDescent="0.35">
      <c r="A496" s="23">
        <v>45338</v>
      </c>
      <c r="B496" s="24" t="s">
        <v>21</v>
      </c>
      <c r="C496" s="25" t="s">
        <v>40</v>
      </c>
      <c r="D496" s="14" t="s">
        <v>27</v>
      </c>
      <c r="E496" s="26">
        <v>0</v>
      </c>
      <c r="F496" s="26">
        <v>0</v>
      </c>
      <c r="G496" s="26">
        <v>0</v>
      </c>
      <c r="H496" s="26">
        <v>0</v>
      </c>
      <c r="I496" s="26">
        <v>0</v>
      </c>
      <c r="J496" s="26">
        <v>0</v>
      </c>
      <c r="K496" s="26">
        <v>0</v>
      </c>
      <c r="L496" s="27">
        <v>0</v>
      </c>
      <c r="M496" s="27">
        <v>0</v>
      </c>
      <c r="N496" s="28">
        <v>0</v>
      </c>
      <c r="O496" s="26">
        <v>0</v>
      </c>
      <c r="P496" s="26">
        <v>0</v>
      </c>
      <c r="Q496" s="33">
        <v>0</v>
      </c>
      <c r="R496" s="34">
        <v>0</v>
      </c>
      <c r="S496" s="34">
        <v>0</v>
      </c>
      <c r="T496" s="20">
        <v>0</v>
      </c>
      <c r="U496" s="21" t="s">
        <v>24</v>
      </c>
      <c r="V496" s="22">
        <f>IFERROR(RAW[[#This Row],[ACTUAL GROSS]]/RAW[[#This Row],[CONVERTED]],0)</f>
        <v>0</v>
      </c>
      <c r="W496" s="22">
        <f>IFERROR(RAW[[#This Row],[SALES]]/RAW[[#This Row],[HOURLY PAY]],0)</f>
        <v>0</v>
      </c>
    </row>
    <row r="497" spans="1:23" x14ac:dyDescent="0.35">
      <c r="A497" s="23">
        <v>45338</v>
      </c>
      <c r="B497" s="24" t="s">
        <v>25</v>
      </c>
      <c r="C497" s="25" t="s">
        <v>40</v>
      </c>
      <c r="D497" s="14" t="s">
        <v>27</v>
      </c>
      <c r="E497" s="26">
        <v>0</v>
      </c>
      <c r="F497" s="26">
        <v>0</v>
      </c>
      <c r="G497" s="26">
        <v>0</v>
      </c>
      <c r="H497" s="26">
        <v>0</v>
      </c>
      <c r="I497" s="26">
        <v>0</v>
      </c>
      <c r="J497" s="26">
        <v>0</v>
      </c>
      <c r="K497" s="26">
        <v>0</v>
      </c>
      <c r="L497" s="27">
        <v>0</v>
      </c>
      <c r="M497" s="27">
        <v>0</v>
      </c>
      <c r="N497" s="28">
        <v>0</v>
      </c>
      <c r="O497" s="26">
        <v>0</v>
      </c>
      <c r="P497" s="26">
        <v>0</v>
      </c>
      <c r="Q497" s="33">
        <v>0</v>
      </c>
      <c r="R497" s="34">
        <v>0</v>
      </c>
      <c r="S497" s="34">
        <v>0</v>
      </c>
      <c r="T497" s="20">
        <v>0</v>
      </c>
      <c r="U497" s="21" t="s">
        <v>24</v>
      </c>
      <c r="V497" s="31">
        <f>IFERROR(RAW[[#This Row],[ACTUAL GROSS]]/RAW[[#This Row],[CONVERTED]],0)</f>
        <v>0</v>
      </c>
      <c r="W497" s="22">
        <f>IFERROR(RAW[[#This Row],[SALES]]/RAW[[#This Row],[HOURLY PAY]],0)</f>
        <v>0</v>
      </c>
    </row>
    <row r="498" spans="1:23" x14ac:dyDescent="0.35">
      <c r="A498" s="23">
        <v>45339</v>
      </c>
      <c r="B498" s="24" t="s">
        <v>21</v>
      </c>
      <c r="C498" s="25" t="s">
        <v>40</v>
      </c>
      <c r="D498" s="14" t="s">
        <v>28</v>
      </c>
      <c r="E498" s="26">
        <v>1085</v>
      </c>
      <c r="F498" s="26">
        <v>193.89</v>
      </c>
      <c r="G498" s="26">
        <v>5</v>
      </c>
      <c r="H498" s="26">
        <v>43.4</v>
      </c>
      <c r="I498" s="26">
        <v>3.2573519999999996</v>
      </c>
      <c r="J498" s="26">
        <v>0.56000000000000005</v>
      </c>
      <c r="K498" s="26">
        <v>147.23264799999998</v>
      </c>
      <c r="L498" s="27">
        <v>5</v>
      </c>
      <c r="M498" s="27">
        <v>16</v>
      </c>
      <c r="N498" s="28">
        <v>5.2666666666666666</v>
      </c>
      <c r="O498" s="26">
        <v>11.218</v>
      </c>
      <c r="P498" s="26">
        <v>159.01064799999997</v>
      </c>
      <c r="Q498" s="33">
        <v>163.45064799999997</v>
      </c>
      <c r="R498" s="34">
        <v>1</v>
      </c>
      <c r="S498" s="34">
        <v>1</v>
      </c>
      <c r="T498" s="20">
        <v>0</v>
      </c>
      <c r="U498" s="21" t="s">
        <v>34</v>
      </c>
      <c r="V498" s="22">
        <f>IFERROR(RAW[[#This Row],[ACTUAL GROSS]]/RAW[[#This Row],[CONVERTED]],0)</f>
        <v>31.034933164556957</v>
      </c>
      <c r="W498" s="22">
        <f>IFERROR(RAW[[#This Row],[SALES]]/RAW[[#This Row],[HOURLY PAY]],0)</f>
        <v>96.719557853449814</v>
      </c>
    </row>
    <row r="499" spans="1:23" x14ac:dyDescent="0.35">
      <c r="A499" s="23">
        <v>45339</v>
      </c>
      <c r="B499" s="24" t="s">
        <v>25</v>
      </c>
      <c r="C499" s="25" t="s">
        <v>40</v>
      </c>
      <c r="D499" s="14" t="s">
        <v>28</v>
      </c>
      <c r="E499" s="26">
        <v>1526.5</v>
      </c>
      <c r="F499" s="26">
        <v>293.52</v>
      </c>
      <c r="G499" s="26">
        <v>0</v>
      </c>
      <c r="H499" s="26">
        <v>61.06</v>
      </c>
      <c r="I499" s="26">
        <v>4.9311359999999995</v>
      </c>
      <c r="J499" s="26">
        <v>0</v>
      </c>
      <c r="K499" s="26">
        <v>227.528864</v>
      </c>
      <c r="L499" s="27">
        <v>5</v>
      </c>
      <c r="M499" s="27">
        <v>6</v>
      </c>
      <c r="N499" s="28">
        <v>5.0999999999999996</v>
      </c>
      <c r="O499" s="26">
        <v>10.863</v>
      </c>
      <c r="P499" s="26">
        <v>238.391864</v>
      </c>
      <c r="Q499" s="33">
        <v>238.391864</v>
      </c>
      <c r="R499" s="34">
        <v>1</v>
      </c>
      <c r="S499" s="34">
        <v>0</v>
      </c>
      <c r="T499" s="20">
        <v>1</v>
      </c>
      <c r="U499" s="21" t="s">
        <v>34</v>
      </c>
      <c r="V499" s="22">
        <f>IFERROR(RAW[[#This Row],[ACTUAL GROSS]]/RAW[[#This Row],[CONVERTED]],0)</f>
        <v>46.743502745098041</v>
      </c>
      <c r="W499" s="22">
        <f>IFERROR(RAW[[#This Row],[SALES]]/RAW[[#This Row],[HOURLY PAY]],0)</f>
        <v>140.52287581699346</v>
      </c>
    </row>
    <row r="500" spans="1:23" x14ac:dyDescent="0.35">
      <c r="A500" s="23">
        <v>45340</v>
      </c>
      <c r="B500" s="24" t="s">
        <v>21</v>
      </c>
      <c r="C500" s="25" t="s">
        <v>40</v>
      </c>
      <c r="D500" s="14" t="s">
        <v>29</v>
      </c>
      <c r="E500" s="26">
        <v>779</v>
      </c>
      <c r="F500" s="26">
        <v>137.66</v>
      </c>
      <c r="G500" s="26">
        <v>20</v>
      </c>
      <c r="H500" s="26">
        <v>31.16</v>
      </c>
      <c r="I500" s="26">
        <v>2.3126879999999996</v>
      </c>
      <c r="J500" s="26">
        <v>5.4</v>
      </c>
      <c r="K500" s="26">
        <v>104.18731199999999</v>
      </c>
      <c r="L500" s="27">
        <v>4</v>
      </c>
      <c r="M500" s="27">
        <v>40</v>
      </c>
      <c r="N500" s="28">
        <v>4.666666666666667</v>
      </c>
      <c r="O500" s="26">
        <v>9.94</v>
      </c>
      <c r="P500" s="26">
        <v>119.52731199999999</v>
      </c>
      <c r="Q500" s="33">
        <v>134.12731199999999</v>
      </c>
      <c r="R500" s="34">
        <v>1</v>
      </c>
      <c r="S500" s="34">
        <v>1</v>
      </c>
      <c r="T500" s="20">
        <v>0</v>
      </c>
      <c r="U500" s="21" t="s">
        <v>34</v>
      </c>
      <c r="V500" s="22">
        <f>IFERROR(RAW[[#This Row],[ACTUAL GROSS]]/RAW[[#This Row],[CONVERTED]],0)</f>
        <v>28.741566857142853</v>
      </c>
      <c r="W500" s="22">
        <f>IFERROR(RAW[[#This Row],[SALES]]/RAW[[#This Row],[HOURLY PAY]],0)</f>
        <v>78.370221327967812</v>
      </c>
    </row>
    <row r="501" spans="1:23" x14ac:dyDescent="0.35">
      <c r="A501" s="23">
        <v>45340</v>
      </c>
      <c r="B501" s="24" t="s">
        <v>25</v>
      </c>
      <c r="C501" s="25" t="s">
        <v>40</v>
      </c>
      <c r="D501" s="14" t="s">
        <v>29</v>
      </c>
      <c r="E501" s="26">
        <v>1245</v>
      </c>
      <c r="F501" s="26">
        <v>254.37</v>
      </c>
      <c r="G501" s="26">
        <v>25</v>
      </c>
      <c r="H501" s="26">
        <v>49.800000000000004</v>
      </c>
      <c r="I501" s="26">
        <v>4.2734160000000001</v>
      </c>
      <c r="J501" s="26">
        <v>1.1200000000000001</v>
      </c>
      <c r="K501" s="26">
        <v>200.296584</v>
      </c>
      <c r="L501" s="27">
        <v>4</v>
      </c>
      <c r="M501" s="27">
        <v>35</v>
      </c>
      <c r="N501" s="28">
        <v>4.583333333333333</v>
      </c>
      <c r="O501" s="26">
        <v>9.7624999999999993</v>
      </c>
      <c r="P501" s="26">
        <v>211.17908399999999</v>
      </c>
      <c r="Q501" s="33">
        <v>235.05908399999998</v>
      </c>
      <c r="R501" s="34">
        <v>1</v>
      </c>
      <c r="S501" s="34">
        <v>0</v>
      </c>
      <c r="T501" s="20">
        <v>1</v>
      </c>
      <c r="U501" s="21" t="s">
        <v>34</v>
      </c>
      <c r="V501" s="22">
        <f>IFERROR(RAW[[#This Row],[ACTUAL GROSS]]/RAW[[#This Row],[CONVERTED]],0)</f>
        <v>51.285618327272729</v>
      </c>
      <c r="W501" s="22">
        <f>IFERROR(RAW[[#This Row],[SALES]]/RAW[[#This Row],[HOURLY PAY]],0)</f>
        <v>127.52880921895007</v>
      </c>
    </row>
    <row r="502" spans="1:23" x14ac:dyDescent="0.35">
      <c r="A502" s="23">
        <v>45341</v>
      </c>
      <c r="B502" s="24" t="s">
        <v>21</v>
      </c>
      <c r="C502" s="25" t="s">
        <v>40</v>
      </c>
      <c r="D502" s="14" t="s">
        <v>30</v>
      </c>
      <c r="E502" s="26">
        <v>566</v>
      </c>
      <c r="F502" s="26">
        <v>69.63</v>
      </c>
      <c r="G502" s="26">
        <v>34</v>
      </c>
      <c r="H502" s="26">
        <v>22.64</v>
      </c>
      <c r="I502" s="26">
        <v>1.1697839999999999</v>
      </c>
      <c r="J502" s="26">
        <v>9.84</v>
      </c>
      <c r="K502" s="26">
        <v>45.820215999999995</v>
      </c>
      <c r="L502" s="27">
        <v>4</v>
      </c>
      <c r="M502" s="27">
        <v>0</v>
      </c>
      <c r="N502" s="28">
        <v>4</v>
      </c>
      <c r="O502" s="26">
        <v>8.52</v>
      </c>
      <c r="P502" s="26">
        <v>64.180215999999987</v>
      </c>
      <c r="Q502" s="33">
        <v>88.340215999999984</v>
      </c>
      <c r="R502" s="34">
        <v>1</v>
      </c>
      <c r="S502" s="34">
        <v>1</v>
      </c>
      <c r="T502" s="20">
        <v>0</v>
      </c>
      <c r="U502" s="21" t="s">
        <v>34</v>
      </c>
      <c r="V502" s="22">
        <f>IFERROR(RAW[[#This Row],[ACTUAL GROSS]]/RAW[[#This Row],[CONVERTED]],0)</f>
        <v>22.085053999999996</v>
      </c>
      <c r="W502" s="22">
        <f>IFERROR(RAW[[#This Row],[SALES]]/RAW[[#This Row],[HOURLY PAY]],0)</f>
        <v>66.431924882629104</v>
      </c>
    </row>
    <row r="503" spans="1:23" x14ac:dyDescent="0.35">
      <c r="A503" s="23">
        <v>45341</v>
      </c>
      <c r="B503" s="24" t="s">
        <v>25</v>
      </c>
      <c r="C503" s="25" t="s">
        <v>40</v>
      </c>
      <c r="D503" s="14" t="s">
        <v>30</v>
      </c>
      <c r="E503" s="26">
        <v>1027.5</v>
      </c>
      <c r="F503" s="26">
        <v>196.57</v>
      </c>
      <c r="G503" s="26">
        <v>16</v>
      </c>
      <c r="H503" s="26">
        <v>41.1</v>
      </c>
      <c r="I503" s="26">
        <v>3.3023759999999998</v>
      </c>
      <c r="J503" s="26">
        <v>5.84</v>
      </c>
      <c r="K503" s="26">
        <v>152.16762399999999</v>
      </c>
      <c r="L503" s="27">
        <v>4</v>
      </c>
      <c r="M503" s="27">
        <v>58</v>
      </c>
      <c r="N503" s="28">
        <v>4.9666666666666668</v>
      </c>
      <c r="O503" s="26">
        <v>10.578999999999999</v>
      </c>
      <c r="P503" s="26">
        <v>168.586624</v>
      </c>
      <c r="Q503" s="33">
        <v>178.746624</v>
      </c>
      <c r="R503" s="34">
        <v>1</v>
      </c>
      <c r="S503" s="34">
        <v>0</v>
      </c>
      <c r="T503" s="20">
        <v>1</v>
      </c>
      <c r="U503" s="21" t="s">
        <v>34</v>
      </c>
      <c r="V503" s="22">
        <f>IFERROR(RAW[[#This Row],[ACTUAL GROSS]]/RAW[[#This Row],[CONVERTED]],0)</f>
        <v>35.989253154362416</v>
      </c>
      <c r="W503" s="22">
        <f>IFERROR(RAW[[#This Row],[SALES]]/RAW[[#This Row],[HOURLY PAY]],0)</f>
        <v>97.126382455808695</v>
      </c>
    </row>
    <row r="504" spans="1:23" x14ac:dyDescent="0.35">
      <c r="A504" s="23">
        <v>45342</v>
      </c>
      <c r="B504" s="24" t="s">
        <v>21</v>
      </c>
      <c r="C504" s="25" t="s">
        <v>40</v>
      </c>
      <c r="D504" s="14" t="s">
        <v>31</v>
      </c>
      <c r="E504" s="26">
        <v>0</v>
      </c>
      <c r="F504" s="26">
        <v>0</v>
      </c>
      <c r="G504" s="26">
        <v>0</v>
      </c>
      <c r="H504" s="26">
        <v>0</v>
      </c>
      <c r="I504" s="26">
        <v>0</v>
      </c>
      <c r="J504" s="26">
        <v>0</v>
      </c>
      <c r="K504" s="26">
        <v>0</v>
      </c>
      <c r="L504" s="27">
        <v>0</v>
      </c>
      <c r="M504" s="27">
        <v>0</v>
      </c>
      <c r="N504" s="28">
        <v>0</v>
      </c>
      <c r="O504" s="26">
        <v>0</v>
      </c>
      <c r="P504" s="26">
        <v>0</v>
      </c>
      <c r="Q504" s="33">
        <v>0</v>
      </c>
      <c r="R504" s="34">
        <v>0</v>
      </c>
      <c r="S504" s="34">
        <v>0</v>
      </c>
      <c r="T504" s="20">
        <v>0</v>
      </c>
      <c r="U504" s="21" t="s">
        <v>24</v>
      </c>
      <c r="V504" s="22">
        <f>IFERROR(RAW[[#This Row],[ACTUAL GROSS]]/RAW[[#This Row],[CONVERTED]],0)</f>
        <v>0</v>
      </c>
      <c r="W504" s="22">
        <f>IFERROR(RAW[[#This Row],[SALES]]/RAW[[#This Row],[HOURLY PAY]],0)</f>
        <v>0</v>
      </c>
    </row>
    <row r="505" spans="1:23" x14ac:dyDescent="0.35">
      <c r="A505" s="23">
        <v>45342</v>
      </c>
      <c r="B505" s="24" t="s">
        <v>25</v>
      </c>
      <c r="C505" s="25" t="s">
        <v>40</v>
      </c>
      <c r="D505" s="14" t="s">
        <v>31</v>
      </c>
      <c r="E505" s="26">
        <v>0</v>
      </c>
      <c r="F505" s="26">
        <v>0</v>
      </c>
      <c r="G505" s="26">
        <v>0</v>
      </c>
      <c r="H505" s="26">
        <v>0</v>
      </c>
      <c r="I505" s="26">
        <v>0</v>
      </c>
      <c r="J505" s="26">
        <v>0</v>
      </c>
      <c r="K505" s="26">
        <v>0</v>
      </c>
      <c r="L505" s="27">
        <v>0</v>
      </c>
      <c r="M505" s="27">
        <v>0</v>
      </c>
      <c r="N505" s="28">
        <v>0</v>
      </c>
      <c r="O505" s="26">
        <v>0</v>
      </c>
      <c r="P505" s="26">
        <v>0</v>
      </c>
      <c r="Q505" s="33">
        <v>0</v>
      </c>
      <c r="R505" s="34">
        <v>0</v>
      </c>
      <c r="S505" s="34">
        <v>0</v>
      </c>
      <c r="T505" s="20">
        <v>0</v>
      </c>
      <c r="U505" s="21" t="s">
        <v>24</v>
      </c>
      <c r="V505" s="22">
        <f>IFERROR(RAW[[#This Row],[ACTUAL GROSS]]/RAW[[#This Row],[CONVERTED]],0)</f>
        <v>0</v>
      </c>
      <c r="W505" s="22">
        <f>IFERROR(RAW[[#This Row],[SALES]]/RAW[[#This Row],[HOURLY PAY]],0)</f>
        <v>0</v>
      </c>
    </row>
    <row r="506" spans="1:23" s="48" customFormat="1" x14ac:dyDescent="0.35">
      <c r="A506" s="23">
        <v>45343</v>
      </c>
      <c r="B506" s="24" t="s">
        <v>21</v>
      </c>
      <c r="C506" s="25" t="s">
        <v>40</v>
      </c>
      <c r="D506" s="14" t="s">
        <v>23</v>
      </c>
      <c r="E506" s="26">
        <v>0</v>
      </c>
      <c r="F506" s="26">
        <v>0</v>
      </c>
      <c r="G506" s="26">
        <v>0</v>
      </c>
      <c r="H506" s="26">
        <v>0</v>
      </c>
      <c r="I506" s="26">
        <v>0</v>
      </c>
      <c r="J506" s="26">
        <v>0</v>
      </c>
      <c r="K506" s="26">
        <v>0</v>
      </c>
      <c r="L506" s="27">
        <v>0</v>
      </c>
      <c r="M506" s="27">
        <v>0</v>
      </c>
      <c r="N506" s="28">
        <v>0</v>
      </c>
      <c r="O506" s="26">
        <v>0</v>
      </c>
      <c r="P506" s="26">
        <v>0</v>
      </c>
      <c r="Q506" s="33">
        <v>0</v>
      </c>
      <c r="R506" s="34">
        <v>0</v>
      </c>
      <c r="S506" s="34">
        <v>0</v>
      </c>
      <c r="T506" s="20">
        <v>0</v>
      </c>
      <c r="U506" s="21" t="s">
        <v>24</v>
      </c>
      <c r="V506" s="238">
        <f>IFERROR(RAW[[#This Row],[ACTUAL GROSS]]/RAW[[#This Row],[CONVERTED]],0)</f>
        <v>0</v>
      </c>
      <c r="W506" s="238">
        <f>IFERROR(RAW[[#This Row],[SALES]]/RAW[[#This Row],[HOURLY PAY]],0)</f>
        <v>0</v>
      </c>
    </row>
    <row r="507" spans="1:23" s="41" customFormat="1" x14ac:dyDescent="0.35">
      <c r="A507" s="23">
        <v>45343</v>
      </c>
      <c r="B507" s="24" t="s">
        <v>25</v>
      </c>
      <c r="C507" s="25" t="s">
        <v>40</v>
      </c>
      <c r="D507" s="14" t="s">
        <v>23</v>
      </c>
      <c r="E507" s="26">
        <v>0</v>
      </c>
      <c r="F507" s="26">
        <v>0</v>
      </c>
      <c r="G507" s="26">
        <v>0</v>
      </c>
      <c r="H507" s="26">
        <v>0</v>
      </c>
      <c r="I507" s="26">
        <v>0</v>
      </c>
      <c r="J507" s="26">
        <v>0</v>
      </c>
      <c r="K507" s="26">
        <v>0</v>
      </c>
      <c r="L507" s="27">
        <v>0</v>
      </c>
      <c r="M507" s="27">
        <v>0</v>
      </c>
      <c r="N507" s="28">
        <v>0</v>
      </c>
      <c r="O507" s="26">
        <v>0</v>
      </c>
      <c r="P507" s="26">
        <v>0</v>
      </c>
      <c r="Q507" s="33">
        <v>0</v>
      </c>
      <c r="R507" s="34">
        <v>0</v>
      </c>
      <c r="S507" s="34">
        <v>0</v>
      </c>
      <c r="T507" s="20">
        <v>0</v>
      </c>
      <c r="U507" s="21" t="s">
        <v>24</v>
      </c>
      <c r="V507" s="22">
        <f>IFERROR(RAW[[#This Row],[ACTUAL GROSS]]/RAW[[#This Row],[CONVERTED]],0)</f>
        <v>0</v>
      </c>
      <c r="W507" s="237">
        <f>IFERROR(RAW[[#This Row],[SALES]]/RAW[[#This Row],[HOURLY PAY]],0)</f>
        <v>0</v>
      </c>
    </row>
    <row r="508" spans="1:23" x14ac:dyDescent="0.35">
      <c r="A508" s="23">
        <v>45344</v>
      </c>
      <c r="B508" s="24" t="s">
        <v>21</v>
      </c>
      <c r="C508" s="25" t="s">
        <v>40</v>
      </c>
      <c r="D508" s="14" t="s">
        <v>26</v>
      </c>
      <c r="E508" s="26">
        <v>0</v>
      </c>
      <c r="F508" s="26">
        <v>0</v>
      </c>
      <c r="G508" s="26">
        <v>0</v>
      </c>
      <c r="H508" s="26">
        <v>0</v>
      </c>
      <c r="I508" s="26">
        <v>0</v>
      </c>
      <c r="J508" s="26">
        <v>0</v>
      </c>
      <c r="K508" s="26">
        <v>0</v>
      </c>
      <c r="L508" s="27">
        <v>0</v>
      </c>
      <c r="M508" s="27">
        <v>0</v>
      </c>
      <c r="N508" s="28">
        <v>0</v>
      </c>
      <c r="O508" s="26">
        <v>0</v>
      </c>
      <c r="P508" s="26">
        <v>0</v>
      </c>
      <c r="Q508" s="33">
        <v>0</v>
      </c>
      <c r="R508" s="34">
        <v>0</v>
      </c>
      <c r="S508" s="34">
        <v>0</v>
      </c>
      <c r="T508" s="20">
        <v>0</v>
      </c>
      <c r="U508" s="21" t="s">
        <v>24</v>
      </c>
      <c r="V508" s="22">
        <f>IFERROR(RAW[[#This Row],[ACTUAL GROSS]]/RAW[[#This Row],[CONVERTED]],0)</f>
        <v>0</v>
      </c>
      <c r="W508" s="22">
        <f>IFERROR(RAW[[#This Row],[SALES]]/RAW[[#This Row],[HOURLY PAY]],0)</f>
        <v>0</v>
      </c>
    </row>
    <row r="509" spans="1:23" x14ac:dyDescent="0.35">
      <c r="A509" s="23">
        <v>45344</v>
      </c>
      <c r="B509" s="24" t="s">
        <v>25</v>
      </c>
      <c r="C509" s="25" t="s">
        <v>40</v>
      </c>
      <c r="D509" s="14" t="s">
        <v>26</v>
      </c>
      <c r="E509" s="26">
        <v>0</v>
      </c>
      <c r="F509" s="26">
        <v>0</v>
      </c>
      <c r="G509" s="26">
        <v>0</v>
      </c>
      <c r="H509" s="26">
        <v>0</v>
      </c>
      <c r="I509" s="26">
        <v>0</v>
      </c>
      <c r="J509" s="26">
        <v>0</v>
      </c>
      <c r="K509" s="26">
        <v>0</v>
      </c>
      <c r="L509" s="27">
        <v>0</v>
      </c>
      <c r="M509" s="27">
        <v>0</v>
      </c>
      <c r="N509" s="28">
        <v>0</v>
      </c>
      <c r="O509" s="26">
        <v>0</v>
      </c>
      <c r="P509" s="26">
        <v>0</v>
      </c>
      <c r="Q509" s="33">
        <v>0</v>
      </c>
      <c r="R509" s="34">
        <v>0</v>
      </c>
      <c r="S509" s="34">
        <v>0</v>
      </c>
      <c r="T509" s="20">
        <v>0</v>
      </c>
      <c r="U509" s="21" t="s">
        <v>24</v>
      </c>
      <c r="V509" s="44">
        <f>IFERROR(RAW[[#This Row],[ACTUAL GROSS]]/RAW[[#This Row],[CONVERTED]],0)</f>
        <v>0</v>
      </c>
      <c r="W509" s="22">
        <f>IFERROR(RAW[[#This Row],[SALES]]/RAW[[#This Row],[HOURLY PAY]],0)</f>
        <v>0</v>
      </c>
    </row>
    <row r="510" spans="1:23" x14ac:dyDescent="0.35">
      <c r="A510" s="23">
        <v>45345</v>
      </c>
      <c r="B510" s="24" t="s">
        <v>21</v>
      </c>
      <c r="C510" s="25" t="s">
        <v>40</v>
      </c>
      <c r="D510" s="14" t="s">
        <v>27</v>
      </c>
      <c r="E510" s="26">
        <v>0</v>
      </c>
      <c r="F510" s="26">
        <v>0</v>
      </c>
      <c r="G510" s="26">
        <v>0</v>
      </c>
      <c r="H510" s="26">
        <v>0</v>
      </c>
      <c r="I510" s="26">
        <v>0</v>
      </c>
      <c r="J510" s="26">
        <v>0</v>
      </c>
      <c r="K510" s="26">
        <v>0</v>
      </c>
      <c r="L510" s="27">
        <v>0</v>
      </c>
      <c r="M510" s="27">
        <v>0</v>
      </c>
      <c r="N510" s="28">
        <v>0</v>
      </c>
      <c r="O510" s="26">
        <v>0</v>
      </c>
      <c r="P510" s="26">
        <v>0</v>
      </c>
      <c r="Q510" s="33">
        <v>0</v>
      </c>
      <c r="R510" s="34">
        <v>0</v>
      </c>
      <c r="S510" s="34">
        <v>0</v>
      </c>
      <c r="T510" s="20">
        <v>0</v>
      </c>
      <c r="U510" s="21" t="s">
        <v>24</v>
      </c>
      <c r="V510" s="22">
        <f>IFERROR(RAW[[#This Row],[ACTUAL GROSS]]/RAW[[#This Row],[CONVERTED]],0)</f>
        <v>0</v>
      </c>
      <c r="W510" s="22">
        <f>IFERROR(RAW[[#This Row],[SALES]]/RAW[[#This Row],[HOURLY PAY]],0)</f>
        <v>0</v>
      </c>
    </row>
    <row r="511" spans="1:23" x14ac:dyDescent="0.35">
      <c r="A511" s="23">
        <v>45345</v>
      </c>
      <c r="B511" s="24" t="s">
        <v>25</v>
      </c>
      <c r="C511" s="25" t="s">
        <v>40</v>
      </c>
      <c r="D511" s="14" t="s">
        <v>27</v>
      </c>
      <c r="E511" s="26">
        <v>0</v>
      </c>
      <c r="F511" s="26">
        <v>0</v>
      </c>
      <c r="G511" s="26">
        <v>0</v>
      </c>
      <c r="H511" s="26">
        <v>0</v>
      </c>
      <c r="I511" s="26">
        <v>0</v>
      </c>
      <c r="J511" s="26">
        <v>0</v>
      </c>
      <c r="K511" s="26">
        <v>0</v>
      </c>
      <c r="L511" s="27">
        <v>0</v>
      </c>
      <c r="M511" s="27">
        <v>0</v>
      </c>
      <c r="N511" s="28">
        <v>0</v>
      </c>
      <c r="O511" s="26">
        <v>0</v>
      </c>
      <c r="P511" s="26">
        <v>0</v>
      </c>
      <c r="Q511" s="33">
        <v>0</v>
      </c>
      <c r="R511" s="34">
        <v>0</v>
      </c>
      <c r="S511" s="34">
        <v>0</v>
      </c>
      <c r="T511" s="20">
        <v>0</v>
      </c>
      <c r="U511" s="21" t="s">
        <v>24</v>
      </c>
      <c r="V511" s="31">
        <f>IFERROR(RAW[[#This Row],[ACTUAL GROSS]]/RAW[[#This Row],[CONVERTED]],0)</f>
        <v>0</v>
      </c>
      <c r="W511" s="22">
        <f>IFERROR(RAW[[#This Row],[SALES]]/RAW[[#This Row],[HOURLY PAY]],0)</f>
        <v>0</v>
      </c>
    </row>
    <row r="512" spans="1:23" x14ac:dyDescent="0.35">
      <c r="A512" s="23">
        <v>45346</v>
      </c>
      <c r="B512" s="24" t="s">
        <v>21</v>
      </c>
      <c r="C512" s="25" t="s">
        <v>40</v>
      </c>
      <c r="D512" s="14" t="s">
        <v>28</v>
      </c>
      <c r="E512" s="26">
        <v>0</v>
      </c>
      <c r="F512" s="26">
        <v>0</v>
      </c>
      <c r="G512" s="26">
        <v>0</v>
      </c>
      <c r="H512" s="26">
        <v>0</v>
      </c>
      <c r="I512" s="26">
        <v>0</v>
      </c>
      <c r="J512" s="26">
        <v>0</v>
      </c>
      <c r="K512" s="26">
        <v>0</v>
      </c>
      <c r="L512" s="27">
        <v>0</v>
      </c>
      <c r="M512" s="27">
        <v>0</v>
      </c>
      <c r="N512" s="28">
        <v>0</v>
      </c>
      <c r="O512" s="26">
        <v>0</v>
      </c>
      <c r="P512" s="26">
        <v>0</v>
      </c>
      <c r="Q512" s="33">
        <v>0</v>
      </c>
      <c r="R512" s="34">
        <v>0</v>
      </c>
      <c r="S512" s="34">
        <v>0</v>
      </c>
      <c r="T512" s="20">
        <v>0</v>
      </c>
      <c r="U512" s="21" t="s">
        <v>24</v>
      </c>
      <c r="V512" s="22">
        <f>IFERROR(RAW[[#This Row],[ACTUAL GROSS]]/RAW[[#This Row],[CONVERTED]],0)</f>
        <v>0</v>
      </c>
      <c r="W512" s="22">
        <f>IFERROR(RAW[[#This Row],[SALES]]/RAW[[#This Row],[HOURLY PAY]],0)</f>
        <v>0</v>
      </c>
    </row>
    <row r="513" spans="1:23" x14ac:dyDescent="0.35">
      <c r="A513" s="23">
        <v>45346</v>
      </c>
      <c r="B513" s="24" t="s">
        <v>25</v>
      </c>
      <c r="C513" s="25" t="s">
        <v>40</v>
      </c>
      <c r="D513" s="14" t="s">
        <v>28</v>
      </c>
      <c r="E513" s="26">
        <v>1762</v>
      </c>
      <c r="F513" s="26">
        <v>282.76</v>
      </c>
      <c r="G513" s="26">
        <v>70</v>
      </c>
      <c r="H513" s="26">
        <v>70.48</v>
      </c>
      <c r="I513" s="26">
        <v>4.7503679999999999</v>
      </c>
      <c r="J513" s="26">
        <v>0</v>
      </c>
      <c r="K513" s="26">
        <v>207.52963199999999</v>
      </c>
      <c r="L513" s="27">
        <v>5</v>
      </c>
      <c r="M513" s="27">
        <v>45</v>
      </c>
      <c r="N513" s="28">
        <v>5.75</v>
      </c>
      <c r="O513" s="26">
        <v>12.247499999999999</v>
      </c>
      <c r="P513" s="26">
        <v>219.77713199999999</v>
      </c>
      <c r="Q513" s="33">
        <v>289.77713199999999</v>
      </c>
      <c r="R513" s="34">
        <v>1</v>
      </c>
      <c r="S513" s="34">
        <v>0</v>
      </c>
      <c r="T513" s="20">
        <v>0</v>
      </c>
      <c r="U513" s="21" t="s">
        <v>24</v>
      </c>
      <c r="V513" s="22">
        <f>IFERROR(RAW[[#This Row],[ACTUAL GROSS]]/RAW[[#This Row],[CONVERTED]],0)</f>
        <v>50.39602295652174</v>
      </c>
      <c r="W513" s="22">
        <f>IFERROR(RAW[[#This Row],[SALES]]/RAW[[#This Row],[HOURLY PAY]],0)</f>
        <v>143.86609512145338</v>
      </c>
    </row>
    <row r="514" spans="1:23" x14ac:dyDescent="0.35">
      <c r="A514" s="23">
        <v>45347</v>
      </c>
      <c r="B514" s="24" t="s">
        <v>21</v>
      </c>
      <c r="C514" s="25" t="s">
        <v>40</v>
      </c>
      <c r="D514" s="14" t="s">
        <v>29</v>
      </c>
      <c r="E514" s="26">
        <v>0</v>
      </c>
      <c r="F514" s="26">
        <v>0</v>
      </c>
      <c r="G514" s="26">
        <v>0</v>
      </c>
      <c r="H514" s="26">
        <v>0</v>
      </c>
      <c r="I514" s="26">
        <v>0</v>
      </c>
      <c r="J514" s="26">
        <v>0</v>
      </c>
      <c r="K514" s="26">
        <v>0</v>
      </c>
      <c r="L514" s="27">
        <v>0</v>
      </c>
      <c r="M514" s="27">
        <v>0</v>
      </c>
      <c r="N514" s="28">
        <v>0</v>
      </c>
      <c r="O514" s="26">
        <v>0</v>
      </c>
      <c r="P514" s="26">
        <v>0</v>
      </c>
      <c r="Q514" s="33">
        <v>0</v>
      </c>
      <c r="R514" s="34">
        <v>0</v>
      </c>
      <c r="S514" s="34">
        <v>0</v>
      </c>
      <c r="T514" s="20">
        <v>0</v>
      </c>
      <c r="U514" s="21" t="s">
        <v>24</v>
      </c>
      <c r="V514" s="22">
        <f>IFERROR(RAW[[#This Row],[ACTUAL GROSS]]/RAW[[#This Row],[CONVERTED]],0)</f>
        <v>0</v>
      </c>
      <c r="W514" s="22">
        <f>IFERROR(RAW[[#This Row],[SALES]]/RAW[[#This Row],[HOURLY PAY]],0)</f>
        <v>0</v>
      </c>
    </row>
    <row r="515" spans="1:23" x14ac:dyDescent="0.35">
      <c r="A515" s="23">
        <v>45347</v>
      </c>
      <c r="B515" s="24" t="s">
        <v>25</v>
      </c>
      <c r="C515" s="25" t="s">
        <v>40</v>
      </c>
      <c r="D515" s="14" t="s">
        <v>29</v>
      </c>
      <c r="E515" s="26">
        <v>1062</v>
      </c>
      <c r="F515" s="26">
        <v>173.3</v>
      </c>
      <c r="G515" s="26">
        <v>30</v>
      </c>
      <c r="H515" s="26">
        <v>42.480000000000004</v>
      </c>
      <c r="I515" s="26">
        <v>2.9114399999999998</v>
      </c>
      <c r="J515" s="26">
        <v>9.52</v>
      </c>
      <c r="K515" s="26">
        <v>127.90856000000001</v>
      </c>
      <c r="L515" s="27">
        <v>5</v>
      </c>
      <c r="M515" s="27">
        <v>14</v>
      </c>
      <c r="N515" s="28">
        <v>5.2333333333333334</v>
      </c>
      <c r="O515" s="26">
        <v>11.147</v>
      </c>
      <c r="P515" s="26">
        <v>148.57556</v>
      </c>
      <c r="Q515" s="33">
        <v>169.05556000000001</v>
      </c>
      <c r="R515" s="34">
        <v>1</v>
      </c>
      <c r="S515" s="34">
        <v>0</v>
      </c>
      <c r="T515" s="20">
        <v>0</v>
      </c>
      <c r="U515" s="21" t="s">
        <v>24</v>
      </c>
      <c r="V515" s="22">
        <f>IFERROR(RAW[[#This Row],[ACTUAL GROSS]]/RAW[[#This Row],[CONVERTED]],0)</f>
        <v>32.303610191082804</v>
      </c>
      <c r="W515" s="22">
        <f>IFERROR(RAW[[#This Row],[SALES]]/RAW[[#This Row],[HOURLY PAY]],0)</f>
        <v>95.272270566071583</v>
      </c>
    </row>
    <row r="516" spans="1:23" x14ac:dyDescent="0.35">
      <c r="A516" s="23">
        <v>45348</v>
      </c>
      <c r="B516" s="24" t="s">
        <v>21</v>
      </c>
      <c r="C516" s="25" t="s">
        <v>40</v>
      </c>
      <c r="D516" s="14" t="s">
        <v>30</v>
      </c>
      <c r="E516" s="26">
        <v>451.5</v>
      </c>
      <c r="F516" s="26">
        <v>81.67</v>
      </c>
      <c r="G516" s="26">
        <v>0</v>
      </c>
      <c r="H516" s="26">
        <v>18.059999999999999</v>
      </c>
      <c r="I516" s="26">
        <v>1.3720559999999999</v>
      </c>
      <c r="J516" s="26">
        <v>0</v>
      </c>
      <c r="K516" s="26">
        <v>62.237943999999999</v>
      </c>
      <c r="L516" s="27">
        <v>3</v>
      </c>
      <c r="M516" s="27">
        <v>1</v>
      </c>
      <c r="N516" s="28">
        <v>3.0166666666666666</v>
      </c>
      <c r="O516" s="26">
        <v>6.4254999999999995</v>
      </c>
      <c r="P516" s="26">
        <v>68.663443999999998</v>
      </c>
      <c r="Q516" s="33">
        <v>68.663443999999998</v>
      </c>
      <c r="R516" s="34">
        <v>1</v>
      </c>
      <c r="S516" s="34">
        <v>1</v>
      </c>
      <c r="T516" s="20">
        <v>0</v>
      </c>
      <c r="U516" s="21" t="s">
        <v>34</v>
      </c>
      <c r="V516" s="22">
        <f>IFERROR(RAW[[#This Row],[ACTUAL GROSS]]/RAW[[#This Row],[CONVERTED]],0)</f>
        <v>22.761362651933702</v>
      </c>
      <c r="W516" s="22">
        <f>IFERROR(RAW[[#This Row],[SALES]]/RAW[[#This Row],[HOURLY PAY]],0)</f>
        <v>70.266905299198513</v>
      </c>
    </row>
    <row r="517" spans="1:23" x14ac:dyDescent="0.35">
      <c r="A517" s="23">
        <v>45348</v>
      </c>
      <c r="B517" s="24" t="s">
        <v>25</v>
      </c>
      <c r="C517" s="25" t="s">
        <v>40</v>
      </c>
      <c r="D517" s="14" t="s">
        <v>30</v>
      </c>
      <c r="E517" s="26">
        <v>975</v>
      </c>
      <c r="F517" s="26">
        <v>156.74</v>
      </c>
      <c r="G517" s="26">
        <v>55</v>
      </c>
      <c r="H517" s="26">
        <v>39</v>
      </c>
      <c r="I517" s="26">
        <v>2.633232</v>
      </c>
      <c r="J517" s="26">
        <v>14.56</v>
      </c>
      <c r="K517" s="26">
        <v>115.10676800000002</v>
      </c>
      <c r="L517" s="27">
        <v>5</v>
      </c>
      <c r="M517" s="27">
        <v>26</v>
      </c>
      <c r="N517" s="28">
        <v>5.4333333333333336</v>
      </c>
      <c r="O517" s="26">
        <v>11.573</v>
      </c>
      <c r="P517" s="26">
        <v>141.23976800000003</v>
      </c>
      <c r="Q517" s="33">
        <v>181.67976800000002</v>
      </c>
      <c r="R517" s="34">
        <v>1</v>
      </c>
      <c r="S517" s="34">
        <v>0</v>
      </c>
      <c r="T517" s="20">
        <v>1</v>
      </c>
      <c r="U517" s="21" t="s">
        <v>34</v>
      </c>
      <c r="V517" s="22">
        <f>IFERROR(RAW[[#This Row],[ACTUAL GROSS]]/RAW[[#This Row],[CONVERTED]],0)</f>
        <v>33.43799411042945</v>
      </c>
      <c r="W517" s="22">
        <f>IFERROR(RAW[[#This Row],[SALES]]/RAW[[#This Row],[HOURLY PAY]],0)</f>
        <v>84.24781819752873</v>
      </c>
    </row>
    <row r="518" spans="1:23" x14ac:dyDescent="0.35">
      <c r="A518" s="23">
        <v>45349</v>
      </c>
      <c r="B518" s="24" t="s">
        <v>21</v>
      </c>
      <c r="C518" s="25" t="s">
        <v>40</v>
      </c>
      <c r="D518" s="14" t="s">
        <v>31</v>
      </c>
      <c r="E518" s="26">
        <v>0</v>
      </c>
      <c r="F518" s="26">
        <v>0</v>
      </c>
      <c r="G518" s="26">
        <v>0</v>
      </c>
      <c r="H518" s="26">
        <v>0</v>
      </c>
      <c r="I518" s="26">
        <v>0</v>
      </c>
      <c r="J518" s="26">
        <v>0</v>
      </c>
      <c r="K518" s="26">
        <v>0</v>
      </c>
      <c r="L518" s="27">
        <v>0</v>
      </c>
      <c r="M518" s="27">
        <v>0</v>
      </c>
      <c r="N518" s="28">
        <v>0</v>
      </c>
      <c r="O518" s="26">
        <v>0</v>
      </c>
      <c r="P518" s="26">
        <v>0</v>
      </c>
      <c r="Q518" s="33">
        <v>0</v>
      </c>
      <c r="R518" s="34">
        <v>0</v>
      </c>
      <c r="S518" s="34">
        <v>0</v>
      </c>
      <c r="T518" s="20">
        <v>0</v>
      </c>
      <c r="U518" s="21" t="s">
        <v>24</v>
      </c>
      <c r="V518" s="22">
        <f>IFERROR(RAW[[#This Row],[ACTUAL GROSS]]/RAW[[#This Row],[CONVERTED]],0)</f>
        <v>0</v>
      </c>
      <c r="W518" s="22">
        <f>IFERROR(RAW[[#This Row],[SALES]]/RAW[[#This Row],[HOURLY PAY]],0)</f>
        <v>0</v>
      </c>
    </row>
    <row r="519" spans="1:23" x14ac:dyDescent="0.35">
      <c r="A519" s="23">
        <v>45349</v>
      </c>
      <c r="B519" s="24" t="s">
        <v>25</v>
      </c>
      <c r="C519" s="25" t="s">
        <v>40</v>
      </c>
      <c r="D519" s="14" t="s">
        <v>31</v>
      </c>
      <c r="E519" s="26">
        <v>0</v>
      </c>
      <c r="F519" s="26">
        <v>0</v>
      </c>
      <c r="G519" s="26">
        <v>0</v>
      </c>
      <c r="H519" s="26">
        <v>0</v>
      </c>
      <c r="I519" s="26">
        <v>0</v>
      </c>
      <c r="J519" s="26">
        <v>0</v>
      </c>
      <c r="K519" s="26">
        <v>0</v>
      </c>
      <c r="L519" s="27">
        <v>0</v>
      </c>
      <c r="M519" s="27">
        <v>0</v>
      </c>
      <c r="N519" s="28">
        <v>0</v>
      </c>
      <c r="O519" s="26">
        <v>0</v>
      </c>
      <c r="P519" s="26">
        <v>0</v>
      </c>
      <c r="Q519" s="33">
        <v>0</v>
      </c>
      <c r="R519" s="34">
        <v>0</v>
      </c>
      <c r="S519" s="34">
        <v>0</v>
      </c>
      <c r="T519" s="20">
        <v>0</v>
      </c>
      <c r="U519" s="21" t="s">
        <v>24</v>
      </c>
      <c r="V519" s="22">
        <f>IFERROR(RAW[[#This Row],[ACTUAL GROSS]]/RAW[[#This Row],[CONVERTED]],0)</f>
        <v>0</v>
      </c>
      <c r="W519" s="22">
        <f>IFERROR(RAW[[#This Row],[SALES]]/RAW[[#This Row],[HOURLY PAY]],0)</f>
        <v>0</v>
      </c>
    </row>
    <row r="520" spans="1:23" s="48" customFormat="1" x14ac:dyDescent="0.35">
      <c r="A520" s="23">
        <v>45350</v>
      </c>
      <c r="B520" s="24" t="s">
        <v>21</v>
      </c>
      <c r="C520" s="25" t="s">
        <v>40</v>
      </c>
      <c r="D520" s="14" t="s">
        <v>23</v>
      </c>
      <c r="E520" s="26">
        <v>0</v>
      </c>
      <c r="F520" s="26">
        <v>0</v>
      </c>
      <c r="G520" s="26">
        <v>0</v>
      </c>
      <c r="H520" s="26">
        <v>0</v>
      </c>
      <c r="I520" s="26">
        <v>0</v>
      </c>
      <c r="J520" s="26">
        <v>0</v>
      </c>
      <c r="K520" s="26">
        <v>0</v>
      </c>
      <c r="L520" s="27">
        <v>0</v>
      </c>
      <c r="M520" s="27">
        <v>0</v>
      </c>
      <c r="N520" s="28">
        <v>0</v>
      </c>
      <c r="O520" s="26">
        <v>0</v>
      </c>
      <c r="P520" s="26">
        <v>0</v>
      </c>
      <c r="Q520" s="33">
        <v>0</v>
      </c>
      <c r="R520" s="34">
        <v>0</v>
      </c>
      <c r="S520" s="34">
        <v>0</v>
      </c>
      <c r="T520" s="20">
        <v>0</v>
      </c>
      <c r="U520" s="21" t="s">
        <v>24</v>
      </c>
      <c r="V520" s="238">
        <f>IFERROR(RAW[[#This Row],[ACTUAL GROSS]]/RAW[[#This Row],[CONVERTED]],0)</f>
        <v>0</v>
      </c>
      <c r="W520" s="238">
        <f>IFERROR(RAW[[#This Row],[SALES]]/RAW[[#This Row],[HOURLY PAY]],0)</f>
        <v>0</v>
      </c>
    </row>
    <row r="521" spans="1:23" x14ac:dyDescent="0.35">
      <c r="A521" s="23">
        <v>45350</v>
      </c>
      <c r="B521" s="24" t="s">
        <v>25</v>
      </c>
      <c r="C521" s="25" t="s">
        <v>40</v>
      </c>
      <c r="D521" s="14" t="s">
        <v>23</v>
      </c>
      <c r="E521" s="26">
        <v>992</v>
      </c>
      <c r="F521" s="26">
        <v>195.46</v>
      </c>
      <c r="G521" s="26">
        <v>0</v>
      </c>
      <c r="H521" s="26">
        <v>39.68</v>
      </c>
      <c r="I521" s="26">
        <v>3.283728</v>
      </c>
      <c r="J521" s="26">
        <v>0</v>
      </c>
      <c r="K521" s="26">
        <v>152.496272</v>
      </c>
      <c r="L521" s="27">
        <v>6</v>
      </c>
      <c r="M521" s="27">
        <v>0</v>
      </c>
      <c r="N521" s="28">
        <v>6</v>
      </c>
      <c r="O521" s="26">
        <v>12.78</v>
      </c>
      <c r="P521" s="26">
        <v>165.27627200000001</v>
      </c>
      <c r="Q521" s="33">
        <v>165.27627200000001</v>
      </c>
      <c r="R521" s="34">
        <v>1</v>
      </c>
      <c r="S521" s="34">
        <v>0</v>
      </c>
      <c r="T521" s="20">
        <v>0</v>
      </c>
      <c r="U521" s="21" t="s">
        <v>24</v>
      </c>
      <c r="V521" s="22">
        <f>IFERROR(RAW[[#This Row],[ACTUAL GROSS]]/RAW[[#This Row],[CONVERTED]],0)</f>
        <v>27.546045333333335</v>
      </c>
      <c r="W521" s="22">
        <f>IFERROR(RAW[[#This Row],[SALES]]/RAW[[#This Row],[HOURLY PAY]],0)</f>
        <v>77.62128325508607</v>
      </c>
    </row>
    <row r="522" spans="1:23" x14ac:dyDescent="0.35">
      <c r="A522" s="23">
        <v>45351</v>
      </c>
      <c r="B522" s="24" t="s">
        <v>21</v>
      </c>
      <c r="C522" s="25" t="s">
        <v>40</v>
      </c>
      <c r="D522" s="14" t="s">
        <v>26</v>
      </c>
      <c r="E522" s="26">
        <v>0</v>
      </c>
      <c r="F522" s="26">
        <v>0</v>
      </c>
      <c r="G522" s="26">
        <v>0</v>
      </c>
      <c r="H522" s="26">
        <v>0</v>
      </c>
      <c r="I522" s="26">
        <v>0</v>
      </c>
      <c r="J522" s="26">
        <v>0</v>
      </c>
      <c r="K522" s="26">
        <v>0</v>
      </c>
      <c r="L522" s="27">
        <v>0</v>
      </c>
      <c r="M522" s="27">
        <v>0</v>
      </c>
      <c r="N522" s="28">
        <v>0</v>
      </c>
      <c r="O522" s="26">
        <v>0</v>
      </c>
      <c r="P522" s="26">
        <v>0</v>
      </c>
      <c r="Q522" s="33">
        <v>0</v>
      </c>
      <c r="R522" s="34">
        <v>0</v>
      </c>
      <c r="S522" s="34">
        <v>0</v>
      </c>
      <c r="T522" s="20">
        <v>0</v>
      </c>
      <c r="U522" s="21" t="s">
        <v>24</v>
      </c>
      <c r="V522" s="22">
        <f>IFERROR(RAW[[#This Row],[ACTUAL GROSS]]/RAW[[#This Row],[CONVERTED]],0)</f>
        <v>0</v>
      </c>
      <c r="W522" s="22">
        <f>IFERROR(RAW[[#This Row],[SALES]]/RAW[[#This Row],[HOURLY PAY]],0)</f>
        <v>0</v>
      </c>
    </row>
    <row r="523" spans="1:23" x14ac:dyDescent="0.35">
      <c r="A523" s="23">
        <v>45351</v>
      </c>
      <c r="B523" s="24" t="s">
        <v>25</v>
      </c>
      <c r="C523" s="25" t="s">
        <v>40</v>
      </c>
      <c r="D523" s="14" t="s">
        <v>26</v>
      </c>
      <c r="E523" s="26">
        <v>0</v>
      </c>
      <c r="F523" s="26">
        <v>0</v>
      </c>
      <c r="G523" s="26">
        <v>0</v>
      </c>
      <c r="H523" s="26">
        <v>0</v>
      </c>
      <c r="I523" s="26">
        <v>0</v>
      </c>
      <c r="J523" s="26">
        <v>0</v>
      </c>
      <c r="K523" s="26">
        <v>0</v>
      </c>
      <c r="L523" s="27">
        <v>0</v>
      </c>
      <c r="M523" s="27">
        <v>0</v>
      </c>
      <c r="N523" s="28">
        <v>0</v>
      </c>
      <c r="O523" s="26">
        <v>0</v>
      </c>
      <c r="P523" s="26">
        <v>0</v>
      </c>
      <c r="Q523" s="33">
        <v>0</v>
      </c>
      <c r="R523" s="34">
        <v>0</v>
      </c>
      <c r="S523" s="34">
        <v>0</v>
      </c>
      <c r="T523" s="20">
        <v>0</v>
      </c>
      <c r="U523" s="21" t="s">
        <v>24</v>
      </c>
      <c r="V523" s="44">
        <f>IFERROR(RAW[[#This Row],[ACTUAL GROSS]]/RAW[[#This Row],[CONVERTED]],0)</f>
        <v>0</v>
      </c>
      <c r="W523" s="22">
        <f>IFERROR(RAW[[#This Row],[SALES]]/RAW[[#This Row],[HOURLY PAY]],0)</f>
        <v>0</v>
      </c>
    </row>
    <row r="524" spans="1:23" x14ac:dyDescent="0.35">
      <c r="A524" s="23">
        <v>45352</v>
      </c>
      <c r="B524" s="24" t="s">
        <v>21</v>
      </c>
      <c r="C524" s="25" t="s">
        <v>41</v>
      </c>
      <c r="D524" s="14" t="s">
        <v>27</v>
      </c>
      <c r="E524" s="26">
        <v>1078</v>
      </c>
      <c r="F524" s="26">
        <v>136.03</v>
      </c>
      <c r="G524" s="26">
        <v>20</v>
      </c>
      <c r="H524" s="26">
        <v>43.12</v>
      </c>
      <c r="I524" s="26">
        <v>2.285304</v>
      </c>
      <c r="J524" s="26">
        <v>6.75</v>
      </c>
      <c r="K524" s="26">
        <v>90.624696</v>
      </c>
      <c r="L524" s="27">
        <v>5</v>
      </c>
      <c r="M524" s="27">
        <v>15</v>
      </c>
      <c r="N524" s="28">
        <v>5.25</v>
      </c>
      <c r="O524" s="26">
        <v>11.182499999999999</v>
      </c>
      <c r="P524" s="26">
        <v>108.557196</v>
      </c>
      <c r="Q524" s="33">
        <v>121.807196</v>
      </c>
      <c r="R524" s="34">
        <v>1</v>
      </c>
      <c r="S524" s="34">
        <v>1</v>
      </c>
      <c r="T524" s="20">
        <v>0</v>
      </c>
      <c r="U524" s="21" t="s">
        <v>24</v>
      </c>
      <c r="V524" s="22">
        <f>IFERROR(RAW[[#This Row],[ACTUAL GROSS]]/RAW[[#This Row],[CONVERTED]],0)</f>
        <v>23.201370666666669</v>
      </c>
      <c r="W524" s="22">
        <f>IFERROR(RAW[[#This Row],[SALES]]/RAW[[#This Row],[HOURLY PAY]],0)</f>
        <v>96.400625978090773</v>
      </c>
    </row>
    <row r="525" spans="1:23" x14ac:dyDescent="0.35">
      <c r="A525" s="23">
        <v>45352</v>
      </c>
      <c r="B525" s="24" t="s">
        <v>25</v>
      </c>
      <c r="C525" s="25" t="s">
        <v>41</v>
      </c>
      <c r="D525" s="14" t="s">
        <v>27</v>
      </c>
      <c r="E525" s="26">
        <v>0</v>
      </c>
      <c r="F525" s="26">
        <v>0</v>
      </c>
      <c r="G525" s="26">
        <v>0</v>
      </c>
      <c r="H525" s="26">
        <v>0</v>
      </c>
      <c r="I525" s="26">
        <v>0</v>
      </c>
      <c r="J525" s="26">
        <v>0</v>
      </c>
      <c r="K525" s="26">
        <v>0</v>
      </c>
      <c r="L525" s="27">
        <v>0</v>
      </c>
      <c r="M525" s="27">
        <v>0</v>
      </c>
      <c r="N525" s="28">
        <v>0</v>
      </c>
      <c r="O525" s="26">
        <v>0</v>
      </c>
      <c r="P525" s="26">
        <v>0</v>
      </c>
      <c r="Q525" s="33">
        <v>0</v>
      </c>
      <c r="R525" s="34">
        <v>0</v>
      </c>
      <c r="S525" s="34">
        <v>0</v>
      </c>
      <c r="T525" s="20">
        <v>0</v>
      </c>
      <c r="U525" s="21" t="s">
        <v>24</v>
      </c>
      <c r="V525" s="31">
        <f>IFERROR(RAW[[#This Row],[ACTUAL GROSS]]/RAW[[#This Row],[CONVERTED]],0)</f>
        <v>0</v>
      </c>
      <c r="W525" s="22">
        <f>IFERROR(RAW[[#This Row],[SALES]]/RAW[[#This Row],[HOURLY PAY]],0)</f>
        <v>0</v>
      </c>
    </row>
    <row r="526" spans="1:23" x14ac:dyDescent="0.35">
      <c r="A526" s="23">
        <v>45353</v>
      </c>
      <c r="B526" s="24" t="s">
        <v>21</v>
      </c>
      <c r="C526" s="25" t="s">
        <v>41</v>
      </c>
      <c r="D526" s="14" t="s">
        <v>28</v>
      </c>
      <c r="E526" s="26">
        <v>0</v>
      </c>
      <c r="F526" s="26">
        <v>0</v>
      </c>
      <c r="G526" s="26">
        <v>0</v>
      </c>
      <c r="H526" s="26">
        <v>0</v>
      </c>
      <c r="I526" s="26">
        <v>0</v>
      </c>
      <c r="J526" s="26">
        <v>0</v>
      </c>
      <c r="K526" s="26">
        <v>0</v>
      </c>
      <c r="L526" s="27">
        <v>0</v>
      </c>
      <c r="M526" s="27">
        <v>0</v>
      </c>
      <c r="N526" s="28">
        <v>0</v>
      </c>
      <c r="O526" s="26">
        <v>0</v>
      </c>
      <c r="P526" s="26">
        <v>0</v>
      </c>
      <c r="Q526" s="33">
        <v>0</v>
      </c>
      <c r="R526" s="34">
        <v>0</v>
      </c>
      <c r="S526" s="34">
        <v>0</v>
      </c>
      <c r="T526" s="20">
        <v>0</v>
      </c>
      <c r="U526" s="21" t="s">
        <v>24</v>
      </c>
      <c r="V526" s="22">
        <f>IFERROR(RAW[[#This Row],[ACTUAL GROSS]]/RAW[[#This Row],[CONVERTED]],0)</f>
        <v>0</v>
      </c>
      <c r="W526" s="22">
        <f>IFERROR(RAW[[#This Row],[SALES]]/RAW[[#This Row],[HOURLY PAY]],0)</f>
        <v>0</v>
      </c>
    </row>
    <row r="527" spans="1:23" x14ac:dyDescent="0.35">
      <c r="A527" s="23">
        <v>45353</v>
      </c>
      <c r="B527" s="24" t="s">
        <v>25</v>
      </c>
      <c r="C527" s="25" t="s">
        <v>41</v>
      </c>
      <c r="D527" s="14" t="s">
        <v>28</v>
      </c>
      <c r="E527" s="26">
        <v>1060</v>
      </c>
      <c r="F527" s="26">
        <v>160.94999999999999</v>
      </c>
      <c r="G527" s="26">
        <v>35</v>
      </c>
      <c r="H527" s="26">
        <v>42.4</v>
      </c>
      <c r="I527" s="26">
        <v>2.7039599999999995</v>
      </c>
      <c r="J527" s="26">
        <v>0</v>
      </c>
      <c r="K527" s="26">
        <v>115.84603999999999</v>
      </c>
      <c r="L527" s="27">
        <v>5</v>
      </c>
      <c r="M527" s="27">
        <v>32</v>
      </c>
      <c r="N527" s="28">
        <v>5.5333333333333332</v>
      </c>
      <c r="O527" s="26">
        <v>11.786</v>
      </c>
      <c r="P527" s="26">
        <v>127.63203999999999</v>
      </c>
      <c r="Q527" s="33">
        <v>162.63203999999999</v>
      </c>
      <c r="R527" s="34">
        <v>1</v>
      </c>
      <c r="S527" s="34">
        <v>0</v>
      </c>
      <c r="T527" s="20">
        <v>0</v>
      </c>
      <c r="U527" s="21" t="s">
        <v>24</v>
      </c>
      <c r="V527" s="22">
        <f>IFERROR(RAW[[#This Row],[ACTUAL GROSS]]/RAW[[#This Row],[CONVERTED]],0)</f>
        <v>29.391332530120479</v>
      </c>
      <c r="W527" s="22">
        <f>IFERROR(RAW[[#This Row],[SALES]]/RAW[[#This Row],[HOURLY PAY]],0)</f>
        <v>89.937213643305626</v>
      </c>
    </row>
    <row r="528" spans="1:23" s="38" customFormat="1" x14ac:dyDescent="0.35">
      <c r="A528" s="245">
        <v>45354</v>
      </c>
      <c r="B528" s="246" t="s">
        <v>21</v>
      </c>
      <c r="C528" s="247" t="s">
        <v>41</v>
      </c>
      <c r="D528" s="248" t="s">
        <v>29</v>
      </c>
      <c r="E528" s="249">
        <v>600</v>
      </c>
      <c r="F528" s="249">
        <v>100</v>
      </c>
      <c r="G528" s="249">
        <v>0</v>
      </c>
      <c r="H528" s="249">
        <v>24</v>
      </c>
      <c r="I528" s="249">
        <v>1.68</v>
      </c>
      <c r="J528" s="249">
        <v>0</v>
      </c>
      <c r="K528" s="249">
        <v>74.319999999999993</v>
      </c>
      <c r="L528" s="250">
        <v>4</v>
      </c>
      <c r="M528" s="250">
        <v>0</v>
      </c>
      <c r="N528" s="251">
        <v>4</v>
      </c>
      <c r="O528" s="249">
        <v>8.52</v>
      </c>
      <c r="P528" s="249">
        <v>82.839999999999989</v>
      </c>
      <c r="Q528" s="252">
        <v>82.839999999999989</v>
      </c>
      <c r="R528" s="253">
        <v>1</v>
      </c>
      <c r="S528" s="253">
        <v>1</v>
      </c>
      <c r="T528" s="254">
        <v>0</v>
      </c>
      <c r="U528" s="255" t="s">
        <v>34</v>
      </c>
      <c r="V528" s="256">
        <f>IFERROR(RAW[[#This Row],[ACTUAL GROSS]]/RAW[[#This Row],[CONVERTED]],0)</f>
        <v>20.709999999999997</v>
      </c>
      <c r="W528" s="49">
        <f>IFERROR(RAW[[#This Row],[SALES]]/RAW[[#This Row],[HOURLY PAY]],0)</f>
        <v>70.422535211267615</v>
      </c>
    </row>
    <row r="529" spans="1:23" x14ac:dyDescent="0.35">
      <c r="A529" s="23">
        <v>45354</v>
      </c>
      <c r="B529" s="24" t="s">
        <v>25</v>
      </c>
      <c r="C529" s="25" t="s">
        <v>41</v>
      </c>
      <c r="D529" s="14" t="s">
        <v>29</v>
      </c>
      <c r="E529" s="26">
        <v>2022</v>
      </c>
      <c r="F529" s="26">
        <v>329.63</v>
      </c>
      <c r="G529" s="26">
        <v>28</v>
      </c>
      <c r="H529" s="26">
        <v>80.88</v>
      </c>
      <c r="I529" s="26">
        <v>5.5377839999999994</v>
      </c>
      <c r="J529" s="26">
        <v>7.6</v>
      </c>
      <c r="K529" s="26">
        <v>243.21221600000001</v>
      </c>
      <c r="L529" s="27">
        <v>5</v>
      </c>
      <c r="M529" s="27">
        <v>34</v>
      </c>
      <c r="N529" s="28">
        <v>5.5666666666666664</v>
      </c>
      <c r="O529" s="26">
        <v>11.856999999999999</v>
      </c>
      <c r="P529" s="26">
        <v>262.66921600000001</v>
      </c>
      <c r="Q529" s="33">
        <v>283.06921599999998</v>
      </c>
      <c r="R529" s="34">
        <v>1</v>
      </c>
      <c r="S529" s="34">
        <v>0</v>
      </c>
      <c r="T529" s="20">
        <v>1</v>
      </c>
      <c r="U529" s="21" t="s">
        <v>34</v>
      </c>
      <c r="V529" s="22">
        <f>IFERROR(RAW[[#This Row],[ACTUAL GROSS]]/RAW[[#This Row],[CONVERTED]],0)</f>
        <v>50.850757365269459</v>
      </c>
      <c r="W529" s="22">
        <f>IFERROR(RAW[[#This Row],[SALES]]/RAW[[#This Row],[HOURLY PAY]],0)</f>
        <v>170.53217508644684</v>
      </c>
    </row>
    <row r="530" spans="1:23" x14ac:dyDescent="0.35">
      <c r="A530" s="23">
        <v>45355</v>
      </c>
      <c r="B530" s="24" t="s">
        <v>21</v>
      </c>
      <c r="C530" s="25" t="s">
        <v>41</v>
      </c>
      <c r="D530" s="14" t="s">
        <v>30</v>
      </c>
      <c r="E530" s="26">
        <v>562</v>
      </c>
      <c r="F530" s="26">
        <v>107.72</v>
      </c>
      <c r="G530" s="26">
        <v>0</v>
      </c>
      <c r="H530" s="26">
        <v>22.48</v>
      </c>
      <c r="I530" s="26">
        <v>1.809696</v>
      </c>
      <c r="J530" s="26">
        <v>0</v>
      </c>
      <c r="K530" s="26">
        <v>83.430304000000007</v>
      </c>
      <c r="L530" s="27">
        <v>2</v>
      </c>
      <c r="M530" s="27">
        <v>45</v>
      </c>
      <c r="N530" s="28">
        <v>2.75</v>
      </c>
      <c r="O530" s="26">
        <v>5.8574999999999999</v>
      </c>
      <c r="P530" s="26">
        <v>89.287804000000008</v>
      </c>
      <c r="Q530" s="33">
        <v>89.287804000000008</v>
      </c>
      <c r="R530" s="34">
        <v>1</v>
      </c>
      <c r="S530" s="34">
        <v>1</v>
      </c>
      <c r="T530" s="20">
        <v>0</v>
      </c>
      <c r="U530" s="21" t="s">
        <v>34</v>
      </c>
      <c r="V530" s="22">
        <f>IFERROR(RAW[[#This Row],[ACTUAL GROSS]]/RAW[[#This Row],[CONVERTED]],0)</f>
        <v>32.468292363636365</v>
      </c>
      <c r="W530" s="22">
        <f>IFERROR(RAW[[#This Row],[SALES]]/RAW[[#This Row],[HOURLY PAY]],0)</f>
        <v>95.945369184805813</v>
      </c>
    </row>
    <row r="531" spans="1:23" x14ac:dyDescent="0.35">
      <c r="A531" s="23">
        <v>45355</v>
      </c>
      <c r="B531" s="24" t="s">
        <v>25</v>
      </c>
      <c r="C531" s="25" t="s">
        <v>41</v>
      </c>
      <c r="D531" s="14" t="s">
        <v>30</v>
      </c>
      <c r="E531" s="26">
        <v>1687</v>
      </c>
      <c r="F531" s="26">
        <v>309.07</v>
      </c>
      <c r="G531" s="26">
        <v>64</v>
      </c>
      <c r="H531" s="26">
        <v>67.48</v>
      </c>
      <c r="I531" s="26">
        <v>5.1923759999999994</v>
      </c>
      <c r="J531" s="26">
        <v>5.8</v>
      </c>
      <c r="K531" s="26">
        <v>236.39762400000001</v>
      </c>
      <c r="L531" s="27">
        <v>5</v>
      </c>
      <c r="M531" s="27">
        <v>24</v>
      </c>
      <c r="N531" s="28">
        <v>5.4</v>
      </c>
      <c r="O531" s="26">
        <v>11.502000000000001</v>
      </c>
      <c r="P531" s="26">
        <v>253.69962400000003</v>
      </c>
      <c r="Q531" s="33">
        <v>311.89962400000002</v>
      </c>
      <c r="R531" s="34">
        <v>1</v>
      </c>
      <c r="S531" s="34">
        <v>0</v>
      </c>
      <c r="T531" s="20">
        <v>1</v>
      </c>
      <c r="U531" s="21" t="s">
        <v>34</v>
      </c>
      <c r="V531" s="22">
        <f>IFERROR(RAW[[#This Row],[ACTUAL GROSS]]/RAW[[#This Row],[CONVERTED]],0)</f>
        <v>57.759189629629631</v>
      </c>
      <c r="W531" s="22">
        <f>IFERROR(RAW[[#This Row],[SALES]]/RAW[[#This Row],[HOURLY PAY]],0)</f>
        <v>146.67014432272649</v>
      </c>
    </row>
    <row r="532" spans="1:23" x14ac:dyDescent="0.35">
      <c r="A532" s="23">
        <v>45356</v>
      </c>
      <c r="B532" s="24" t="s">
        <v>21</v>
      </c>
      <c r="C532" s="25" t="s">
        <v>41</v>
      </c>
      <c r="D532" s="14" t="s">
        <v>31</v>
      </c>
      <c r="E532" s="26">
        <v>0</v>
      </c>
      <c r="F532" s="26">
        <v>0</v>
      </c>
      <c r="G532" s="26">
        <v>0</v>
      </c>
      <c r="H532" s="26">
        <v>0</v>
      </c>
      <c r="I532" s="26">
        <v>0</v>
      </c>
      <c r="J532" s="26">
        <v>0</v>
      </c>
      <c r="K532" s="26">
        <v>0</v>
      </c>
      <c r="L532" s="27">
        <v>0</v>
      </c>
      <c r="M532" s="27">
        <v>0</v>
      </c>
      <c r="N532" s="28">
        <v>0</v>
      </c>
      <c r="O532" s="26">
        <v>0</v>
      </c>
      <c r="P532" s="26">
        <v>0</v>
      </c>
      <c r="Q532" s="33">
        <v>0</v>
      </c>
      <c r="R532" s="34">
        <v>0</v>
      </c>
      <c r="S532" s="34">
        <v>0</v>
      </c>
      <c r="T532" s="20">
        <v>0</v>
      </c>
      <c r="U532" s="21" t="s">
        <v>24</v>
      </c>
      <c r="V532" s="22">
        <f>IFERROR(RAW[[#This Row],[ACTUAL GROSS]]/RAW[[#This Row],[CONVERTED]],0)</f>
        <v>0</v>
      </c>
      <c r="W532" s="22">
        <f>IFERROR(RAW[[#This Row],[SALES]]/RAW[[#This Row],[HOURLY PAY]],0)</f>
        <v>0</v>
      </c>
    </row>
    <row r="533" spans="1:23" x14ac:dyDescent="0.35">
      <c r="A533" s="23">
        <v>45356</v>
      </c>
      <c r="B533" s="24" t="s">
        <v>25</v>
      </c>
      <c r="C533" s="25" t="s">
        <v>41</v>
      </c>
      <c r="D533" s="14" t="s">
        <v>31</v>
      </c>
      <c r="E533" s="26">
        <v>0</v>
      </c>
      <c r="F533" s="26">
        <v>0</v>
      </c>
      <c r="G533" s="26">
        <v>0</v>
      </c>
      <c r="H533" s="26">
        <v>0</v>
      </c>
      <c r="I533" s="26">
        <v>0</v>
      </c>
      <c r="J533" s="26">
        <v>0</v>
      </c>
      <c r="K533" s="26">
        <v>0</v>
      </c>
      <c r="L533" s="27">
        <v>0</v>
      </c>
      <c r="M533" s="27">
        <v>0</v>
      </c>
      <c r="N533" s="28">
        <v>0</v>
      </c>
      <c r="O533" s="26">
        <v>0</v>
      </c>
      <c r="P533" s="26">
        <v>0</v>
      </c>
      <c r="Q533" s="33">
        <v>0</v>
      </c>
      <c r="R533" s="34">
        <v>0</v>
      </c>
      <c r="S533" s="34">
        <v>0</v>
      </c>
      <c r="T533" s="20">
        <v>0</v>
      </c>
      <c r="U533" s="21" t="s">
        <v>24</v>
      </c>
      <c r="V533" s="22">
        <f>IFERROR(RAW[[#This Row],[ACTUAL GROSS]]/RAW[[#This Row],[CONVERTED]],0)</f>
        <v>0</v>
      </c>
      <c r="W533" s="22">
        <f>IFERROR(RAW[[#This Row],[SALES]]/RAW[[#This Row],[HOURLY PAY]],0)</f>
        <v>0</v>
      </c>
    </row>
    <row r="534" spans="1:23" s="48" customFormat="1" x14ac:dyDescent="0.35">
      <c r="A534" s="23">
        <v>45357</v>
      </c>
      <c r="B534" s="24" t="s">
        <v>21</v>
      </c>
      <c r="C534" s="25" t="s">
        <v>41</v>
      </c>
      <c r="D534" s="14" t="s">
        <v>23</v>
      </c>
      <c r="E534" s="26">
        <v>0</v>
      </c>
      <c r="F534" s="26">
        <v>0</v>
      </c>
      <c r="G534" s="26">
        <v>0</v>
      </c>
      <c r="H534" s="26">
        <v>0</v>
      </c>
      <c r="I534" s="26">
        <v>0</v>
      </c>
      <c r="J534" s="26">
        <v>0</v>
      </c>
      <c r="K534" s="26">
        <v>0</v>
      </c>
      <c r="L534" s="27">
        <v>0</v>
      </c>
      <c r="M534" s="27">
        <v>0</v>
      </c>
      <c r="N534" s="28">
        <v>0</v>
      </c>
      <c r="O534" s="26">
        <v>0</v>
      </c>
      <c r="P534" s="26">
        <v>0</v>
      </c>
      <c r="Q534" s="33">
        <v>0</v>
      </c>
      <c r="R534" s="34">
        <v>0</v>
      </c>
      <c r="S534" s="34">
        <v>0</v>
      </c>
      <c r="T534" s="20">
        <v>0</v>
      </c>
      <c r="U534" s="21" t="s">
        <v>24</v>
      </c>
      <c r="V534" s="238">
        <f>IFERROR(RAW[[#This Row],[ACTUAL GROSS]]/RAW[[#This Row],[CONVERTED]],0)</f>
        <v>0</v>
      </c>
      <c r="W534" s="238">
        <f>IFERROR(RAW[[#This Row],[SALES]]/RAW[[#This Row],[HOURLY PAY]],0)</f>
        <v>0</v>
      </c>
    </row>
    <row r="535" spans="1:23" x14ac:dyDescent="0.35">
      <c r="A535" s="23">
        <v>45357</v>
      </c>
      <c r="B535" s="24" t="s">
        <v>25</v>
      </c>
      <c r="C535" s="25" t="s">
        <v>41</v>
      </c>
      <c r="D535" s="14" t="s">
        <v>23</v>
      </c>
      <c r="E535" s="26">
        <v>1484</v>
      </c>
      <c r="F535" s="26">
        <v>168.81</v>
      </c>
      <c r="G535" s="26">
        <v>128</v>
      </c>
      <c r="H535" s="26">
        <v>59.36</v>
      </c>
      <c r="I535" s="26">
        <v>2.8360080000000001</v>
      </c>
      <c r="J535" s="26">
        <v>13.44</v>
      </c>
      <c r="K535" s="26">
        <v>106.613992</v>
      </c>
      <c r="L535" s="27">
        <v>6</v>
      </c>
      <c r="M535" s="27">
        <v>30</v>
      </c>
      <c r="N535" s="28">
        <v>6.5</v>
      </c>
      <c r="O535" s="26">
        <v>13.844999999999999</v>
      </c>
      <c r="P535" s="26">
        <v>133.89899199999999</v>
      </c>
      <c r="Q535" s="33">
        <v>248.45899199999999</v>
      </c>
      <c r="R535" s="34">
        <v>1</v>
      </c>
      <c r="S535" s="34">
        <v>0</v>
      </c>
      <c r="T535" s="20">
        <v>0</v>
      </c>
      <c r="U535" s="21" t="s">
        <v>24</v>
      </c>
      <c r="V535" s="22">
        <f>IFERROR(RAW[[#This Row],[ACTUAL GROSS]]/RAW[[#This Row],[CONVERTED]],0)</f>
        <v>38.224460307692304</v>
      </c>
      <c r="W535" s="22">
        <f>IFERROR(RAW[[#This Row],[SALES]]/RAW[[#This Row],[HOURLY PAY]],0)</f>
        <v>107.18671000361142</v>
      </c>
    </row>
    <row r="536" spans="1:23" x14ac:dyDescent="0.35">
      <c r="A536" s="23">
        <v>45358</v>
      </c>
      <c r="B536" s="24" t="s">
        <v>21</v>
      </c>
      <c r="C536" s="25" t="s">
        <v>41</v>
      </c>
      <c r="D536" s="14" t="s">
        <v>26</v>
      </c>
      <c r="E536" s="26">
        <v>0</v>
      </c>
      <c r="F536" s="26">
        <v>0</v>
      </c>
      <c r="G536" s="26">
        <v>0</v>
      </c>
      <c r="H536" s="26">
        <v>0</v>
      </c>
      <c r="I536" s="26">
        <v>0</v>
      </c>
      <c r="J536" s="26">
        <v>0</v>
      </c>
      <c r="K536" s="26">
        <v>0</v>
      </c>
      <c r="L536" s="27">
        <v>0</v>
      </c>
      <c r="M536" s="27">
        <v>0</v>
      </c>
      <c r="N536" s="28">
        <v>0</v>
      </c>
      <c r="O536" s="26">
        <v>0</v>
      </c>
      <c r="P536" s="26">
        <v>0</v>
      </c>
      <c r="Q536" s="33">
        <v>0</v>
      </c>
      <c r="R536" s="34">
        <v>0</v>
      </c>
      <c r="S536" s="34">
        <v>0</v>
      </c>
      <c r="T536" s="20">
        <v>0</v>
      </c>
      <c r="U536" s="21" t="s">
        <v>24</v>
      </c>
      <c r="V536" s="22">
        <f>IFERROR(RAW[[#This Row],[ACTUAL GROSS]]/RAW[[#This Row],[CONVERTED]],0)</f>
        <v>0</v>
      </c>
      <c r="W536" s="22">
        <f>IFERROR(RAW[[#This Row],[SALES]]/RAW[[#This Row],[HOURLY PAY]],0)</f>
        <v>0</v>
      </c>
    </row>
    <row r="537" spans="1:23" x14ac:dyDescent="0.35">
      <c r="A537" s="23">
        <v>45358</v>
      </c>
      <c r="B537" s="24" t="s">
        <v>25</v>
      </c>
      <c r="C537" s="25" t="s">
        <v>41</v>
      </c>
      <c r="D537" s="14" t="s">
        <v>26</v>
      </c>
      <c r="E537" s="26">
        <v>0</v>
      </c>
      <c r="F537" s="26">
        <v>0</v>
      </c>
      <c r="G537" s="26">
        <v>0</v>
      </c>
      <c r="H537" s="26">
        <v>0</v>
      </c>
      <c r="I537" s="26">
        <v>0</v>
      </c>
      <c r="J537" s="26">
        <v>0</v>
      </c>
      <c r="K537" s="26">
        <v>0</v>
      </c>
      <c r="L537" s="27">
        <v>0</v>
      </c>
      <c r="M537" s="27">
        <v>0</v>
      </c>
      <c r="N537" s="28">
        <v>0</v>
      </c>
      <c r="O537" s="26">
        <v>0</v>
      </c>
      <c r="P537" s="26">
        <v>0</v>
      </c>
      <c r="Q537" s="33">
        <v>0</v>
      </c>
      <c r="R537" s="34">
        <v>0</v>
      </c>
      <c r="S537" s="34">
        <v>0</v>
      </c>
      <c r="T537" s="20">
        <v>0</v>
      </c>
      <c r="U537" s="21" t="s">
        <v>24</v>
      </c>
      <c r="V537" s="44">
        <f>IFERROR(RAW[[#This Row],[ACTUAL GROSS]]/RAW[[#This Row],[CONVERTED]],0)</f>
        <v>0</v>
      </c>
      <c r="W537" s="22">
        <f>IFERROR(RAW[[#This Row],[SALES]]/RAW[[#This Row],[HOURLY PAY]],0)</f>
        <v>0</v>
      </c>
    </row>
    <row r="538" spans="1:23" x14ac:dyDescent="0.35">
      <c r="A538" s="23">
        <v>45359</v>
      </c>
      <c r="B538" s="24" t="s">
        <v>21</v>
      </c>
      <c r="C538" s="25" t="s">
        <v>41</v>
      </c>
      <c r="D538" s="14" t="s">
        <v>27</v>
      </c>
      <c r="E538" s="26">
        <v>0</v>
      </c>
      <c r="F538" s="26">
        <v>0</v>
      </c>
      <c r="G538" s="26">
        <v>0</v>
      </c>
      <c r="H538" s="26">
        <v>0</v>
      </c>
      <c r="I538" s="26">
        <v>0</v>
      </c>
      <c r="J538" s="26">
        <v>0</v>
      </c>
      <c r="K538" s="26">
        <v>0</v>
      </c>
      <c r="L538" s="27">
        <v>0</v>
      </c>
      <c r="M538" s="27">
        <v>0</v>
      </c>
      <c r="N538" s="28">
        <v>0</v>
      </c>
      <c r="O538" s="26">
        <v>0</v>
      </c>
      <c r="P538" s="26">
        <v>0</v>
      </c>
      <c r="Q538" s="33">
        <v>0</v>
      </c>
      <c r="R538" s="34">
        <v>0</v>
      </c>
      <c r="S538" s="34">
        <v>0</v>
      </c>
      <c r="T538" s="20">
        <v>0</v>
      </c>
      <c r="U538" s="21" t="s">
        <v>24</v>
      </c>
      <c r="V538" s="22">
        <f>IFERROR(RAW[[#This Row],[ACTUAL GROSS]]/RAW[[#This Row],[CONVERTED]],0)</f>
        <v>0</v>
      </c>
      <c r="W538" s="22">
        <f>IFERROR(RAW[[#This Row],[SALES]]/RAW[[#This Row],[HOURLY PAY]],0)</f>
        <v>0</v>
      </c>
    </row>
    <row r="539" spans="1:23" x14ac:dyDescent="0.35">
      <c r="A539" s="23">
        <v>45359</v>
      </c>
      <c r="B539" s="24" t="s">
        <v>25</v>
      </c>
      <c r="C539" s="25" t="s">
        <v>41</v>
      </c>
      <c r="D539" s="14" t="s">
        <v>27</v>
      </c>
      <c r="E539" s="26">
        <v>1644</v>
      </c>
      <c r="F539" s="26">
        <v>281.72000000000003</v>
      </c>
      <c r="G539" s="26">
        <v>0</v>
      </c>
      <c r="H539" s="26">
        <v>65.760000000000005</v>
      </c>
      <c r="I539" s="26">
        <v>4.7328960000000002</v>
      </c>
      <c r="J539" s="26">
        <v>0</v>
      </c>
      <c r="K539" s="26">
        <v>211.22710400000003</v>
      </c>
      <c r="L539" s="27">
        <v>6</v>
      </c>
      <c r="M539" s="27">
        <v>49</v>
      </c>
      <c r="N539" s="28">
        <v>6.8166666666666664</v>
      </c>
      <c r="O539" s="26">
        <v>14.519499999999999</v>
      </c>
      <c r="P539" s="26">
        <v>225.74660400000002</v>
      </c>
      <c r="Q539" s="33">
        <v>225.74660400000002</v>
      </c>
      <c r="R539" s="34">
        <v>1</v>
      </c>
      <c r="S539" s="34">
        <v>0</v>
      </c>
      <c r="T539" s="20">
        <v>0</v>
      </c>
      <c r="U539" s="21" t="s">
        <v>24</v>
      </c>
      <c r="V539" s="31">
        <f>IFERROR(RAW[[#This Row],[ACTUAL GROSS]]/RAW[[#This Row],[CONVERTED]],0)</f>
        <v>33.116861222493888</v>
      </c>
      <c r="W539" s="22">
        <f>IFERROR(RAW[[#This Row],[SALES]]/RAW[[#This Row],[HOURLY PAY]],0)</f>
        <v>113.22703949860534</v>
      </c>
    </row>
    <row r="540" spans="1:23" x14ac:dyDescent="0.35">
      <c r="A540" s="23">
        <v>45360</v>
      </c>
      <c r="B540" s="24" t="s">
        <v>21</v>
      </c>
      <c r="C540" s="25" t="s">
        <v>41</v>
      </c>
      <c r="D540" s="14" t="s">
        <v>28</v>
      </c>
      <c r="E540" s="26">
        <v>410</v>
      </c>
      <c r="F540" s="26">
        <v>75.72</v>
      </c>
      <c r="G540" s="26">
        <v>12</v>
      </c>
      <c r="H540" s="26">
        <v>16.399999999999999</v>
      </c>
      <c r="I540" s="26">
        <v>1.2720959999999999</v>
      </c>
      <c r="J540" s="26">
        <v>3.2</v>
      </c>
      <c r="K540" s="26">
        <v>58.047904000000003</v>
      </c>
      <c r="L540" s="27">
        <v>3</v>
      </c>
      <c r="M540" s="27">
        <v>14</v>
      </c>
      <c r="N540" s="28">
        <v>3.2333333333333334</v>
      </c>
      <c r="O540" s="26">
        <v>6.8869999999999996</v>
      </c>
      <c r="P540" s="26">
        <v>68.134904000000006</v>
      </c>
      <c r="Q540" s="33">
        <v>76.934904000000003</v>
      </c>
      <c r="R540" s="34">
        <v>1</v>
      </c>
      <c r="S540" s="34">
        <v>1</v>
      </c>
      <c r="T540" s="20">
        <v>0</v>
      </c>
      <c r="U540" s="21" t="s">
        <v>34</v>
      </c>
      <c r="V540" s="22">
        <f>IFERROR(RAW[[#This Row],[ACTUAL GROSS]]/RAW[[#This Row],[CONVERTED]],0)</f>
        <v>23.794300206185568</v>
      </c>
      <c r="W540" s="22">
        <f>IFERROR(RAW[[#This Row],[SALES]]/RAW[[#This Row],[HOURLY PAY]],0)</f>
        <v>59.532452446638601</v>
      </c>
    </row>
    <row r="541" spans="1:23" x14ac:dyDescent="0.35">
      <c r="A541" s="23">
        <v>45360</v>
      </c>
      <c r="B541" s="24" t="s">
        <v>25</v>
      </c>
      <c r="C541" s="25" t="s">
        <v>41</v>
      </c>
      <c r="D541" s="14" t="s">
        <v>28</v>
      </c>
      <c r="E541" s="26">
        <v>2225.5</v>
      </c>
      <c r="F541" s="26">
        <v>429.22</v>
      </c>
      <c r="G541" s="26">
        <v>0</v>
      </c>
      <c r="H541" s="26">
        <v>89.02</v>
      </c>
      <c r="I541" s="26">
        <v>7.210896</v>
      </c>
      <c r="J541" s="26">
        <v>0</v>
      </c>
      <c r="K541" s="26">
        <v>332.989104</v>
      </c>
      <c r="L541" s="27">
        <v>5</v>
      </c>
      <c r="M541" s="27">
        <v>34</v>
      </c>
      <c r="N541" s="28">
        <v>5.5666666666666664</v>
      </c>
      <c r="O541" s="26">
        <v>11.856999999999999</v>
      </c>
      <c r="P541" s="26">
        <v>344.84610399999997</v>
      </c>
      <c r="Q541" s="33">
        <v>344.84610399999997</v>
      </c>
      <c r="R541" s="34">
        <v>1</v>
      </c>
      <c r="S541" s="34">
        <v>0</v>
      </c>
      <c r="T541" s="20">
        <v>1</v>
      </c>
      <c r="U541" s="21" t="s">
        <v>34</v>
      </c>
      <c r="V541" s="22">
        <f>IFERROR(RAW[[#This Row],[ACTUAL GROSS]]/RAW[[#This Row],[CONVERTED]],0)</f>
        <v>61.948401916167661</v>
      </c>
      <c r="W541" s="22">
        <f>IFERROR(RAW[[#This Row],[SALES]]/RAW[[#This Row],[HOURLY PAY]],0)</f>
        <v>187.69503247027075</v>
      </c>
    </row>
    <row r="542" spans="1:23" x14ac:dyDescent="0.35">
      <c r="A542" s="23">
        <v>45361</v>
      </c>
      <c r="B542" s="24" t="s">
        <v>21</v>
      </c>
      <c r="C542" s="25" t="s">
        <v>41</v>
      </c>
      <c r="D542" s="14" t="s">
        <v>29</v>
      </c>
      <c r="E542" s="26">
        <v>481</v>
      </c>
      <c r="F542" s="26">
        <v>90.72</v>
      </c>
      <c r="G542" s="26">
        <v>0</v>
      </c>
      <c r="H542" s="26">
        <v>19.240000000000002</v>
      </c>
      <c r="I542" s="26">
        <v>1.5240959999999999</v>
      </c>
      <c r="J542" s="26">
        <v>0</v>
      </c>
      <c r="K542" s="26">
        <v>69.955904000000004</v>
      </c>
      <c r="L542" s="27">
        <v>4</v>
      </c>
      <c r="M542" s="27">
        <v>13</v>
      </c>
      <c r="N542" s="28">
        <v>4.2166666666666668</v>
      </c>
      <c r="O542" s="26">
        <v>8.9815000000000005</v>
      </c>
      <c r="P542" s="26">
        <v>78.937404000000001</v>
      </c>
      <c r="Q542" s="33">
        <v>78.937404000000001</v>
      </c>
      <c r="R542" s="34">
        <v>1</v>
      </c>
      <c r="S542" s="34">
        <v>1</v>
      </c>
      <c r="T542" s="20">
        <v>0</v>
      </c>
      <c r="U542" s="21" t="s">
        <v>34</v>
      </c>
      <c r="V542" s="42">
        <f>IFERROR(RAW[[#This Row],[ACTUAL GROSS]]/RAW[[#This Row],[CONVERTED]],0)</f>
        <v>18.720332964426877</v>
      </c>
      <c r="W542" s="22">
        <f>IFERROR(RAW[[#This Row],[SALES]]/RAW[[#This Row],[HOURLY PAY]],0)</f>
        <v>53.554528753548958</v>
      </c>
    </row>
    <row r="543" spans="1:23" x14ac:dyDescent="0.35">
      <c r="A543" s="23">
        <v>45361</v>
      </c>
      <c r="B543" s="24" t="s">
        <v>25</v>
      </c>
      <c r="C543" s="25" t="s">
        <v>41</v>
      </c>
      <c r="D543" s="14" t="s">
        <v>29</v>
      </c>
      <c r="E543" s="26">
        <v>1184</v>
      </c>
      <c r="F543" s="26">
        <v>188.64</v>
      </c>
      <c r="G543" s="26">
        <v>25</v>
      </c>
      <c r="H543" s="26">
        <v>47.36</v>
      </c>
      <c r="I543" s="26">
        <v>3.1691519999999995</v>
      </c>
      <c r="J543" s="26">
        <v>8</v>
      </c>
      <c r="K543" s="26">
        <v>138.11084799999998</v>
      </c>
      <c r="L543" s="27">
        <v>4</v>
      </c>
      <c r="M543" s="27">
        <v>36</v>
      </c>
      <c r="N543" s="28">
        <v>4.5999999999999996</v>
      </c>
      <c r="O543" s="26">
        <v>9.7979999999999983</v>
      </c>
      <c r="P543" s="26">
        <v>155.90884799999998</v>
      </c>
      <c r="Q543" s="33">
        <v>172.90884799999998</v>
      </c>
      <c r="R543" s="34">
        <v>1</v>
      </c>
      <c r="S543" s="34">
        <v>0</v>
      </c>
      <c r="T543" s="20">
        <v>1</v>
      </c>
      <c r="U543" s="21" t="s">
        <v>34</v>
      </c>
      <c r="V543" s="22">
        <f>IFERROR(RAW[[#This Row],[ACTUAL GROSS]]/RAW[[#This Row],[CONVERTED]],0)</f>
        <v>37.588879999999996</v>
      </c>
      <c r="W543" s="22">
        <f>IFERROR(RAW[[#This Row],[SALES]]/RAW[[#This Row],[HOURLY PAY]],0)</f>
        <v>120.84098795672588</v>
      </c>
    </row>
    <row r="544" spans="1:23" x14ac:dyDescent="0.35">
      <c r="A544" s="23">
        <v>45362</v>
      </c>
      <c r="B544" s="24" t="s">
        <v>21</v>
      </c>
      <c r="C544" s="25" t="s">
        <v>41</v>
      </c>
      <c r="D544" s="14" t="s">
        <v>30</v>
      </c>
      <c r="E544" s="26">
        <v>0</v>
      </c>
      <c r="F544" s="26">
        <v>0</v>
      </c>
      <c r="G544" s="26">
        <v>0</v>
      </c>
      <c r="H544" s="26">
        <v>0</v>
      </c>
      <c r="I544" s="26">
        <v>0</v>
      </c>
      <c r="J544" s="26">
        <v>0</v>
      </c>
      <c r="K544" s="26">
        <v>0</v>
      </c>
      <c r="L544" s="27">
        <v>0</v>
      </c>
      <c r="M544" s="27">
        <v>0</v>
      </c>
      <c r="N544" s="28">
        <v>0</v>
      </c>
      <c r="O544" s="26">
        <v>0</v>
      </c>
      <c r="P544" s="26">
        <v>0</v>
      </c>
      <c r="Q544" s="33">
        <v>0</v>
      </c>
      <c r="R544" s="34">
        <v>0</v>
      </c>
      <c r="S544" s="34">
        <v>0</v>
      </c>
      <c r="T544" s="20">
        <v>0</v>
      </c>
      <c r="U544" s="21" t="s">
        <v>24</v>
      </c>
      <c r="V544" s="22">
        <f>IFERROR(RAW[[#This Row],[ACTUAL GROSS]]/RAW[[#This Row],[CONVERTED]],0)</f>
        <v>0</v>
      </c>
      <c r="W544" s="22">
        <f>IFERROR(RAW[[#This Row],[SALES]]/RAW[[#This Row],[HOURLY PAY]],0)</f>
        <v>0</v>
      </c>
    </row>
    <row r="545" spans="1:23" x14ac:dyDescent="0.35">
      <c r="A545" s="23">
        <v>45362</v>
      </c>
      <c r="B545" s="24" t="s">
        <v>25</v>
      </c>
      <c r="C545" s="25" t="s">
        <v>41</v>
      </c>
      <c r="D545" s="14" t="s">
        <v>30</v>
      </c>
      <c r="E545" s="26">
        <v>2178.5</v>
      </c>
      <c r="F545" s="26">
        <v>407.95</v>
      </c>
      <c r="G545" s="26">
        <v>20</v>
      </c>
      <c r="H545" s="26">
        <v>87.14</v>
      </c>
      <c r="I545" s="26">
        <v>6.853559999999999</v>
      </c>
      <c r="J545" s="26">
        <v>0</v>
      </c>
      <c r="K545" s="26">
        <v>313.95643999999999</v>
      </c>
      <c r="L545" s="27">
        <v>6</v>
      </c>
      <c r="M545" s="27">
        <v>23</v>
      </c>
      <c r="N545" s="28">
        <v>6.3833333333333337</v>
      </c>
      <c r="O545" s="26">
        <v>13.596500000000001</v>
      </c>
      <c r="P545" s="26">
        <v>327.55293999999998</v>
      </c>
      <c r="Q545" s="33">
        <v>347.55293999999998</v>
      </c>
      <c r="R545" s="34">
        <v>1</v>
      </c>
      <c r="S545" s="34">
        <v>0</v>
      </c>
      <c r="T545" s="20">
        <v>0</v>
      </c>
      <c r="U545" s="21" t="s">
        <v>24</v>
      </c>
      <c r="V545" s="22">
        <f>IFERROR(RAW[[#This Row],[ACTUAL GROSS]]/RAW[[#This Row],[CONVERTED]],0)</f>
        <v>54.44693577023498</v>
      </c>
      <c r="W545" s="22">
        <f>IFERROR(RAW[[#This Row],[SALES]]/RAW[[#This Row],[HOURLY PAY]],0)</f>
        <v>160.22505791931746</v>
      </c>
    </row>
    <row r="546" spans="1:23" x14ac:dyDescent="0.35">
      <c r="A546" s="23">
        <v>45363</v>
      </c>
      <c r="B546" s="24" t="s">
        <v>21</v>
      </c>
      <c r="C546" s="25" t="s">
        <v>41</v>
      </c>
      <c r="D546" s="14" t="s">
        <v>31</v>
      </c>
      <c r="E546" s="26">
        <v>0</v>
      </c>
      <c r="F546" s="26">
        <v>0</v>
      </c>
      <c r="G546" s="26">
        <v>0</v>
      </c>
      <c r="H546" s="26">
        <v>0</v>
      </c>
      <c r="I546" s="26">
        <v>0</v>
      </c>
      <c r="J546" s="26">
        <v>0</v>
      </c>
      <c r="K546" s="26">
        <v>0</v>
      </c>
      <c r="L546" s="27">
        <v>0</v>
      </c>
      <c r="M546" s="27">
        <v>0</v>
      </c>
      <c r="N546" s="28">
        <v>0</v>
      </c>
      <c r="O546" s="26">
        <v>0</v>
      </c>
      <c r="P546" s="26">
        <v>0</v>
      </c>
      <c r="Q546" s="33">
        <v>0</v>
      </c>
      <c r="R546" s="34">
        <v>0</v>
      </c>
      <c r="S546" s="34">
        <v>0</v>
      </c>
      <c r="T546" s="20">
        <v>0</v>
      </c>
      <c r="U546" s="21" t="s">
        <v>24</v>
      </c>
      <c r="V546" s="22">
        <f>IFERROR(RAW[[#This Row],[ACTUAL GROSS]]/RAW[[#This Row],[CONVERTED]],0)</f>
        <v>0</v>
      </c>
      <c r="W546" s="22">
        <f>IFERROR(RAW[[#This Row],[SALES]]/RAW[[#This Row],[HOURLY PAY]],0)</f>
        <v>0</v>
      </c>
    </row>
    <row r="547" spans="1:23" x14ac:dyDescent="0.35">
      <c r="A547" s="23">
        <v>45363</v>
      </c>
      <c r="B547" s="24" t="s">
        <v>25</v>
      </c>
      <c r="C547" s="25" t="s">
        <v>41</v>
      </c>
      <c r="D547" s="14" t="s">
        <v>31</v>
      </c>
      <c r="E547" s="26">
        <v>0</v>
      </c>
      <c r="F547" s="26">
        <v>0</v>
      </c>
      <c r="G547" s="26">
        <v>0</v>
      </c>
      <c r="H547" s="26">
        <v>0</v>
      </c>
      <c r="I547" s="26">
        <v>0</v>
      </c>
      <c r="J547" s="26">
        <v>0</v>
      </c>
      <c r="K547" s="26">
        <v>0</v>
      </c>
      <c r="L547" s="27">
        <v>0</v>
      </c>
      <c r="M547" s="27">
        <v>0</v>
      </c>
      <c r="N547" s="28">
        <v>0</v>
      </c>
      <c r="O547" s="26">
        <v>0</v>
      </c>
      <c r="P547" s="26">
        <v>0</v>
      </c>
      <c r="Q547" s="33">
        <v>0</v>
      </c>
      <c r="R547" s="34">
        <v>0</v>
      </c>
      <c r="S547" s="34">
        <v>0</v>
      </c>
      <c r="T547" s="20">
        <v>0</v>
      </c>
      <c r="U547" s="21" t="s">
        <v>24</v>
      </c>
      <c r="V547" s="22">
        <f>IFERROR(RAW[[#This Row],[ACTUAL GROSS]]/RAW[[#This Row],[CONVERTED]],0)</f>
        <v>0</v>
      </c>
      <c r="W547" s="22">
        <f>IFERROR(RAW[[#This Row],[SALES]]/RAW[[#This Row],[HOURLY PAY]],0)</f>
        <v>0</v>
      </c>
    </row>
    <row r="548" spans="1:23" s="48" customFormat="1" x14ac:dyDescent="0.35">
      <c r="A548" s="23">
        <v>45364</v>
      </c>
      <c r="B548" s="24" t="s">
        <v>21</v>
      </c>
      <c r="C548" s="25" t="s">
        <v>41</v>
      </c>
      <c r="D548" s="14" t="s">
        <v>23</v>
      </c>
      <c r="E548" s="26">
        <v>0</v>
      </c>
      <c r="F548" s="26">
        <v>0</v>
      </c>
      <c r="G548" s="26">
        <v>0</v>
      </c>
      <c r="H548" s="26">
        <v>0</v>
      </c>
      <c r="I548" s="26">
        <v>0</v>
      </c>
      <c r="J548" s="26">
        <v>0</v>
      </c>
      <c r="K548" s="26">
        <v>0</v>
      </c>
      <c r="L548" s="27">
        <v>0</v>
      </c>
      <c r="M548" s="27">
        <v>0</v>
      </c>
      <c r="N548" s="28">
        <v>0</v>
      </c>
      <c r="O548" s="26">
        <v>0</v>
      </c>
      <c r="P548" s="26">
        <v>0</v>
      </c>
      <c r="Q548" s="33">
        <v>0</v>
      </c>
      <c r="R548" s="34">
        <v>0</v>
      </c>
      <c r="S548" s="34">
        <v>0</v>
      </c>
      <c r="T548" s="20">
        <v>0</v>
      </c>
      <c r="U548" s="21" t="s">
        <v>24</v>
      </c>
      <c r="V548" s="238">
        <f>IFERROR(RAW[[#This Row],[ACTUAL GROSS]]/RAW[[#This Row],[CONVERTED]],0)</f>
        <v>0</v>
      </c>
      <c r="W548" s="238">
        <f>IFERROR(RAW[[#This Row],[SALES]]/RAW[[#This Row],[HOURLY PAY]],0)</f>
        <v>0</v>
      </c>
    </row>
    <row r="549" spans="1:23" x14ac:dyDescent="0.35">
      <c r="A549" s="23">
        <v>45364</v>
      </c>
      <c r="B549" s="24" t="s">
        <v>25</v>
      </c>
      <c r="C549" s="25" t="s">
        <v>41</v>
      </c>
      <c r="D549" s="14" t="s">
        <v>23</v>
      </c>
      <c r="E549" s="26">
        <v>1915</v>
      </c>
      <c r="F549" s="26">
        <v>287.85000000000002</v>
      </c>
      <c r="G549" s="26">
        <v>106</v>
      </c>
      <c r="H549" s="26">
        <v>76.600000000000009</v>
      </c>
      <c r="I549" s="26">
        <v>4.8358800000000004</v>
      </c>
      <c r="J549" s="26">
        <v>27.32</v>
      </c>
      <c r="K549" s="26">
        <v>206.41412000000003</v>
      </c>
      <c r="L549" s="27">
        <v>6</v>
      </c>
      <c r="M549" s="27">
        <v>38</v>
      </c>
      <c r="N549" s="28">
        <v>6.6333333333333337</v>
      </c>
      <c r="O549" s="26">
        <v>14.129</v>
      </c>
      <c r="P549" s="26">
        <v>247.86312000000001</v>
      </c>
      <c r="Q549" s="33">
        <v>326.54312000000004</v>
      </c>
      <c r="R549" s="34">
        <v>1</v>
      </c>
      <c r="S549" s="34">
        <v>0</v>
      </c>
      <c r="T549" s="20">
        <v>0</v>
      </c>
      <c r="U549" s="21" t="s">
        <v>24</v>
      </c>
      <c r="V549" s="22">
        <f>IFERROR(RAW[[#This Row],[ACTUAL GROSS]]/RAW[[#This Row],[CONVERTED]],0)</f>
        <v>49.22760603015076</v>
      </c>
      <c r="W549" s="22">
        <f>IFERROR(RAW[[#This Row],[SALES]]/RAW[[#This Row],[HOURLY PAY]],0)</f>
        <v>135.5368391252035</v>
      </c>
    </row>
    <row r="550" spans="1:23" x14ac:dyDescent="0.35">
      <c r="A550" s="23">
        <v>45365</v>
      </c>
      <c r="B550" s="24" t="s">
        <v>21</v>
      </c>
      <c r="C550" s="25" t="s">
        <v>41</v>
      </c>
      <c r="D550" s="14" t="s">
        <v>26</v>
      </c>
      <c r="E550" s="26">
        <v>0</v>
      </c>
      <c r="F550" s="26">
        <v>0</v>
      </c>
      <c r="G550" s="26">
        <v>0</v>
      </c>
      <c r="H550" s="26">
        <v>0</v>
      </c>
      <c r="I550" s="26">
        <v>0</v>
      </c>
      <c r="J550" s="26">
        <v>0</v>
      </c>
      <c r="K550" s="26">
        <v>0</v>
      </c>
      <c r="L550" s="27">
        <v>0</v>
      </c>
      <c r="M550" s="27">
        <v>0</v>
      </c>
      <c r="N550" s="28">
        <v>0</v>
      </c>
      <c r="O550" s="26">
        <v>0</v>
      </c>
      <c r="P550" s="26">
        <v>0</v>
      </c>
      <c r="Q550" s="33">
        <v>0</v>
      </c>
      <c r="R550" s="34">
        <v>0</v>
      </c>
      <c r="S550" s="34">
        <v>0</v>
      </c>
      <c r="T550" s="20">
        <v>0</v>
      </c>
      <c r="U550" s="21" t="s">
        <v>24</v>
      </c>
      <c r="V550" s="22">
        <f>IFERROR(RAW[[#This Row],[ACTUAL GROSS]]/RAW[[#This Row],[CONVERTED]],0)</f>
        <v>0</v>
      </c>
      <c r="W550" s="22">
        <f>IFERROR(RAW[[#This Row],[SALES]]/RAW[[#This Row],[HOURLY PAY]],0)</f>
        <v>0</v>
      </c>
    </row>
    <row r="551" spans="1:23" x14ac:dyDescent="0.35">
      <c r="A551" s="23">
        <v>45365</v>
      </c>
      <c r="B551" s="24" t="s">
        <v>25</v>
      </c>
      <c r="C551" s="25" t="s">
        <v>41</v>
      </c>
      <c r="D551" s="14" t="s">
        <v>26</v>
      </c>
      <c r="E551" s="26">
        <v>0</v>
      </c>
      <c r="F551" s="26">
        <v>0</v>
      </c>
      <c r="G551" s="26">
        <v>0</v>
      </c>
      <c r="H551" s="26">
        <v>0</v>
      </c>
      <c r="I551" s="26">
        <v>0</v>
      </c>
      <c r="J551" s="26">
        <v>0</v>
      </c>
      <c r="K551" s="26">
        <v>0</v>
      </c>
      <c r="L551" s="27">
        <v>0</v>
      </c>
      <c r="M551" s="27">
        <v>0</v>
      </c>
      <c r="N551" s="28">
        <v>0</v>
      </c>
      <c r="O551" s="26">
        <v>0</v>
      </c>
      <c r="P551" s="26">
        <v>0</v>
      </c>
      <c r="Q551" s="33">
        <v>0</v>
      </c>
      <c r="R551" s="34">
        <v>0</v>
      </c>
      <c r="S551" s="34">
        <v>0</v>
      </c>
      <c r="T551" s="20">
        <v>0</v>
      </c>
      <c r="U551" s="21" t="s">
        <v>24</v>
      </c>
      <c r="V551" s="44">
        <f>IFERROR(RAW[[#This Row],[ACTUAL GROSS]]/RAW[[#This Row],[CONVERTED]],0)</f>
        <v>0</v>
      </c>
      <c r="W551" s="22">
        <f>IFERROR(RAW[[#This Row],[SALES]]/RAW[[#This Row],[HOURLY PAY]],0)</f>
        <v>0</v>
      </c>
    </row>
    <row r="552" spans="1:23" x14ac:dyDescent="0.35">
      <c r="A552" s="23">
        <v>45366</v>
      </c>
      <c r="B552" s="24" t="s">
        <v>21</v>
      </c>
      <c r="C552" s="25" t="s">
        <v>41</v>
      </c>
      <c r="D552" s="14" t="s">
        <v>27</v>
      </c>
      <c r="E552" s="26">
        <v>0</v>
      </c>
      <c r="F552" s="26">
        <v>0</v>
      </c>
      <c r="G552" s="26">
        <v>0</v>
      </c>
      <c r="H552" s="26">
        <v>0</v>
      </c>
      <c r="I552" s="26">
        <v>0</v>
      </c>
      <c r="J552" s="26">
        <v>0</v>
      </c>
      <c r="K552" s="26">
        <v>0</v>
      </c>
      <c r="L552" s="27">
        <v>0</v>
      </c>
      <c r="M552" s="27">
        <v>0</v>
      </c>
      <c r="N552" s="28">
        <v>0</v>
      </c>
      <c r="O552" s="26">
        <v>0</v>
      </c>
      <c r="P552" s="26">
        <v>0</v>
      </c>
      <c r="Q552" s="33">
        <v>0</v>
      </c>
      <c r="R552" s="34">
        <v>0</v>
      </c>
      <c r="S552" s="34">
        <v>0</v>
      </c>
      <c r="T552" s="20">
        <v>0</v>
      </c>
      <c r="U552" s="21" t="s">
        <v>24</v>
      </c>
      <c r="V552" s="22">
        <f>IFERROR(RAW[[#This Row],[ACTUAL GROSS]]/RAW[[#This Row],[CONVERTED]],0)</f>
        <v>0</v>
      </c>
      <c r="W552" s="22">
        <f>IFERROR(RAW[[#This Row],[SALES]]/RAW[[#This Row],[HOURLY PAY]],0)</f>
        <v>0</v>
      </c>
    </row>
    <row r="553" spans="1:23" x14ac:dyDescent="0.35">
      <c r="A553" s="23">
        <v>45366</v>
      </c>
      <c r="B553" s="24" t="s">
        <v>25</v>
      </c>
      <c r="C553" s="25" t="s">
        <v>41</v>
      </c>
      <c r="D553" s="14" t="s">
        <v>27</v>
      </c>
      <c r="E553" s="26">
        <v>1924.5</v>
      </c>
      <c r="F553" s="26">
        <v>288.36</v>
      </c>
      <c r="G553" s="26">
        <v>74</v>
      </c>
      <c r="H553" s="26">
        <v>76.98</v>
      </c>
      <c r="I553" s="26">
        <v>4.8444479999999999</v>
      </c>
      <c r="J553" s="26">
        <v>23.68</v>
      </c>
      <c r="K553" s="26">
        <v>206.535552</v>
      </c>
      <c r="L553" s="27">
        <v>8</v>
      </c>
      <c r="M553" s="27">
        <v>13</v>
      </c>
      <c r="N553" s="28">
        <v>8.2166666666666668</v>
      </c>
      <c r="O553" s="26">
        <v>17.5015</v>
      </c>
      <c r="P553" s="26">
        <v>247.717052</v>
      </c>
      <c r="Q553" s="33">
        <v>298.03705200000002</v>
      </c>
      <c r="R553" s="34">
        <v>1</v>
      </c>
      <c r="S553" s="34">
        <v>0</v>
      </c>
      <c r="T553" s="20">
        <v>0</v>
      </c>
      <c r="U553" s="21" t="s">
        <v>24</v>
      </c>
      <c r="V553" s="31">
        <f>IFERROR(RAW[[#This Row],[ACTUAL GROSS]]/RAW[[#This Row],[CONVERTED]],0)</f>
        <v>36.27225784989858</v>
      </c>
      <c r="W553" s="22">
        <f>IFERROR(RAW[[#This Row],[SALES]]/RAW[[#This Row],[HOURLY PAY]],0)</f>
        <v>109.9620032568637</v>
      </c>
    </row>
    <row r="554" spans="1:23" s="38" customFormat="1" x14ac:dyDescent="0.35">
      <c r="A554" s="23">
        <v>45367</v>
      </c>
      <c r="B554" s="24" t="s">
        <v>21</v>
      </c>
      <c r="C554" s="25" t="s">
        <v>41</v>
      </c>
      <c r="D554" s="14" t="s">
        <v>28</v>
      </c>
      <c r="E554" s="26">
        <v>567</v>
      </c>
      <c r="F554" s="26">
        <v>110.8</v>
      </c>
      <c r="G554" s="26">
        <v>0</v>
      </c>
      <c r="H554" s="26">
        <v>22.68</v>
      </c>
      <c r="I554" s="26">
        <v>1.8614399999999998</v>
      </c>
      <c r="J554" s="26">
        <v>0</v>
      </c>
      <c r="K554" s="26">
        <v>86.258560000000003</v>
      </c>
      <c r="L554" s="27">
        <v>4</v>
      </c>
      <c r="M554" s="27">
        <v>9</v>
      </c>
      <c r="N554" s="28">
        <v>4.1500000000000004</v>
      </c>
      <c r="O554" s="26">
        <v>8.839500000000001</v>
      </c>
      <c r="P554" s="26">
        <v>95.098060000000004</v>
      </c>
      <c r="Q554" s="33">
        <v>95.098060000000004</v>
      </c>
      <c r="R554" s="34">
        <v>1</v>
      </c>
      <c r="S554" s="34">
        <v>1</v>
      </c>
      <c r="T554" s="20">
        <v>0</v>
      </c>
      <c r="U554" s="21" t="s">
        <v>34</v>
      </c>
      <c r="V554" s="49">
        <f>IFERROR(RAW[[#This Row],[ACTUAL GROSS]]/RAW[[#This Row],[CONVERTED]],0)</f>
        <v>22.91519518072289</v>
      </c>
      <c r="W554" s="49">
        <f>IFERROR(RAW[[#This Row],[SALES]]/RAW[[#This Row],[HOURLY PAY]],0)</f>
        <v>64.143899541829285</v>
      </c>
    </row>
    <row r="555" spans="1:23" s="38" customFormat="1" x14ac:dyDescent="0.35">
      <c r="A555" s="23">
        <v>45367</v>
      </c>
      <c r="B555" s="24" t="s">
        <v>25</v>
      </c>
      <c r="C555" s="25" t="s">
        <v>41</v>
      </c>
      <c r="D555" s="14" t="s">
        <v>28</v>
      </c>
      <c r="E555" s="26">
        <v>1429</v>
      </c>
      <c r="F555" s="26">
        <v>232.06</v>
      </c>
      <c r="G555" s="26">
        <v>40</v>
      </c>
      <c r="H555" s="26">
        <v>57.160000000000004</v>
      </c>
      <c r="I555" s="26">
        <v>3.8986079999999999</v>
      </c>
      <c r="J555" s="26">
        <v>8.08</v>
      </c>
      <c r="K555" s="26">
        <v>171.00139200000001</v>
      </c>
      <c r="L555" s="27">
        <v>4</v>
      </c>
      <c r="M555" s="27">
        <v>12</v>
      </c>
      <c r="N555" s="28">
        <v>4.2</v>
      </c>
      <c r="O555" s="26">
        <v>8.9459999999999997</v>
      </c>
      <c r="P555" s="26">
        <v>188.02739200000002</v>
      </c>
      <c r="Q555" s="33">
        <v>219.94739200000001</v>
      </c>
      <c r="R555" s="34">
        <v>1</v>
      </c>
      <c r="S555" s="34">
        <v>0</v>
      </c>
      <c r="T555" s="20">
        <v>1</v>
      </c>
      <c r="U555" s="21" t="s">
        <v>34</v>
      </c>
      <c r="V555" s="49">
        <f>IFERROR(RAW[[#This Row],[ACTUAL GROSS]]/RAW[[#This Row],[CONVERTED]],0)</f>
        <v>52.368426666666664</v>
      </c>
      <c r="W555" s="49">
        <f>IFERROR(RAW[[#This Row],[SALES]]/RAW[[#This Row],[HOURLY PAY]],0)</f>
        <v>159.73619494746256</v>
      </c>
    </row>
    <row r="556" spans="1:23" x14ac:dyDescent="0.35">
      <c r="A556" s="23">
        <v>45368</v>
      </c>
      <c r="B556" s="24" t="s">
        <v>21</v>
      </c>
      <c r="C556" s="25" t="s">
        <v>41</v>
      </c>
      <c r="D556" s="14" t="s">
        <v>29</v>
      </c>
      <c r="E556" s="26">
        <v>357.5</v>
      </c>
      <c r="F556" s="26">
        <v>64.739999999999995</v>
      </c>
      <c r="G556" s="26">
        <v>7</v>
      </c>
      <c r="H556" s="26">
        <v>14.3</v>
      </c>
      <c r="I556" s="26">
        <v>1.0876319999999999</v>
      </c>
      <c r="J556" s="26">
        <v>3.52</v>
      </c>
      <c r="K556" s="26">
        <v>49.352367999999998</v>
      </c>
      <c r="L556" s="27">
        <v>4</v>
      </c>
      <c r="M556" s="27">
        <v>42</v>
      </c>
      <c r="N556" s="28">
        <v>4.7</v>
      </c>
      <c r="O556" s="26">
        <v>10.010999999999999</v>
      </c>
      <c r="P556" s="26">
        <v>62.883368000000004</v>
      </c>
      <c r="Q556" s="33">
        <v>66.363367999999994</v>
      </c>
      <c r="R556" s="34">
        <v>1</v>
      </c>
      <c r="S556" s="34">
        <v>1</v>
      </c>
      <c r="T556" s="20">
        <v>0</v>
      </c>
      <c r="U556" s="21" t="s">
        <v>24</v>
      </c>
      <c r="V556" s="42">
        <f>IFERROR(RAW[[#This Row],[ACTUAL GROSS]]/RAW[[#This Row],[CONVERTED]],0)</f>
        <v>14.119865531914892</v>
      </c>
      <c r="W556" s="22">
        <f>IFERROR(RAW[[#This Row],[SALES]]/RAW[[#This Row],[HOURLY PAY]],0)</f>
        <v>35.710718209969038</v>
      </c>
    </row>
    <row r="557" spans="1:23" x14ac:dyDescent="0.35">
      <c r="A557" s="23">
        <v>45368</v>
      </c>
      <c r="B557" s="24" t="s">
        <v>25</v>
      </c>
      <c r="C557" s="25" t="s">
        <v>41</v>
      </c>
      <c r="D557" s="14" t="s">
        <v>29</v>
      </c>
      <c r="E557" s="26">
        <v>0</v>
      </c>
      <c r="F557" s="26">
        <v>0</v>
      </c>
      <c r="G557" s="26">
        <v>0</v>
      </c>
      <c r="H557" s="26">
        <v>0</v>
      </c>
      <c r="I557" s="26">
        <v>0</v>
      </c>
      <c r="J557" s="26">
        <v>0</v>
      </c>
      <c r="K557" s="26">
        <v>0</v>
      </c>
      <c r="L557" s="27">
        <v>0</v>
      </c>
      <c r="M557" s="27">
        <v>0</v>
      </c>
      <c r="N557" s="28">
        <v>0</v>
      </c>
      <c r="O557" s="26">
        <v>0</v>
      </c>
      <c r="P557" s="26">
        <v>0</v>
      </c>
      <c r="Q557" s="33">
        <v>0</v>
      </c>
      <c r="R557" s="34">
        <v>0</v>
      </c>
      <c r="S557" s="34">
        <v>0</v>
      </c>
      <c r="T557" s="20">
        <v>0</v>
      </c>
      <c r="U557" s="21" t="s">
        <v>24</v>
      </c>
      <c r="V557" s="22">
        <f>IFERROR(RAW[[#This Row],[ACTUAL GROSS]]/RAW[[#This Row],[CONVERTED]],0)</f>
        <v>0</v>
      </c>
      <c r="W557" s="22">
        <f>IFERROR(RAW[[#This Row],[SALES]]/RAW[[#This Row],[HOURLY PAY]],0)</f>
        <v>0</v>
      </c>
    </row>
    <row r="558" spans="1:23" x14ac:dyDescent="0.35">
      <c r="A558" s="23">
        <v>45369</v>
      </c>
      <c r="B558" s="24" t="s">
        <v>21</v>
      </c>
      <c r="C558" s="25" t="s">
        <v>41</v>
      </c>
      <c r="D558" s="14" t="s">
        <v>30</v>
      </c>
      <c r="E558" s="26">
        <v>578.58000000000004</v>
      </c>
      <c r="F558" s="26">
        <v>108.55</v>
      </c>
      <c r="G558" s="26">
        <v>0</v>
      </c>
      <c r="H558" s="26">
        <v>23.143200000000004</v>
      </c>
      <c r="I558" s="26">
        <v>1.8236399999999999</v>
      </c>
      <c r="J558" s="26">
        <v>0</v>
      </c>
      <c r="K558" s="26">
        <v>83.583159999999992</v>
      </c>
      <c r="L558" s="27">
        <v>3</v>
      </c>
      <c r="M558" s="27">
        <v>27</v>
      </c>
      <c r="N558" s="28">
        <v>3.45</v>
      </c>
      <c r="O558" s="26">
        <v>7.3484999999999996</v>
      </c>
      <c r="P558" s="26">
        <v>90.931659999999994</v>
      </c>
      <c r="Q558" s="33">
        <v>90.931659999999994</v>
      </c>
      <c r="R558" s="34">
        <v>1</v>
      </c>
      <c r="S558" s="34">
        <v>1</v>
      </c>
      <c r="T558" s="20">
        <v>0</v>
      </c>
      <c r="U558" s="21" t="s">
        <v>34</v>
      </c>
      <c r="V558" s="22">
        <f>IFERROR(RAW[[#This Row],[ACTUAL GROSS]]/RAW[[#This Row],[CONVERTED]],0)</f>
        <v>26.357002898550721</v>
      </c>
      <c r="W558" s="22">
        <f>IFERROR(RAW[[#This Row],[SALES]]/RAW[[#This Row],[HOURLY PAY]],0)</f>
        <v>78.734435599101872</v>
      </c>
    </row>
    <row r="559" spans="1:23" x14ac:dyDescent="0.35">
      <c r="A559" s="23">
        <v>45369</v>
      </c>
      <c r="B559" s="24" t="s">
        <v>25</v>
      </c>
      <c r="C559" s="25" t="s">
        <v>41</v>
      </c>
      <c r="D559" s="14" t="s">
        <v>30</v>
      </c>
      <c r="E559" s="26">
        <v>1089</v>
      </c>
      <c r="F559" s="26">
        <v>211.45</v>
      </c>
      <c r="G559" s="26">
        <v>0</v>
      </c>
      <c r="H559" s="26">
        <v>43.56</v>
      </c>
      <c r="I559" s="26">
        <v>3.5523599999999997</v>
      </c>
      <c r="J559" s="26">
        <v>0</v>
      </c>
      <c r="K559" s="26">
        <v>164.33763999999999</v>
      </c>
      <c r="L559" s="27">
        <v>4</v>
      </c>
      <c r="M559" s="27">
        <v>31</v>
      </c>
      <c r="N559" s="28">
        <v>4.5166666666666666</v>
      </c>
      <c r="O559" s="26">
        <v>9.6204999999999998</v>
      </c>
      <c r="P559" s="26">
        <v>173.95813999999999</v>
      </c>
      <c r="Q559" s="33">
        <v>173.95813999999999</v>
      </c>
      <c r="R559" s="34">
        <v>1</v>
      </c>
      <c r="S559" s="34">
        <v>0</v>
      </c>
      <c r="T559" s="20">
        <v>1</v>
      </c>
      <c r="U559" s="21" t="s">
        <v>34</v>
      </c>
      <c r="V559" s="22">
        <f>IFERROR(RAW[[#This Row],[ACTUAL GROSS]]/RAW[[#This Row],[CONVERTED]],0)</f>
        <v>38.51471734317343</v>
      </c>
      <c r="W559" s="22">
        <f>IFERROR(RAW[[#This Row],[SALES]]/RAW[[#This Row],[HOURLY PAY]],0)</f>
        <v>113.1957798451224</v>
      </c>
    </row>
    <row r="560" spans="1:23" x14ac:dyDescent="0.35">
      <c r="A560" s="23">
        <v>45370</v>
      </c>
      <c r="B560" s="24" t="s">
        <v>21</v>
      </c>
      <c r="C560" s="25" t="s">
        <v>41</v>
      </c>
      <c r="D560" s="14" t="s">
        <v>31</v>
      </c>
      <c r="E560" s="26">
        <v>0</v>
      </c>
      <c r="F560" s="26">
        <v>0</v>
      </c>
      <c r="G560" s="26">
        <v>0</v>
      </c>
      <c r="H560" s="26">
        <v>0</v>
      </c>
      <c r="I560" s="26">
        <v>0</v>
      </c>
      <c r="J560" s="26">
        <v>0</v>
      </c>
      <c r="K560" s="26">
        <v>0</v>
      </c>
      <c r="L560" s="27">
        <v>0</v>
      </c>
      <c r="M560" s="27">
        <v>0</v>
      </c>
      <c r="N560" s="28">
        <v>0</v>
      </c>
      <c r="O560" s="26">
        <v>0</v>
      </c>
      <c r="P560" s="26">
        <v>0</v>
      </c>
      <c r="Q560" s="33">
        <v>0</v>
      </c>
      <c r="R560" s="34">
        <v>0</v>
      </c>
      <c r="S560" s="34">
        <v>0</v>
      </c>
      <c r="T560" s="20">
        <v>0</v>
      </c>
      <c r="U560" s="21" t="s">
        <v>24</v>
      </c>
      <c r="V560" s="22">
        <f>IFERROR(RAW[[#This Row],[ACTUAL GROSS]]/RAW[[#This Row],[CONVERTED]],0)</f>
        <v>0</v>
      </c>
      <c r="W560" s="22">
        <f>IFERROR(RAW[[#This Row],[SALES]]/RAW[[#This Row],[HOURLY PAY]],0)</f>
        <v>0</v>
      </c>
    </row>
    <row r="561" spans="1:39" x14ac:dyDescent="0.35">
      <c r="A561" s="23">
        <v>45370</v>
      </c>
      <c r="B561" s="24" t="s">
        <v>25</v>
      </c>
      <c r="C561" s="25" t="s">
        <v>41</v>
      </c>
      <c r="D561" s="14" t="s">
        <v>31</v>
      </c>
      <c r="E561" s="26">
        <v>0</v>
      </c>
      <c r="F561" s="26">
        <v>0</v>
      </c>
      <c r="G561" s="26">
        <v>0</v>
      </c>
      <c r="H561" s="26">
        <v>0</v>
      </c>
      <c r="I561" s="26">
        <v>0</v>
      </c>
      <c r="J561" s="26">
        <v>0</v>
      </c>
      <c r="K561" s="26">
        <v>0</v>
      </c>
      <c r="L561" s="27">
        <v>0</v>
      </c>
      <c r="M561" s="27">
        <v>0</v>
      </c>
      <c r="N561" s="28">
        <v>0</v>
      </c>
      <c r="O561" s="26">
        <v>0</v>
      </c>
      <c r="P561" s="26">
        <v>0</v>
      </c>
      <c r="Q561" s="33">
        <v>0</v>
      </c>
      <c r="R561" s="34">
        <v>0</v>
      </c>
      <c r="S561" s="34">
        <v>0</v>
      </c>
      <c r="T561" s="20">
        <v>0</v>
      </c>
      <c r="U561" s="21" t="s">
        <v>24</v>
      </c>
      <c r="V561" s="22">
        <f>IFERROR(RAW[[#This Row],[ACTUAL GROSS]]/RAW[[#This Row],[CONVERTED]],0)</f>
        <v>0</v>
      </c>
      <c r="W561" s="22">
        <f>IFERROR(RAW[[#This Row],[SALES]]/RAW[[#This Row],[HOURLY PAY]],0)</f>
        <v>0</v>
      </c>
    </row>
    <row r="562" spans="1:39" s="48" customFormat="1" x14ac:dyDescent="0.35">
      <c r="A562" s="23">
        <v>45371</v>
      </c>
      <c r="B562" s="24" t="s">
        <v>21</v>
      </c>
      <c r="C562" s="25" t="s">
        <v>41</v>
      </c>
      <c r="D562" s="14" t="s">
        <v>23</v>
      </c>
      <c r="E562" s="26">
        <v>0</v>
      </c>
      <c r="F562" s="26">
        <v>0</v>
      </c>
      <c r="G562" s="26">
        <v>0</v>
      </c>
      <c r="H562" s="26">
        <v>0</v>
      </c>
      <c r="I562" s="26">
        <v>0</v>
      </c>
      <c r="J562" s="26">
        <v>0</v>
      </c>
      <c r="K562" s="26">
        <v>0</v>
      </c>
      <c r="L562" s="27">
        <v>0</v>
      </c>
      <c r="M562" s="27">
        <v>0</v>
      </c>
      <c r="N562" s="28">
        <v>0</v>
      </c>
      <c r="O562" s="26">
        <v>0</v>
      </c>
      <c r="P562" s="26">
        <v>0</v>
      </c>
      <c r="Q562" s="33">
        <v>0</v>
      </c>
      <c r="R562" s="34">
        <v>0</v>
      </c>
      <c r="S562" s="34">
        <v>0</v>
      </c>
      <c r="T562" s="20">
        <v>0</v>
      </c>
      <c r="U562" s="21" t="s">
        <v>24</v>
      </c>
      <c r="V562" s="238">
        <f>IFERROR(RAW[[#This Row],[ACTUAL GROSS]]/RAW[[#This Row],[CONVERTED]],0)</f>
        <v>0</v>
      </c>
      <c r="W562" s="238">
        <f>IFERROR(RAW[[#This Row],[SALES]]/RAW[[#This Row],[HOURLY PAY]],0)</f>
        <v>0</v>
      </c>
    </row>
    <row r="563" spans="1:39" x14ac:dyDescent="0.35">
      <c r="A563" s="23">
        <v>45371</v>
      </c>
      <c r="B563" s="24" t="s">
        <v>25</v>
      </c>
      <c r="C563" s="25" t="s">
        <v>41</v>
      </c>
      <c r="D563" s="14" t="s">
        <v>23</v>
      </c>
      <c r="E563" s="26">
        <v>365</v>
      </c>
      <c r="F563" s="26">
        <v>59.6</v>
      </c>
      <c r="G563" s="26">
        <v>0</v>
      </c>
      <c r="H563" s="26">
        <v>14.6</v>
      </c>
      <c r="I563" s="26">
        <v>1.0012799999999999</v>
      </c>
      <c r="J563" s="26">
        <v>0</v>
      </c>
      <c r="K563" s="26">
        <v>43.998720000000006</v>
      </c>
      <c r="L563" s="27">
        <v>4</v>
      </c>
      <c r="M563" s="27">
        <v>14</v>
      </c>
      <c r="N563" s="28">
        <v>4.2333333333333334</v>
      </c>
      <c r="O563" s="26">
        <v>9.0169999999999995</v>
      </c>
      <c r="P563" s="26">
        <v>53.015720000000002</v>
      </c>
      <c r="Q563" s="33">
        <v>53.015720000000002</v>
      </c>
      <c r="R563" s="34">
        <v>1</v>
      </c>
      <c r="S563" s="34">
        <v>0</v>
      </c>
      <c r="T563" s="20">
        <v>0</v>
      </c>
      <c r="U563" s="21" t="s">
        <v>24</v>
      </c>
      <c r="V563" s="22">
        <f>IFERROR(RAW[[#This Row],[ACTUAL GROSS]]/RAW[[#This Row],[CONVERTED]],0)</f>
        <v>12.52339842519685</v>
      </c>
      <c r="W563" s="22">
        <f>IFERROR(RAW[[#This Row],[SALES]]/RAW[[#This Row],[HOURLY PAY]],0)</f>
        <v>40.479095042697132</v>
      </c>
    </row>
    <row r="564" spans="1:39" x14ac:dyDescent="0.35">
      <c r="A564" s="23">
        <v>45372</v>
      </c>
      <c r="B564" s="24" t="s">
        <v>21</v>
      </c>
      <c r="C564" s="25" t="s">
        <v>41</v>
      </c>
      <c r="D564" s="14" t="s">
        <v>26</v>
      </c>
      <c r="E564" s="26">
        <v>0</v>
      </c>
      <c r="F564" s="26">
        <v>0</v>
      </c>
      <c r="G564" s="26">
        <v>0</v>
      </c>
      <c r="H564" s="26">
        <v>0</v>
      </c>
      <c r="I564" s="26">
        <v>0</v>
      </c>
      <c r="J564" s="26">
        <v>0</v>
      </c>
      <c r="K564" s="26">
        <v>0</v>
      </c>
      <c r="L564" s="27">
        <v>0</v>
      </c>
      <c r="M564" s="27">
        <v>0</v>
      </c>
      <c r="N564" s="28">
        <v>0</v>
      </c>
      <c r="O564" s="26">
        <v>0</v>
      </c>
      <c r="P564" s="26">
        <v>0</v>
      </c>
      <c r="Q564" s="33">
        <v>0</v>
      </c>
      <c r="R564" s="34">
        <v>0</v>
      </c>
      <c r="S564" s="34">
        <v>0</v>
      </c>
      <c r="T564" s="20">
        <v>0</v>
      </c>
      <c r="U564" s="21" t="s">
        <v>24</v>
      </c>
      <c r="V564" s="22">
        <f>IFERROR(RAW[[#This Row],[ACTUAL GROSS]]/RAW[[#This Row],[CONVERTED]],0)</f>
        <v>0</v>
      </c>
      <c r="W564" s="22">
        <f>IFERROR(RAW[[#This Row],[SALES]]/RAW[[#This Row],[HOURLY PAY]],0)</f>
        <v>0</v>
      </c>
    </row>
    <row r="565" spans="1:39" x14ac:dyDescent="0.35">
      <c r="A565" s="23">
        <v>45372</v>
      </c>
      <c r="B565" s="24" t="s">
        <v>25</v>
      </c>
      <c r="C565" s="25" t="s">
        <v>41</v>
      </c>
      <c r="D565" s="14" t="s">
        <v>26</v>
      </c>
      <c r="E565" s="26">
        <v>0</v>
      </c>
      <c r="F565" s="26">
        <v>0</v>
      </c>
      <c r="G565" s="26">
        <v>0</v>
      </c>
      <c r="H565" s="26">
        <v>0</v>
      </c>
      <c r="I565" s="26">
        <v>0</v>
      </c>
      <c r="J565" s="26">
        <v>0</v>
      </c>
      <c r="K565" s="26">
        <v>0</v>
      </c>
      <c r="L565" s="27">
        <v>0</v>
      </c>
      <c r="M565" s="27">
        <v>0</v>
      </c>
      <c r="N565" s="28">
        <v>0</v>
      </c>
      <c r="O565" s="26">
        <v>0</v>
      </c>
      <c r="P565" s="26">
        <v>0</v>
      </c>
      <c r="Q565" s="33">
        <v>0</v>
      </c>
      <c r="R565" s="34">
        <v>0</v>
      </c>
      <c r="S565" s="34">
        <v>0</v>
      </c>
      <c r="T565" s="20">
        <v>0</v>
      </c>
      <c r="U565" s="21" t="s">
        <v>24</v>
      </c>
      <c r="V565" s="44">
        <f>IFERROR(RAW[[#This Row],[ACTUAL GROSS]]/RAW[[#This Row],[CONVERTED]],0)</f>
        <v>0</v>
      </c>
      <c r="W565" s="22">
        <f>IFERROR(RAW[[#This Row],[SALES]]/RAW[[#This Row],[HOURLY PAY]],0)</f>
        <v>0</v>
      </c>
    </row>
    <row r="566" spans="1:39" x14ac:dyDescent="0.35">
      <c r="A566" s="23">
        <v>45373</v>
      </c>
      <c r="B566" s="24" t="s">
        <v>21</v>
      </c>
      <c r="C566" s="25" t="s">
        <v>41</v>
      </c>
      <c r="D566" s="14" t="s">
        <v>27</v>
      </c>
      <c r="E566" s="26">
        <v>0</v>
      </c>
      <c r="F566" s="26">
        <v>0</v>
      </c>
      <c r="G566" s="26">
        <v>0</v>
      </c>
      <c r="H566" s="26">
        <v>0</v>
      </c>
      <c r="I566" s="26">
        <v>0</v>
      </c>
      <c r="J566" s="26">
        <v>0</v>
      </c>
      <c r="K566" s="26">
        <v>0</v>
      </c>
      <c r="L566" s="27">
        <v>0</v>
      </c>
      <c r="M566" s="27">
        <v>0</v>
      </c>
      <c r="N566" s="28">
        <v>0</v>
      </c>
      <c r="O566" s="26">
        <v>0</v>
      </c>
      <c r="P566" s="26">
        <v>0</v>
      </c>
      <c r="Q566" s="33">
        <v>0</v>
      </c>
      <c r="R566" s="34">
        <v>0</v>
      </c>
      <c r="S566" s="34">
        <v>0</v>
      </c>
      <c r="T566" s="20">
        <v>0</v>
      </c>
      <c r="U566" s="21" t="s">
        <v>24</v>
      </c>
      <c r="V566" s="22">
        <f>IFERROR(RAW[[#This Row],[ACTUAL GROSS]]/RAW[[#This Row],[CONVERTED]],0)</f>
        <v>0</v>
      </c>
      <c r="W566" s="22">
        <f>IFERROR(RAW[[#This Row],[SALES]]/RAW[[#This Row],[HOURLY PAY]],0)</f>
        <v>0</v>
      </c>
    </row>
    <row r="567" spans="1:39" x14ac:dyDescent="0.35">
      <c r="A567" s="23">
        <v>45373</v>
      </c>
      <c r="B567" s="24" t="s">
        <v>25</v>
      </c>
      <c r="C567" s="25" t="s">
        <v>41</v>
      </c>
      <c r="D567" s="14" t="s">
        <v>27</v>
      </c>
      <c r="E567" s="26">
        <v>0</v>
      </c>
      <c r="F567" s="26">
        <v>0</v>
      </c>
      <c r="G567" s="26">
        <v>0</v>
      </c>
      <c r="H567" s="26">
        <v>0</v>
      </c>
      <c r="I567" s="26">
        <v>0</v>
      </c>
      <c r="J567" s="26">
        <v>0</v>
      </c>
      <c r="K567" s="26">
        <v>0</v>
      </c>
      <c r="L567" s="27">
        <v>0</v>
      </c>
      <c r="M567" s="27">
        <v>0</v>
      </c>
      <c r="N567" s="28">
        <v>0</v>
      </c>
      <c r="O567" s="26">
        <v>0</v>
      </c>
      <c r="P567" s="26">
        <v>0</v>
      </c>
      <c r="Q567" s="33">
        <v>0</v>
      </c>
      <c r="R567" s="34">
        <v>0</v>
      </c>
      <c r="S567" s="34">
        <v>0</v>
      </c>
      <c r="T567" s="20">
        <v>0</v>
      </c>
      <c r="U567" s="21" t="s">
        <v>24</v>
      </c>
      <c r="V567" s="31">
        <f>IFERROR(RAW[[#This Row],[ACTUAL GROSS]]/RAW[[#This Row],[CONVERTED]],0)</f>
        <v>0</v>
      </c>
      <c r="W567" s="22">
        <f>IFERROR(RAW[[#This Row],[SALES]]/RAW[[#This Row],[HOURLY PAY]],0)</f>
        <v>0</v>
      </c>
    </row>
    <row r="568" spans="1:39" x14ac:dyDescent="0.35">
      <c r="A568" s="23">
        <v>45374</v>
      </c>
      <c r="B568" s="24" t="s">
        <v>21</v>
      </c>
      <c r="C568" s="25" t="s">
        <v>41</v>
      </c>
      <c r="D568" s="14" t="s">
        <v>28</v>
      </c>
      <c r="E568" s="26">
        <v>0</v>
      </c>
      <c r="F568" s="26">
        <v>0</v>
      </c>
      <c r="G568" s="26">
        <v>0</v>
      </c>
      <c r="H568" s="26">
        <v>0</v>
      </c>
      <c r="I568" s="26">
        <v>0</v>
      </c>
      <c r="J568" s="26">
        <v>0</v>
      </c>
      <c r="K568" s="26">
        <v>0</v>
      </c>
      <c r="L568" s="27">
        <v>0</v>
      </c>
      <c r="M568" s="27">
        <v>0</v>
      </c>
      <c r="N568" s="28">
        <v>0</v>
      </c>
      <c r="O568" s="26">
        <v>0</v>
      </c>
      <c r="P568" s="26">
        <v>0</v>
      </c>
      <c r="Q568" s="33">
        <v>0</v>
      </c>
      <c r="R568" s="34">
        <v>0</v>
      </c>
      <c r="S568" s="34">
        <v>0</v>
      </c>
      <c r="T568" s="20">
        <v>0</v>
      </c>
      <c r="U568" s="21" t="s">
        <v>24</v>
      </c>
      <c r="V568" s="22">
        <f>IFERROR(RAW[[#This Row],[ACTUAL GROSS]]/RAW[[#This Row],[CONVERTED]],0)</f>
        <v>0</v>
      </c>
      <c r="W568" s="22">
        <f>IFERROR(RAW[[#This Row],[SALES]]/RAW[[#This Row],[HOURLY PAY]],0)</f>
        <v>0</v>
      </c>
    </row>
    <row r="569" spans="1:39" x14ac:dyDescent="0.35">
      <c r="A569" s="23">
        <v>45374</v>
      </c>
      <c r="B569" s="24" t="s">
        <v>25</v>
      </c>
      <c r="C569" s="25" t="s">
        <v>41</v>
      </c>
      <c r="D569" s="14" t="s">
        <v>28</v>
      </c>
      <c r="E569" s="26">
        <v>1565.5</v>
      </c>
      <c r="F569" s="26">
        <v>274.33999999999997</v>
      </c>
      <c r="G569" s="26">
        <v>9</v>
      </c>
      <c r="H569" s="26">
        <v>62.620000000000005</v>
      </c>
      <c r="I569" s="26">
        <v>4.6089119999999992</v>
      </c>
      <c r="J569" s="26">
        <v>4.5199999999999996</v>
      </c>
      <c r="K569" s="26">
        <v>207.11108799999997</v>
      </c>
      <c r="L569" s="27">
        <v>6</v>
      </c>
      <c r="M569" s="27">
        <v>45</v>
      </c>
      <c r="N569" s="28">
        <v>6.75</v>
      </c>
      <c r="O569" s="26">
        <v>14.3775</v>
      </c>
      <c r="P569" s="26">
        <v>226.00858799999997</v>
      </c>
      <c r="Q569" s="33">
        <v>230.48858799999996</v>
      </c>
      <c r="R569" s="34">
        <v>1</v>
      </c>
      <c r="S569" s="34">
        <v>0</v>
      </c>
      <c r="T569" s="20">
        <v>0</v>
      </c>
      <c r="U569" s="21" t="s">
        <v>24</v>
      </c>
      <c r="V569" s="22">
        <f>IFERROR(RAW[[#This Row],[ACTUAL GROSS]]/RAW[[#This Row],[CONVERTED]],0)</f>
        <v>34.146457481481477</v>
      </c>
      <c r="W569" s="22">
        <f>IFERROR(RAW[[#This Row],[SALES]]/RAW[[#This Row],[HOURLY PAY]],0)</f>
        <v>108.88541123282907</v>
      </c>
    </row>
    <row r="570" spans="1:39" x14ac:dyDescent="0.35">
      <c r="A570" s="23">
        <v>45375</v>
      </c>
      <c r="B570" s="24" t="s">
        <v>21</v>
      </c>
      <c r="C570" s="25" t="s">
        <v>41</v>
      </c>
      <c r="D570" s="14" t="s">
        <v>29</v>
      </c>
      <c r="E570" s="26">
        <v>913</v>
      </c>
      <c r="F570" s="26">
        <v>159.15</v>
      </c>
      <c r="G570" s="26">
        <v>25</v>
      </c>
      <c r="H570" s="26">
        <v>36.520000000000003</v>
      </c>
      <c r="I570" s="26">
        <v>2.6737199999999999</v>
      </c>
      <c r="J570" s="26">
        <v>7.76</v>
      </c>
      <c r="K570" s="26">
        <v>119.95627999999999</v>
      </c>
      <c r="L570" s="27">
        <v>5</v>
      </c>
      <c r="M570" s="27">
        <v>0</v>
      </c>
      <c r="N570" s="28">
        <v>5</v>
      </c>
      <c r="O570" s="26">
        <v>10.649999999999999</v>
      </c>
      <c r="P570" s="26">
        <v>138.36627999999999</v>
      </c>
      <c r="Q570" s="33">
        <v>155.60628</v>
      </c>
      <c r="R570" s="34">
        <v>1</v>
      </c>
      <c r="S570" s="34">
        <v>1</v>
      </c>
      <c r="T570" s="20">
        <v>0</v>
      </c>
      <c r="U570" s="21" t="s">
        <v>24</v>
      </c>
      <c r="V570" s="42">
        <f>IFERROR(RAW[[#This Row],[ACTUAL GROSS]]/RAW[[#This Row],[CONVERTED]],0)</f>
        <v>31.121255999999999</v>
      </c>
      <c r="W570" s="22">
        <f>IFERROR(RAW[[#This Row],[SALES]]/RAW[[#This Row],[HOURLY PAY]],0)</f>
        <v>85.727699530516446</v>
      </c>
    </row>
    <row r="571" spans="1:39" x14ac:dyDescent="0.35">
      <c r="A571" s="23">
        <v>45375</v>
      </c>
      <c r="B571" s="24" t="s">
        <v>25</v>
      </c>
      <c r="C571" s="25" t="s">
        <v>41</v>
      </c>
      <c r="D571" s="14" t="s">
        <v>29</v>
      </c>
      <c r="E571" s="26">
        <v>0</v>
      </c>
      <c r="F571" s="26">
        <v>0</v>
      </c>
      <c r="G571" s="26">
        <v>0</v>
      </c>
      <c r="H571" s="26">
        <v>0</v>
      </c>
      <c r="I571" s="26">
        <v>0</v>
      </c>
      <c r="J571" s="26">
        <v>0</v>
      </c>
      <c r="K571" s="26">
        <v>0</v>
      </c>
      <c r="L571" s="27">
        <v>0</v>
      </c>
      <c r="M571" s="27">
        <v>0</v>
      </c>
      <c r="N571" s="28">
        <v>0</v>
      </c>
      <c r="O571" s="26">
        <v>0</v>
      </c>
      <c r="P571" s="26">
        <v>0</v>
      </c>
      <c r="Q571" s="33">
        <v>0</v>
      </c>
      <c r="R571" s="34">
        <v>0</v>
      </c>
      <c r="S571" s="34">
        <v>0</v>
      </c>
      <c r="T571" s="20">
        <v>0</v>
      </c>
      <c r="U571" s="21" t="s">
        <v>24</v>
      </c>
      <c r="V571" s="22">
        <f>IFERROR(RAW[[#This Row],[ACTUAL GROSS]]/RAW[[#This Row],[CONVERTED]],0)</f>
        <v>0</v>
      </c>
      <c r="W571" s="22">
        <f>IFERROR(RAW[[#This Row],[SALES]]/RAW[[#This Row],[HOURLY PAY]],0)</f>
        <v>0</v>
      </c>
    </row>
    <row r="572" spans="1:39" x14ac:dyDescent="0.35">
      <c r="A572" s="23">
        <v>45376</v>
      </c>
      <c r="B572" s="24" t="s">
        <v>21</v>
      </c>
      <c r="C572" s="25" t="s">
        <v>41</v>
      </c>
      <c r="D572" s="14" t="s">
        <v>30</v>
      </c>
      <c r="E572" s="26">
        <v>341.5</v>
      </c>
      <c r="F572" s="26">
        <v>63.24</v>
      </c>
      <c r="G572" s="26">
        <v>0</v>
      </c>
      <c r="H572" s="26">
        <v>13.66</v>
      </c>
      <c r="I572" s="26">
        <v>1.062432</v>
      </c>
      <c r="J572" s="26">
        <v>0</v>
      </c>
      <c r="K572" s="26">
        <v>48.517568000000004</v>
      </c>
      <c r="L572" s="27">
        <v>3</v>
      </c>
      <c r="M572" s="27">
        <v>25</v>
      </c>
      <c r="N572" s="28">
        <v>3.4166666666666665</v>
      </c>
      <c r="O572" s="26">
        <v>7.277499999999999</v>
      </c>
      <c r="P572" s="26">
        <v>55.795068000000001</v>
      </c>
      <c r="Q572" s="33">
        <v>55.795068000000001</v>
      </c>
      <c r="R572" s="34">
        <v>1</v>
      </c>
      <c r="S572" s="34">
        <v>1</v>
      </c>
      <c r="T572" s="20">
        <v>0</v>
      </c>
      <c r="U572" s="21" t="s">
        <v>34</v>
      </c>
      <c r="V572" s="22">
        <f>IFERROR(RAW[[#This Row],[ACTUAL GROSS]]/RAW[[#This Row],[CONVERTED]],0)</f>
        <v>16.330263804878051</v>
      </c>
      <c r="W572" s="22">
        <f>IFERROR(RAW[[#This Row],[SALES]]/RAW[[#This Row],[HOURLY PAY]],0)</f>
        <v>46.925455170044664</v>
      </c>
    </row>
    <row r="573" spans="1:39" x14ac:dyDescent="0.35">
      <c r="A573" s="23">
        <v>45376</v>
      </c>
      <c r="B573" s="24" t="s">
        <v>25</v>
      </c>
      <c r="C573" s="25" t="s">
        <v>41</v>
      </c>
      <c r="D573" s="14" t="s">
        <v>30</v>
      </c>
      <c r="E573" s="26">
        <v>1253.5</v>
      </c>
      <c r="F573" s="26">
        <v>234.11</v>
      </c>
      <c r="G573" s="26">
        <v>20</v>
      </c>
      <c r="H573" s="26">
        <v>50.14</v>
      </c>
      <c r="I573" s="26">
        <v>3.9330479999999999</v>
      </c>
      <c r="J573" s="26">
        <v>6.64</v>
      </c>
      <c r="K573" s="26">
        <v>180.03695200000001</v>
      </c>
      <c r="L573" s="27">
        <v>5</v>
      </c>
      <c r="M573" s="27">
        <v>57</v>
      </c>
      <c r="N573" s="28">
        <v>5.95</v>
      </c>
      <c r="O573" s="26">
        <v>12.673499999999999</v>
      </c>
      <c r="P573" s="26">
        <v>199.35045199999999</v>
      </c>
      <c r="Q573" s="33">
        <v>212.710452</v>
      </c>
      <c r="R573" s="34">
        <v>1</v>
      </c>
      <c r="S573" s="34">
        <v>0</v>
      </c>
      <c r="T573" s="20">
        <v>1</v>
      </c>
      <c r="U573" s="21" t="s">
        <v>34</v>
      </c>
      <c r="V573" s="22">
        <f>IFERROR(RAW[[#This Row],[ACTUAL GROSS]]/RAW[[#This Row],[CONVERTED]],0)</f>
        <v>35.749655798319324</v>
      </c>
      <c r="W573" s="22">
        <f>IFERROR(RAW[[#This Row],[SALES]]/RAW[[#This Row],[HOURLY PAY]],0)</f>
        <v>98.907168501203302</v>
      </c>
    </row>
    <row r="574" spans="1:39" x14ac:dyDescent="0.35">
      <c r="A574" s="23">
        <v>45377</v>
      </c>
      <c r="B574" s="24" t="s">
        <v>21</v>
      </c>
      <c r="C574" s="25" t="s">
        <v>41</v>
      </c>
      <c r="D574" s="14" t="s">
        <v>31</v>
      </c>
      <c r="E574" s="26">
        <v>0</v>
      </c>
      <c r="F574" s="26">
        <v>0</v>
      </c>
      <c r="G574" s="26">
        <v>0</v>
      </c>
      <c r="H574" s="26">
        <v>0</v>
      </c>
      <c r="I574" s="26">
        <v>0</v>
      </c>
      <c r="J574" s="26">
        <v>0</v>
      </c>
      <c r="K574" s="26">
        <v>0</v>
      </c>
      <c r="L574" s="27">
        <v>0</v>
      </c>
      <c r="M574" s="27">
        <v>0</v>
      </c>
      <c r="N574" s="28">
        <v>0</v>
      </c>
      <c r="O574" s="26">
        <v>0</v>
      </c>
      <c r="P574" s="26">
        <v>0</v>
      </c>
      <c r="Q574" s="33">
        <v>0</v>
      </c>
      <c r="R574" s="34">
        <v>0</v>
      </c>
      <c r="S574" s="34">
        <v>0</v>
      </c>
      <c r="T574" s="20">
        <v>0</v>
      </c>
      <c r="U574" s="21" t="s">
        <v>24</v>
      </c>
      <c r="V574" s="22">
        <f>IFERROR(RAW[[#This Row],[ACTUAL GROSS]]/RAW[[#This Row],[CONVERTED]],0)</f>
        <v>0</v>
      </c>
      <c r="W574" s="22">
        <f>IFERROR(RAW[[#This Row],[SALES]]/RAW[[#This Row],[HOURLY PAY]],0)</f>
        <v>0</v>
      </c>
    </row>
    <row r="575" spans="1:39" x14ac:dyDescent="0.35">
      <c r="A575" s="50">
        <v>45377</v>
      </c>
      <c r="B575" s="51" t="s">
        <v>25</v>
      </c>
      <c r="C575" s="52" t="s">
        <v>41</v>
      </c>
      <c r="D575" s="14" t="s">
        <v>31</v>
      </c>
      <c r="E575" s="53">
        <v>0</v>
      </c>
      <c r="F575" s="53">
        <v>0</v>
      </c>
      <c r="G575" s="53">
        <v>0</v>
      </c>
      <c r="H575" s="53">
        <v>0</v>
      </c>
      <c r="I575" s="53">
        <v>0</v>
      </c>
      <c r="J575" s="53">
        <v>0</v>
      </c>
      <c r="K575" s="53">
        <v>0</v>
      </c>
      <c r="L575" s="54">
        <v>0</v>
      </c>
      <c r="M575" s="54">
        <v>0</v>
      </c>
      <c r="N575" s="55">
        <v>0</v>
      </c>
      <c r="O575" s="53">
        <v>0</v>
      </c>
      <c r="P575" s="53">
        <v>0</v>
      </c>
      <c r="Q575" s="56">
        <v>0</v>
      </c>
      <c r="R575" s="34">
        <v>0</v>
      </c>
      <c r="S575" s="34">
        <v>0</v>
      </c>
      <c r="T575" s="20">
        <v>0</v>
      </c>
      <c r="U575" s="21" t="s">
        <v>24</v>
      </c>
      <c r="V575" s="22">
        <f>IFERROR(RAW[[#This Row],[ACTUAL GROSS]]/RAW[[#This Row],[CONVERTED]],0)</f>
        <v>0</v>
      </c>
      <c r="W575" s="22">
        <f>IFERROR(RAW[[#This Row],[SALES]]/RAW[[#This Row],[HOURLY PAY]],0)</f>
        <v>0</v>
      </c>
    </row>
    <row r="576" spans="1:39" s="48" customFormat="1" x14ac:dyDescent="0.35">
      <c r="A576" s="50">
        <v>45378</v>
      </c>
      <c r="B576" s="51" t="s">
        <v>21</v>
      </c>
      <c r="C576" s="52" t="s">
        <v>41</v>
      </c>
      <c r="D576" s="14" t="s">
        <v>23</v>
      </c>
      <c r="E576" s="53">
        <v>0</v>
      </c>
      <c r="F576" s="53">
        <v>0</v>
      </c>
      <c r="G576" s="53">
        <v>0</v>
      </c>
      <c r="H576" s="53">
        <v>0</v>
      </c>
      <c r="I576" s="53">
        <v>0</v>
      </c>
      <c r="J576" s="53">
        <v>0</v>
      </c>
      <c r="K576" s="53">
        <v>0</v>
      </c>
      <c r="L576" s="54">
        <v>0</v>
      </c>
      <c r="M576" s="54">
        <v>0</v>
      </c>
      <c r="N576" s="55">
        <v>0</v>
      </c>
      <c r="O576" s="53">
        <v>0</v>
      </c>
      <c r="P576" s="53">
        <v>0</v>
      </c>
      <c r="Q576" s="56">
        <v>0</v>
      </c>
      <c r="R576" s="34">
        <v>0</v>
      </c>
      <c r="S576" s="34">
        <v>0</v>
      </c>
      <c r="T576" s="20">
        <v>0</v>
      </c>
      <c r="U576" s="21" t="s">
        <v>24</v>
      </c>
      <c r="V576" s="238">
        <f>IFERROR(RAW[[#This Row],[ACTUAL GROSS]]/RAW[[#This Row],[CONVERTED]],0)</f>
        <v>0</v>
      </c>
      <c r="W576" s="238">
        <f>IFERROR(RAW[[#This Row],[SALES]]/RAW[[#This Row],[HOURLY PAY]],0)</f>
        <v>0</v>
      </c>
      <c r="AJ576" s="353" t="s">
        <v>42</v>
      </c>
      <c r="AK576" s="353"/>
      <c r="AL576" s="353" t="s">
        <v>43</v>
      </c>
      <c r="AM576" s="353"/>
    </row>
    <row r="577" spans="1:39" x14ac:dyDescent="0.35">
      <c r="A577" s="50">
        <v>45378</v>
      </c>
      <c r="B577" s="51" t="s">
        <v>25</v>
      </c>
      <c r="C577" s="52" t="s">
        <v>41</v>
      </c>
      <c r="D577" s="14" t="s">
        <v>23</v>
      </c>
      <c r="E577" s="53">
        <v>0</v>
      </c>
      <c r="F577" s="53">
        <v>0</v>
      </c>
      <c r="G577" s="53">
        <v>0</v>
      </c>
      <c r="H577" s="53">
        <v>0</v>
      </c>
      <c r="I577" s="53">
        <v>0</v>
      </c>
      <c r="J577" s="53">
        <v>0</v>
      </c>
      <c r="K577" s="53">
        <v>0</v>
      </c>
      <c r="L577" s="54">
        <v>0</v>
      </c>
      <c r="M577" s="54">
        <v>0</v>
      </c>
      <c r="N577" s="55">
        <v>0</v>
      </c>
      <c r="O577" s="53">
        <v>0</v>
      </c>
      <c r="P577" s="53">
        <v>0</v>
      </c>
      <c r="Q577" s="56">
        <v>0</v>
      </c>
      <c r="R577" s="34">
        <v>0</v>
      </c>
      <c r="S577" s="34">
        <v>0</v>
      </c>
      <c r="T577" s="20">
        <v>0</v>
      </c>
      <c r="U577" s="21" t="s">
        <v>24</v>
      </c>
      <c r="V577" s="22">
        <f>IFERROR(RAW[[#This Row],[ACTUAL GROSS]]/RAW[[#This Row],[CONVERTED]],0)</f>
        <v>0</v>
      </c>
      <c r="W577" s="22">
        <f>IFERROR(RAW[[#This Row],[SALES]]/RAW[[#This Row],[HOURLY PAY]],0)</f>
        <v>0</v>
      </c>
      <c r="AJ577" t="s">
        <v>44</v>
      </c>
      <c r="AK577" t="s">
        <v>45</v>
      </c>
      <c r="AL577" t="s">
        <v>44</v>
      </c>
      <c r="AM577" t="s">
        <v>45</v>
      </c>
    </row>
    <row r="578" spans="1:39" x14ac:dyDescent="0.35">
      <c r="A578" s="50">
        <v>45379</v>
      </c>
      <c r="B578" s="51" t="s">
        <v>21</v>
      </c>
      <c r="C578" s="52" t="s">
        <v>41</v>
      </c>
      <c r="D578" s="14" t="s">
        <v>26</v>
      </c>
      <c r="E578" s="53">
        <v>0</v>
      </c>
      <c r="F578" s="53">
        <v>0</v>
      </c>
      <c r="G578" s="53">
        <v>0</v>
      </c>
      <c r="H578" s="53">
        <v>0</v>
      </c>
      <c r="I578" s="53">
        <v>0</v>
      </c>
      <c r="J578" s="53">
        <v>0</v>
      </c>
      <c r="K578" s="53">
        <v>0</v>
      </c>
      <c r="L578" s="54">
        <v>0</v>
      </c>
      <c r="M578" s="54">
        <v>0</v>
      </c>
      <c r="N578" s="55">
        <v>0</v>
      </c>
      <c r="O578" s="53">
        <v>0</v>
      </c>
      <c r="P578" s="53">
        <v>0</v>
      </c>
      <c r="Q578" s="56">
        <v>0</v>
      </c>
      <c r="R578" s="34">
        <v>0</v>
      </c>
      <c r="S578" s="34">
        <v>0</v>
      </c>
      <c r="T578" s="20">
        <v>0</v>
      </c>
      <c r="U578" s="21" t="s">
        <v>24</v>
      </c>
      <c r="V578" s="22">
        <f>IFERROR(RAW[[#This Row],[ACTUAL GROSS]]/RAW[[#This Row],[CONVERTED]],0)</f>
        <v>0</v>
      </c>
      <c r="W578" s="22">
        <f>IFERROR(RAW[[#This Row],[SALES]]/RAW[[#This Row],[HOURLY PAY]],0)</f>
        <v>0</v>
      </c>
      <c r="AA578" t="s">
        <v>46</v>
      </c>
      <c r="AB578" t="s">
        <v>47</v>
      </c>
      <c r="AJ578" s="57">
        <v>45301</v>
      </c>
      <c r="AK578" s="57">
        <v>45325</v>
      </c>
      <c r="AL578" s="57">
        <v>45301</v>
      </c>
      <c r="AM578" s="57">
        <v>45306</v>
      </c>
    </row>
    <row r="579" spans="1:39" x14ac:dyDescent="0.35">
      <c r="A579" s="50">
        <v>45379</v>
      </c>
      <c r="B579" s="51" t="s">
        <v>25</v>
      </c>
      <c r="C579" s="52" t="s">
        <v>41</v>
      </c>
      <c r="D579" s="14" t="s">
        <v>26</v>
      </c>
      <c r="E579" s="53">
        <v>0</v>
      </c>
      <c r="F579" s="53">
        <v>0</v>
      </c>
      <c r="G579" s="53">
        <v>0</v>
      </c>
      <c r="H579" s="53">
        <v>0</v>
      </c>
      <c r="I579" s="53">
        <v>0</v>
      </c>
      <c r="J579" s="53">
        <v>0</v>
      </c>
      <c r="K579" s="53">
        <v>0</v>
      </c>
      <c r="L579" s="54">
        <v>0</v>
      </c>
      <c r="M579" s="54">
        <v>0</v>
      </c>
      <c r="N579" s="55">
        <v>0</v>
      </c>
      <c r="O579" s="53">
        <v>0</v>
      </c>
      <c r="P579" s="53">
        <v>0</v>
      </c>
      <c r="Q579" s="56">
        <v>0</v>
      </c>
      <c r="R579" s="34">
        <v>0</v>
      </c>
      <c r="S579" s="34">
        <v>0</v>
      </c>
      <c r="T579" s="20">
        <v>0</v>
      </c>
      <c r="U579" s="21" t="s">
        <v>24</v>
      </c>
      <c r="V579" s="44">
        <f>IFERROR(RAW[[#This Row],[ACTUAL GROSS]]/RAW[[#This Row],[CONVERTED]],0)</f>
        <v>0</v>
      </c>
      <c r="W579" s="22">
        <f>IFERROR(RAW[[#This Row],[SALES]]/RAW[[#This Row],[HOURLY PAY]],0)</f>
        <v>0</v>
      </c>
      <c r="AA579">
        <v>1</v>
      </c>
      <c r="AB579">
        <v>9</v>
      </c>
    </row>
    <row r="580" spans="1:39" x14ac:dyDescent="0.35">
      <c r="A580" s="50">
        <v>45380</v>
      </c>
      <c r="B580" s="51" t="s">
        <v>21</v>
      </c>
      <c r="C580" s="52" t="s">
        <v>41</v>
      </c>
      <c r="D580" s="14" t="s">
        <v>27</v>
      </c>
      <c r="E580" s="53">
        <v>0</v>
      </c>
      <c r="F580" s="53">
        <v>0</v>
      </c>
      <c r="G580" s="53">
        <v>0</v>
      </c>
      <c r="H580" s="53">
        <v>0</v>
      </c>
      <c r="I580" s="53">
        <v>0</v>
      </c>
      <c r="J580" s="53">
        <v>0</v>
      </c>
      <c r="K580" s="53">
        <v>0</v>
      </c>
      <c r="L580" s="54">
        <v>0</v>
      </c>
      <c r="M580" s="54">
        <v>0</v>
      </c>
      <c r="N580" s="55">
        <v>0</v>
      </c>
      <c r="O580" s="53">
        <v>0</v>
      </c>
      <c r="P580" s="53">
        <v>0</v>
      </c>
      <c r="Q580" s="56">
        <v>0</v>
      </c>
      <c r="R580" s="34">
        <v>0</v>
      </c>
      <c r="S580" s="34">
        <v>0</v>
      </c>
      <c r="T580" s="20">
        <v>0</v>
      </c>
      <c r="U580" s="21" t="s">
        <v>24</v>
      </c>
      <c r="V580" s="22">
        <f>IFERROR(RAW[[#This Row],[ACTUAL GROSS]]/RAW[[#This Row],[CONVERTED]],0)</f>
        <v>0</v>
      </c>
      <c r="W580" s="22">
        <f>IFERROR(RAW[[#This Row],[SALES]]/RAW[[#This Row],[HOURLY PAY]],0)</f>
        <v>0</v>
      </c>
    </row>
    <row r="581" spans="1:39" x14ac:dyDescent="0.35">
      <c r="A581" s="50">
        <v>45380</v>
      </c>
      <c r="B581" s="51" t="s">
        <v>25</v>
      </c>
      <c r="C581" s="52" t="s">
        <v>41</v>
      </c>
      <c r="D581" s="14" t="s">
        <v>27</v>
      </c>
      <c r="E581" s="53">
        <v>2191.5</v>
      </c>
      <c r="F581" s="53">
        <v>403.25</v>
      </c>
      <c r="G581" s="53">
        <v>20</v>
      </c>
      <c r="H581" s="53">
        <v>87.66</v>
      </c>
      <c r="I581" s="53">
        <v>6.7745999999999995</v>
      </c>
      <c r="J581" s="53">
        <v>0</v>
      </c>
      <c r="K581" s="53">
        <v>308.81540000000001</v>
      </c>
      <c r="L581" s="54">
        <v>7</v>
      </c>
      <c r="M581" s="54">
        <v>49</v>
      </c>
      <c r="N581" s="55">
        <v>7.8166666666666664</v>
      </c>
      <c r="O581" s="53">
        <v>16.6495</v>
      </c>
      <c r="P581" s="53">
        <v>325.4649</v>
      </c>
      <c r="Q581" s="56">
        <v>345.4649</v>
      </c>
      <c r="R581" s="34">
        <v>1</v>
      </c>
      <c r="S581" s="34">
        <v>0</v>
      </c>
      <c r="T581" s="20">
        <v>0</v>
      </c>
      <c r="U581" s="21" t="s">
        <v>24</v>
      </c>
      <c r="V581" s="31">
        <f>IFERROR(RAW[[#This Row],[ACTUAL GROSS]]/RAW[[#This Row],[CONVERTED]],0)</f>
        <v>44.195936034115142</v>
      </c>
      <c r="W581" s="22">
        <f>IFERROR(RAW[[#This Row],[SALES]]/RAW[[#This Row],[HOURLY PAY]],0)</f>
        <v>131.62557434157182</v>
      </c>
      <c r="Z581">
        <v>1</v>
      </c>
      <c r="AA581" t="s">
        <v>48</v>
      </c>
      <c r="AC581">
        <v>1</v>
      </c>
      <c r="AD581" t="s">
        <v>48</v>
      </c>
      <c r="AF581" s="36">
        <v>45292</v>
      </c>
      <c r="AG581">
        <v>1</v>
      </c>
      <c r="AH581" t="s">
        <v>48</v>
      </c>
      <c r="AJ581" s="36">
        <v>45302</v>
      </c>
      <c r="AK581">
        <v>11</v>
      </c>
      <c r="AL581" t="s">
        <v>48</v>
      </c>
    </row>
    <row r="582" spans="1:39" x14ac:dyDescent="0.35">
      <c r="A582" s="50">
        <v>45381</v>
      </c>
      <c r="B582" s="51" t="s">
        <v>21</v>
      </c>
      <c r="C582" s="52" t="s">
        <v>41</v>
      </c>
      <c r="D582" s="14" t="s">
        <v>28</v>
      </c>
      <c r="E582" s="53">
        <v>0</v>
      </c>
      <c r="F582" s="53">
        <v>0</v>
      </c>
      <c r="G582" s="53">
        <v>0</v>
      </c>
      <c r="H582" s="53">
        <v>0</v>
      </c>
      <c r="I582" s="53">
        <v>0</v>
      </c>
      <c r="J582" s="53">
        <v>0</v>
      </c>
      <c r="K582" s="53">
        <v>0</v>
      </c>
      <c r="L582" s="54">
        <v>0</v>
      </c>
      <c r="M582" s="54">
        <v>0</v>
      </c>
      <c r="N582" s="55">
        <v>0</v>
      </c>
      <c r="O582" s="53">
        <v>0</v>
      </c>
      <c r="P582" s="53">
        <v>0</v>
      </c>
      <c r="Q582" s="56">
        <v>0</v>
      </c>
      <c r="R582" s="34">
        <v>0</v>
      </c>
      <c r="S582" s="34">
        <v>0</v>
      </c>
      <c r="T582" s="20">
        <v>0</v>
      </c>
      <c r="U582" s="21" t="s">
        <v>24</v>
      </c>
      <c r="V582" s="22">
        <f>IFERROR(RAW[[#This Row],[ACTUAL GROSS]]/RAW[[#This Row],[CONVERTED]],0)</f>
        <v>0</v>
      </c>
      <c r="W582" s="22">
        <f>IFERROR(RAW[[#This Row],[SALES]]/RAW[[#This Row],[HOURLY PAY]],0)</f>
        <v>0</v>
      </c>
      <c r="Z582">
        <v>2</v>
      </c>
      <c r="AA582" t="s">
        <v>49</v>
      </c>
      <c r="AC582">
        <v>2</v>
      </c>
      <c r="AD582" t="s">
        <v>49</v>
      </c>
      <c r="AF582" s="36">
        <v>45293</v>
      </c>
      <c r="AG582">
        <v>2</v>
      </c>
      <c r="AH582" t="s">
        <v>49</v>
      </c>
      <c r="AJ582" s="36">
        <v>45304</v>
      </c>
      <c r="AK582">
        <v>13</v>
      </c>
      <c r="AL582" t="s">
        <v>48</v>
      </c>
    </row>
    <row r="583" spans="1:39" x14ac:dyDescent="0.35">
      <c r="A583" s="50">
        <v>45381</v>
      </c>
      <c r="B583" s="51" t="s">
        <v>25</v>
      </c>
      <c r="C583" s="52" t="s">
        <v>41</v>
      </c>
      <c r="D583" s="14" t="s">
        <v>28</v>
      </c>
      <c r="E583" s="53">
        <v>953.5</v>
      </c>
      <c r="F583" s="53">
        <v>185.97</v>
      </c>
      <c r="G583" s="53">
        <v>0</v>
      </c>
      <c r="H583" s="53">
        <v>38.14</v>
      </c>
      <c r="I583" s="53">
        <v>3.1242959999999997</v>
      </c>
      <c r="J583" s="53">
        <v>0</v>
      </c>
      <c r="K583" s="53">
        <v>144.705704</v>
      </c>
      <c r="L583" s="54">
        <v>5</v>
      </c>
      <c r="M583" s="54">
        <v>8</v>
      </c>
      <c r="N583" s="55">
        <v>5.1333333333333337</v>
      </c>
      <c r="O583" s="53">
        <v>10.934000000000001</v>
      </c>
      <c r="P583" s="53">
        <v>155.63970399999999</v>
      </c>
      <c r="Q583" s="56">
        <v>155.63970399999999</v>
      </c>
      <c r="R583" s="34">
        <v>1</v>
      </c>
      <c r="S583" s="34">
        <v>0</v>
      </c>
      <c r="T583" s="20">
        <v>0</v>
      </c>
      <c r="U583" s="21" t="s">
        <v>24</v>
      </c>
      <c r="V583" s="22">
        <f>IFERROR(RAW[[#This Row],[ACTUAL GROSS]]/RAW[[#This Row],[CONVERTED]],0)</f>
        <v>30.319422857142854</v>
      </c>
      <c r="W583" s="22">
        <f>IFERROR(RAW[[#This Row],[SALES]]/RAW[[#This Row],[HOURLY PAY]],0)</f>
        <v>87.205048472654099</v>
      </c>
      <c r="Z583">
        <v>3</v>
      </c>
      <c r="AA583" t="s">
        <v>50</v>
      </c>
      <c r="AC583">
        <v>4</v>
      </c>
      <c r="AD583" t="s">
        <v>51</v>
      </c>
      <c r="AF583" s="36">
        <v>45294</v>
      </c>
      <c r="AG583">
        <v>3</v>
      </c>
      <c r="AH583" t="s">
        <v>48</v>
      </c>
      <c r="AJ583" s="36">
        <v>45306</v>
      </c>
      <c r="AK583">
        <v>15</v>
      </c>
      <c r="AL583" t="s">
        <v>48</v>
      </c>
    </row>
    <row r="584" spans="1:39" x14ac:dyDescent="0.35">
      <c r="A584" s="50">
        <v>45382</v>
      </c>
      <c r="B584" s="51" t="s">
        <v>21</v>
      </c>
      <c r="C584" s="52" t="s">
        <v>41</v>
      </c>
      <c r="D584" s="14" t="s">
        <v>29</v>
      </c>
      <c r="E584" s="53">
        <v>815.5</v>
      </c>
      <c r="F584" s="53">
        <v>117.66</v>
      </c>
      <c r="G584" s="53">
        <v>12</v>
      </c>
      <c r="H584" s="53">
        <v>32.619999999999997</v>
      </c>
      <c r="I584" s="53">
        <v>1.9766879999999998</v>
      </c>
      <c r="J584" s="53">
        <v>5.17</v>
      </c>
      <c r="K584" s="53">
        <v>83.063311999999996</v>
      </c>
      <c r="L584" s="54">
        <v>3</v>
      </c>
      <c r="M584" s="54">
        <v>57</v>
      </c>
      <c r="N584" s="55">
        <v>3.95</v>
      </c>
      <c r="O584" s="53">
        <v>8.4134999999999991</v>
      </c>
      <c r="P584" s="53">
        <v>96.646811999999997</v>
      </c>
      <c r="Q584" s="56">
        <v>103.476812</v>
      </c>
      <c r="R584" s="34">
        <v>1</v>
      </c>
      <c r="S584" s="34">
        <v>1</v>
      </c>
      <c r="T584" s="20">
        <v>0</v>
      </c>
      <c r="U584" s="21" t="s">
        <v>34</v>
      </c>
      <c r="V584" s="42">
        <f>IFERROR(RAW[[#This Row],[ACTUAL GROSS]]/RAW[[#This Row],[CONVERTED]],0)</f>
        <v>26.196661265822783</v>
      </c>
      <c r="W584" s="22">
        <f>IFERROR(RAW[[#This Row],[SALES]]/RAW[[#This Row],[HOURLY PAY]],0)</f>
        <v>96.927556902597033</v>
      </c>
      <c r="Z584">
        <v>4</v>
      </c>
      <c r="AA584" t="s">
        <v>51</v>
      </c>
      <c r="AC584">
        <v>5</v>
      </c>
      <c r="AD584" t="s">
        <v>52</v>
      </c>
      <c r="AF584" s="36">
        <v>45295</v>
      </c>
      <c r="AG584">
        <v>4</v>
      </c>
      <c r="AH584" t="s">
        <v>49</v>
      </c>
      <c r="AJ584" s="36">
        <v>45308</v>
      </c>
      <c r="AK584">
        <v>17</v>
      </c>
      <c r="AL584" t="s">
        <v>48</v>
      </c>
    </row>
    <row r="585" spans="1:39" x14ac:dyDescent="0.35">
      <c r="A585" s="50">
        <v>45382</v>
      </c>
      <c r="B585" s="51" t="s">
        <v>25</v>
      </c>
      <c r="C585" s="52" t="s">
        <v>41</v>
      </c>
      <c r="D585" s="14" t="s">
        <v>29</v>
      </c>
      <c r="E585" s="53">
        <v>1087</v>
      </c>
      <c r="F585" s="53">
        <v>202.97</v>
      </c>
      <c r="G585" s="53">
        <v>0</v>
      </c>
      <c r="H585" s="53">
        <v>43.480000000000004</v>
      </c>
      <c r="I585" s="53">
        <v>3.4098959999999998</v>
      </c>
      <c r="J585" s="53">
        <v>0</v>
      </c>
      <c r="K585" s="53">
        <v>156.08010400000001</v>
      </c>
      <c r="L585" s="54">
        <v>5</v>
      </c>
      <c r="M585" s="54">
        <v>2</v>
      </c>
      <c r="N585" s="55">
        <v>5.0333333333333332</v>
      </c>
      <c r="O585" s="53">
        <v>10.721</v>
      </c>
      <c r="P585" s="53">
        <v>166.80110400000001</v>
      </c>
      <c r="Q585" s="56">
        <v>166.80110400000001</v>
      </c>
      <c r="R585" s="34">
        <v>1</v>
      </c>
      <c r="S585" s="34">
        <v>0</v>
      </c>
      <c r="T585" s="20">
        <v>1</v>
      </c>
      <c r="U585" s="21" t="s">
        <v>34</v>
      </c>
      <c r="V585" s="22">
        <f>IFERROR(RAW[[#This Row],[ACTUAL GROSS]]/RAW[[#This Row],[CONVERTED]],0)</f>
        <v>33.139292185430463</v>
      </c>
      <c r="W585" s="22">
        <f>IFERROR(RAW[[#This Row],[SALES]]/RAW[[#This Row],[HOURLY PAY]],0)</f>
        <v>101.38979572801044</v>
      </c>
      <c r="Z585">
        <v>5</v>
      </c>
      <c r="AA585" t="s">
        <v>52</v>
      </c>
      <c r="AC585">
        <v>6</v>
      </c>
      <c r="AD585" t="s">
        <v>53</v>
      </c>
      <c r="AF585" s="36">
        <v>45296</v>
      </c>
      <c r="AG585">
        <v>5</v>
      </c>
      <c r="AH585" t="s">
        <v>48</v>
      </c>
      <c r="AJ585" s="36">
        <v>45310</v>
      </c>
      <c r="AK585">
        <v>19</v>
      </c>
      <c r="AL585" t="s">
        <v>48</v>
      </c>
    </row>
    <row r="586" spans="1:39" x14ac:dyDescent="0.35">
      <c r="A586" s="50">
        <v>45383</v>
      </c>
      <c r="B586" s="51" t="s">
        <v>21</v>
      </c>
      <c r="C586" s="52" t="s">
        <v>54</v>
      </c>
      <c r="D586" s="14" t="s">
        <v>30</v>
      </c>
      <c r="E586" s="53">
        <v>770.5</v>
      </c>
      <c r="F586" s="53">
        <v>172.14</v>
      </c>
      <c r="G586" s="53">
        <v>0</v>
      </c>
      <c r="H586" s="53">
        <v>30.82</v>
      </c>
      <c r="I586" s="53">
        <v>2.8919519999999994</v>
      </c>
      <c r="J586" s="53">
        <v>0</v>
      </c>
      <c r="K586" s="53">
        <v>138.42804799999999</v>
      </c>
      <c r="L586" s="54">
        <v>4</v>
      </c>
      <c r="M586" s="54">
        <v>7</v>
      </c>
      <c r="N586" s="55">
        <v>4.1166666666666663</v>
      </c>
      <c r="O586" s="53">
        <v>8.7684999999999995</v>
      </c>
      <c r="P586" s="53">
        <v>147.19654799999998</v>
      </c>
      <c r="Q586" s="56">
        <v>147.19654799999998</v>
      </c>
      <c r="R586" s="34">
        <v>1</v>
      </c>
      <c r="S586" s="34">
        <v>1</v>
      </c>
      <c r="T586" s="20">
        <v>0</v>
      </c>
      <c r="U586" s="21" t="s">
        <v>34</v>
      </c>
      <c r="V586" s="22">
        <f>IFERROR(RAW[[#This Row],[ACTUAL GROSS]]/RAW[[#This Row],[CONVERTED]],0)</f>
        <v>35.756246477732795</v>
      </c>
      <c r="W586" s="22">
        <f>IFERROR(RAW[[#This Row],[SALES]]/RAW[[#This Row],[HOURLY PAY]],0)</f>
        <v>87.87135770086104</v>
      </c>
      <c r="Z586">
        <v>6</v>
      </c>
      <c r="AA586" t="s">
        <v>53</v>
      </c>
      <c r="AC586">
        <v>7</v>
      </c>
      <c r="AD586" t="s">
        <v>55</v>
      </c>
      <c r="AF586" s="36">
        <v>45297</v>
      </c>
      <c r="AG586">
        <v>6</v>
      </c>
      <c r="AH586" t="s">
        <v>49</v>
      </c>
      <c r="AJ586" s="36">
        <v>45312</v>
      </c>
      <c r="AK586">
        <v>21</v>
      </c>
      <c r="AL586" t="s">
        <v>48</v>
      </c>
    </row>
    <row r="587" spans="1:39" x14ac:dyDescent="0.35">
      <c r="A587" s="50">
        <v>45383</v>
      </c>
      <c r="B587" s="51" t="s">
        <v>25</v>
      </c>
      <c r="C587" s="52" t="s">
        <v>54</v>
      </c>
      <c r="D587" s="14" t="s">
        <v>30</v>
      </c>
      <c r="E587" s="53">
        <v>858</v>
      </c>
      <c r="F587" s="53">
        <v>195.88</v>
      </c>
      <c r="G587" s="53">
        <v>0</v>
      </c>
      <c r="H587" s="53">
        <v>34.32</v>
      </c>
      <c r="I587" s="53">
        <v>3.2907839999999999</v>
      </c>
      <c r="J587" s="53">
        <v>0</v>
      </c>
      <c r="K587" s="53">
        <v>158.269216</v>
      </c>
      <c r="L587" s="54">
        <v>4</v>
      </c>
      <c r="M587" s="54">
        <v>14</v>
      </c>
      <c r="N587" s="55">
        <v>4.2333333333333334</v>
      </c>
      <c r="O587" s="53">
        <v>9.0169999999999995</v>
      </c>
      <c r="P587" s="53">
        <v>167.286216</v>
      </c>
      <c r="Q587" s="56">
        <v>167.286216</v>
      </c>
      <c r="R587" s="34">
        <v>1</v>
      </c>
      <c r="S587" s="34">
        <v>0</v>
      </c>
      <c r="T587" s="20">
        <v>1</v>
      </c>
      <c r="U587" s="21" t="s">
        <v>34</v>
      </c>
      <c r="V587" s="22">
        <f>IFERROR(RAW[[#This Row],[ACTUAL GROSS]]/RAW[[#This Row],[CONVERTED]],0)</f>
        <v>39.516428976377952</v>
      </c>
      <c r="W587" s="22">
        <f>IFERROR(RAW[[#This Row],[SALES]]/RAW[[#This Row],[HOURLY PAY]],0)</f>
        <v>95.153598757901747</v>
      </c>
      <c r="Z587">
        <v>7</v>
      </c>
      <c r="AA587" t="s">
        <v>55</v>
      </c>
      <c r="AC587">
        <v>8</v>
      </c>
      <c r="AD587" t="s">
        <v>56</v>
      </c>
      <c r="AF587" s="36">
        <v>45298</v>
      </c>
      <c r="AG587">
        <v>7</v>
      </c>
      <c r="AH587" t="s">
        <v>48</v>
      </c>
      <c r="AJ587" s="36">
        <v>45314</v>
      </c>
      <c r="AK587">
        <v>23</v>
      </c>
      <c r="AL587" t="s">
        <v>48</v>
      </c>
    </row>
    <row r="588" spans="1:39" x14ac:dyDescent="0.35">
      <c r="A588" s="50">
        <v>45384</v>
      </c>
      <c r="B588" s="51" t="s">
        <v>21</v>
      </c>
      <c r="C588" s="52" t="s">
        <v>54</v>
      </c>
      <c r="D588" s="14" t="s">
        <v>31</v>
      </c>
      <c r="E588" s="53">
        <v>0</v>
      </c>
      <c r="F588" s="53">
        <v>0</v>
      </c>
      <c r="G588" s="53">
        <v>0</v>
      </c>
      <c r="H588" s="53">
        <v>0</v>
      </c>
      <c r="I588" s="53">
        <v>0</v>
      </c>
      <c r="J588" s="53">
        <v>0</v>
      </c>
      <c r="K588" s="53">
        <v>0</v>
      </c>
      <c r="L588" s="54">
        <v>0</v>
      </c>
      <c r="M588" s="54">
        <v>0</v>
      </c>
      <c r="N588" s="55">
        <v>0</v>
      </c>
      <c r="O588" s="53">
        <v>0</v>
      </c>
      <c r="P588" s="53">
        <v>0</v>
      </c>
      <c r="Q588" s="56">
        <v>0</v>
      </c>
      <c r="R588" s="34">
        <v>0</v>
      </c>
      <c r="S588" s="34">
        <v>0</v>
      </c>
      <c r="T588" s="20">
        <v>0</v>
      </c>
      <c r="U588" s="21" t="s">
        <v>24</v>
      </c>
      <c r="V588" s="22">
        <f>IFERROR(RAW[[#This Row],[ACTUAL GROSS]]/RAW[[#This Row],[CONVERTED]],0)</f>
        <v>0</v>
      </c>
      <c r="W588" s="22">
        <f>IFERROR(RAW[[#This Row],[SALES]]/RAW[[#This Row],[HOURLY PAY]],0)</f>
        <v>0</v>
      </c>
      <c r="Z588">
        <v>8</v>
      </c>
      <c r="AA588" t="s">
        <v>56</v>
      </c>
      <c r="AC588">
        <v>9</v>
      </c>
      <c r="AD588" t="s">
        <v>57</v>
      </c>
      <c r="AF588" s="36">
        <v>45299</v>
      </c>
      <c r="AG588">
        <v>8</v>
      </c>
      <c r="AH588" t="s">
        <v>49</v>
      </c>
      <c r="AJ588" s="36">
        <v>45316</v>
      </c>
      <c r="AK588">
        <v>25</v>
      </c>
      <c r="AL588" t="s">
        <v>48</v>
      </c>
    </row>
    <row r="589" spans="1:39" x14ac:dyDescent="0.35">
      <c r="A589" s="50">
        <v>45384</v>
      </c>
      <c r="B589" s="51" t="s">
        <v>25</v>
      </c>
      <c r="C589" s="52" t="s">
        <v>54</v>
      </c>
      <c r="D589" s="14" t="s">
        <v>31</v>
      </c>
      <c r="E589" s="53">
        <v>1193.5</v>
      </c>
      <c r="F589" s="53">
        <v>246.25</v>
      </c>
      <c r="G589" s="53">
        <v>5</v>
      </c>
      <c r="H589" s="53">
        <v>47.74</v>
      </c>
      <c r="I589" s="53">
        <v>4.1369999999999996</v>
      </c>
      <c r="J589" s="53">
        <v>0</v>
      </c>
      <c r="K589" s="53">
        <v>194.37299999999999</v>
      </c>
      <c r="L589" s="54">
        <v>6</v>
      </c>
      <c r="M589" s="54">
        <v>10</v>
      </c>
      <c r="N589" s="55">
        <v>6.166666666666667</v>
      </c>
      <c r="O589" s="53">
        <v>13.135</v>
      </c>
      <c r="P589" s="53">
        <v>207.50799999999998</v>
      </c>
      <c r="Q589" s="56">
        <v>212.50799999999998</v>
      </c>
      <c r="R589" s="34">
        <v>1</v>
      </c>
      <c r="S589" s="34">
        <v>0</v>
      </c>
      <c r="T589" s="20">
        <v>0</v>
      </c>
      <c r="U589" s="21" t="s">
        <v>24</v>
      </c>
      <c r="V589" s="22">
        <f>IFERROR(RAW[[#This Row],[ACTUAL GROSS]]/RAW[[#This Row],[CONVERTED]],0)</f>
        <v>34.460756756756751</v>
      </c>
      <c r="W589" s="22">
        <f>IFERROR(RAW[[#This Row],[SALES]]/RAW[[#This Row],[HOURLY PAY]],0)</f>
        <v>90.864103540159874</v>
      </c>
      <c r="Z589">
        <v>9</v>
      </c>
      <c r="AA589" t="s">
        <v>57</v>
      </c>
      <c r="AF589" s="36">
        <v>45300</v>
      </c>
      <c r="AG589">
        <v>9</v>
      </c>
      <c r="AH589" t="s">
        <v>48</v>
      </c>
      <c r="AJ589" s="36">
        <v>45318</v>
      </c>
      <c r="AK589">
        <v>27</v>
      </c>
      <c r="AL589" t="s">
        <v>48</v>
      </c>
    </row>
    <row r="590" spans="1:39" s="48" customFormat="1" x14ac:dyDescent="0.35">
      <c r="A590" s="50">
        <v>45385</v>
      </c>
      <c r="B590" s="51" t="s">
        <v>21</v>
      </c>
      <c r="C590" s="52" t="s">
        <v>54</v>
      </c>
      <c r="D590" s="14" t="s">
        <v>23</v>
      </c>
      <c r="E590" s="53">
        <v>591</v>
      </c>
      <c r="F590" s="53">
        <v>108</v>
      </c>
      <c r="G590" s="53">
        <v>0</v>
      </c>
      <c r="H590" s="53">
        <v>23.64</v>
      </c>
      <c r="I590" s="53">
        <v>1.8143999999999998</v>
      </c>
      <c r="J590" s="53">
        <v>0</v>
      </c>
      <c r="K590" s="53">
        <v>82.545600000000007</v>
      </c>
      <c r="L590" s="54">
        <v>3</v>
      </c>
      <c r="M590" s="54">
        <v>45</v>
      </c>
      <c r="N590" s="55">
        <v>3.75</v>
      </c>
      <c r="O590" s="53">
        <v>7.9874999999999998</v>
      </c>
      <c r="P590" s="53">
        <v>90.533100000000005</v>
      </c>
      <c r="Q590" s="56">
        <v>90.533100000000005</v>
      </c>
      <c r="R590" s="34">
        <v>1</v>
      </c>
      <c r="S590" s="34">
        <v>1</v>
      </c>
      <c r="T590" s="20">
        <v>0</v>
      </c>
      <c r="U590" s="21" t="s">
        <v>34</v>
      </c>
      <c r="V590" s="238">
        <f>IFERROR(RAW[[#This Row],[ACTUAL GROSS]]/RAW[[#This Row],[CONVERTED]],0)</f>
        <v>24.142160000000001</v>
      </c>
      <c r="W590" s="58">
        <f>IFERROR(RAW[[#This Row],[SALES]]/RAW[[#This Row],[HOURLY PAY]],0)</f>
        <v>73.990610328638496</v>
      </c>
      <c r="Z590" s="48">
        <v>10</v>
      </c>
      <c r="AA590" s="48" t="s">
        <v>58</v>
      </c>
      <c r="AF590" s="47">
        <v>45301</v>
      </c>
      <c r="AG590" s="48">
        <v>10</v>
      </c>
      <c r="AH590" s="48" t="s">
        <v>49</v>
      </c>
      <c r="AJ590" s="47">
        <v>45320</v>
      </c>
      <c r="AK590" s="48">
        <v>29</v>
      </c>
      <c r="AL590" s="48" t="s">
        <v>48</v>
      </c>
    </row>
    <row r="591" spans="1:39" x14ac:dyDescent="0.35">
      <c r="A591" s="50">
        <v>45385</v>
      </c>
      <c r="B591" s="51" t="s">
        <v>25</v>
      </c>
      <c r="C591" s="52" t="s">
        <v>54</v>
      </c>
      <c r="D591" s="14" t="s">
        <v>23</v>
      </c>
      <c r="E591" s="53">
        <v>368</v>
      </c>
      <c r="F591" s="53">
        <v>72.650000000000006</v>
      </c>
      <c r="G591" s="53">
        <v>0</v>
      </c>
      <c r="H591" s="53">
        <v>14.72</v>
      </c>
      <c r="I591" s="53">
        <v>1.22052</v>
      </c>
      <c r="J591" s="53">
        <v>0</v>
      </c>
      <c r="K591" s="53">
        <v>56.709480000000006</v>
      </c>
      <c r="L591" s="54">
        <v>3</v>
      </c>
      <c r="M591" s="54">
        <v>15</v>
      </c>
      <c r="N591" s="55">
        <v>3.25</v>
      </c>
      <c r="O591" s="53">
        <v>6.9224999999999994</v>
      </c>
      <c r="P591" s="53">
        <v>63.631980000000006</v>
      </c>
      <c r="Q591" s="56">
        <v>63.631980000000006</v>
      </c>
      <c r="R591" s="34">
        <v>1</v>
      </c>
      <c r="S591" s="34">
        <v>0</v>
      </c>
      <c r="T591" s="20">
        <v>1</v>
      </c>
      <c r="U591" s="21" t="s">
        <v>34</v>
      </c>
      <c r="V591" s="22">
        <f>IFERROR(RAW[[#This Row],[ACTUAL GROSS]]/RAW[[#This Row],[CONVERTED]],0)</f>
        <v>19.579070769230771</v>
      </c>
      <c r="W591" s="22">
        <f>IFERROR(RAW[[#This Row],[SALES]]/RAW[[#This Row],[HOURLY PAY]],0)</f>
        <v>53.159985554351756</v>
      </c>
      <c r="Z591">
        <v>11</v>
      </c>
      <c r="AA591" t="s">
        <v>59</v>
      </c>
      <c r="AF591" s="36">
        <v>45302</v>
      </c>
      <c r="AG591">
        <v>11</v>
      </c>
      <c r="AH591" t="s">
        <v>48</v>
      </c>
      <c r="AJ591" s="36">
        <v>45322</v>
      </c>
      <c r="AK591">
        <v>31</v>
      </c>
      <c r="AL591" t="s">
        <v>48</v>
      </c>
    </row>
    <row r="592" spans="1:39" x14ac:dyDescent="0.35">
      <c r="A592" s="50">
        <v>45386</v>
      </c>
      <c r="B592" s="51" t="s">
        <v>21</v>
      </c>
      <c r="C592" s="52" t="s">
        <v>54</v>
      </c>
      <c r="D592" s="14" t="s">
        <v>26</v>
      </c>
      <c r="E592" s="53">
        <v>0</v>
      </c>
      <c r="F592" s="53">
        <v>0</v>
      </c>
      <c r="G592" s="53">
        <v>0</v>
      </c>
      <c r="H592" s="53">
        <v>0</v>
      </c>
      <c r="I592" s="53">
        <v>0</v>
      </c>
      <c r="J592" s="53">
        <v>0</v>
      </c>
      <c r="K592" s="53">
        <v>0</v>
      </c>
      <c r="L592" s="54">
        <v>0</v>
      </c>
      <c r="M592" s="54">
        <v>0</v>
      </c>
      <c r="N592" s="55">
        <v>0</v>
      </c>
      <c r="O592" s="53">
        <v>0</v>
      </c>
      <c r="P592" s="53">
        <v>0</v>
      </c>
      <c r="Q592" s="56">
        <v>0</v>
      </c>
      <c r="R592" s="34">
        <v>0</v>
      </c>
      <c r="S592" s="34">
        <v>0</v>
      </c>
      <c r="T592" s="20">
        <v>0</v>
      </c>
      <c r="U592" s="21" t="s">
        <v>24</v>
      </c>
      <c r="V592" s="22">
        <f>IFERROR(RAW[[#This Row],[ACTUAL GROSS]]/RAW[[#This Row],[CONVERTED]],0)</f>
        <v>0</v>
      </c>
      <c r="W592" s="22">
        <f>IFERROR(RAW[[#This Row],[SALES]]/RAW[[#This Row],[HOURLY PAY]],0)</f>
        <v>0</v>
      </c>
      <c r="Z592">
        <v>12</v>
      </c>
      <c r="AA592" t="s">
        <v>60</v>
      </c>
      <c r="AF592" s="36">
        <v>45303</v>
      </c>
      <c r="AG592">
        <v>12</v>
      </c>
      <c r="AH592" t="s">
        <v>49</v>
      </c>
      <c r="AJ592" s="36">
        <v>45324</v>
      </c>
      <c r="AK592">
        <v>33</v>
      </c>
      <c r="AL592" t="s">
        <v>48</v>
      </c>
    </row>
    <row r="593" spans="1:36" x14ac:dyDescent="0.35">
      <c r="A593" s="50">
        <v>45386</v>
      </c>
      <c r="B593" s="51" t="s">
        <v>25</v>
      </c>
      <c r="C593" s="52" t="s">
        <v>54</v>
      </c>
      <c r="D593" s="14" t="s">
        <v>26</v>
      </c>
      <c r="E593" s="53">
        <v>0</v>
      </c>
      <c r="F593" s="53">
        <v>0</v>
      </c>
      <c r="G593" s="53">
        <v>0</v>
      </c>
      <c r="H593" s="53">
        <v>0</v>
      </c>
      <c r="I593" s="53">
        <v>0</v>
      </c>
      <c r="J593" s="53">
        <v>0</v>
      </c>
      <c r="K593" s="53">
        <v>0</v>
      </c>
      <c r="L593" s="54">
        <v>0</v>
      </c>
      <c r="M593" s="54">
        <v>0</v>
      </c>
      <c r="N593" s="55">
        <v>0</v>
      </c>
      <c r="O593" s="53">
        <v>0</v>
      </c>
      <c r="P593" s="53">
        <v>0</v>
      </c>
      <c r="Q593" s="56">
        <v>0</v>
      </c>
      <c r="R593" s="34">
        <v>0</v>
      </c>
      <c r="S593" s="34">
        <v>0</v>
      </c>
      <c r="T593" s="20">
        <v>0</v>
      </c>
      <c r="U593" s="21" t="s">
        <v>24</v>
      </c>
      <c r="V593" s="44">
        <f>IFERROR(RAW[[#This Row],[ACTUAL GROSS]]/RAW[[#This Row],[CONVERTED]],0)</f>
        <v>0</v>
      </c>
      <c r="W593" s="22">
        <f>IFERROR(RAW[[#This Row],[SALES]]/RAW[[#This Row],[HOURLY PAY]],0)</f>
        <v>0</v>
      </c>
      <c r="Z593">
        <v>13</v>
      </c>
      <c r="AA593" t="s">
        <v>61</v>
      </c>
      <c r="AF593" s="36">
        <v>45304</v>
      </c>
      <c r="AG593">
        <v>13</v>
      </c>
      <c r="AH593" t="s">
        <v>48</v>
      </c>
      <c r="AJ593" s="36"/>
    </row>
    <row r="594" spans="1:36" x14ac:dyDescent="0.35">
      <c r="A594" s="50">
        <v>45387</v>
      </c>
      <c r="B594" s="51" t="s">
        <v>21</v>
      </c>
      <c r="C594" s="52" t="s">
        <v>54</v>
      </c>
      <c r="D594" s="14" t="s">
        <v>27</v>
      </c>
      <c r="E594" s="53">
        <v>0</v>
      </c>
      <c r="F594" s="53">
        <v>0</v>
      </c>
      <c r="G594" s="53">
        <v>0</v>
      </c>
      <c r="H594" s="53">
        <v>0</v>
      </c>
      <c r="I594" s="53">
        <v>0</v>
      </c>
      <c r="J594" s="53">
        <v>0</v>
      </c>
      <c r="K594" s="53">
        <v>0</v>
      </c>
      <c r="L594" s="54">
        <v>0</v>
      </c>
      <c r="M594" s="54">
        <v>0</v>
      </c>
      <c r="N594" s="55">
        <v>0</v>
      </c>
      <c r="O594" s="53">
        <v>0</v>
      </c>
      <c r="P594" s="53">
        <v>0</v>
      </c>
      <c r="Q594" s="56">
        <v>0</v>
      </c>
      <c r="R594" s="34">
        <v>0</v>
      </c>
      <c r="S594" s="34">
        <v>0</v>
      </c>
      <c r="T594" s="20">
        <v>0</v>
      </c>
      <c r="U594" s="21" t="s">
        <v>24</v>
      </c>
      <c r="V594" s="22">
        <f>IFERROR(RAW[[#This Row],[ACTUAL GROSS]]/RAW[[#This Row],[CONVERTED]],0)</f>
        <v>0</v>
      </c>
      <c r="W594" s="22">
        <f>IFERROR(RAW[[#This Row],[SALES]]/RAW[[#This Row],[HOURLY PAY]],0)</f>
        <v>0</v>
      </c>
      <c r="Z594">
        <v>14</v>
      </c>
      <c r="AA594" t="s">
        <v>62</v>
      </c>
      <c r="AF594" s="36">
        <v>45305</v>
      </c>
      <c r="AG594">
        <v>14</v>
      </c>
      <c r="AH594" t="s">
        <v>49</v>
      </c>
      <c r="AJ594" s="36"/>
    </row>
    <row r="595" spans="1:36" x14ac:dyDescent="0.35">
      <c r="A595" s="50">
        <v>45387</v>
      </c>
      <c r="B595" s="51" t="s">
        <v>25</v>
      </c>
      <c r="C595" s="52" t="s">
        <v>54</v>
      </c>
      <c r="D595" s="14" t="s">
        <v>27</v>
      </c>
      <c r="E595" s="53">
        <v>1198</v>
      </c>
      <c r="F595" s="53">
        <v>202.92</v>
      </c>
      <c r="G595" s="53">
        <v>33</v>
      </c>
      <c r="H595" s="53">
        <v>47.92</v>
      </c>
      <c r="I595" s="53">
        <v>3.4090559999999996</v>
      </c>
      <c r="J595" s="53">
        <v>10.88</v>
      </c>
      <c r="K595" s="53">
        <v>151.59094399999998</v>
      </c>
      <c r="L595" s="54">
        <v>6</v>
      </c>
      <c r="M595" s="54">
        <v>35</v>
      </c>
      <c r="N595" s="55">
        <v>6.583333333333333</v>
      </c>
      <c r="O595" s="53">
        <v>14.022499999999999</v>
      </c>
      <c r="P595" s="53">
        <v>176.49344399999998</v>
      </c>
      <c r="Q595" s="56">
        <v>198.61344399999999</v>
      </c>
      <c r="R595" s="34">
        <v>1</v>
      </c>
      <c r="S595" s="34">
        <v>0</v>
      </c>
      <c r="T595" s="20">
        <v>0</v>
      </c>
      <c r="U595" s="21" t="s">
        <v>24</v>
      </c>
      <c r="V595" s="31">
        <f>IFERROR(RAW[[#This Row],[ACTUAL GROSS]]/RAW[[#This Row],[CONVERTED]],0)</f>
        <v>30.169130734177216</v>
      </c>
      <c r="W595" s="22">
        <f>IFERROR(RAW[[#This Row],[SALES]]/RAW[[#This Row],[HOURLY PAY]],0)</f>
        <v>85.434123729720099</v>
      </c>
      <c r="Z595">
        <v>15</v>
      </c>
      <c r="AA595" t="s">
        <v>63</v>
      </c>
      <c r="AF595" s="36">
        <v>45306</v>
      </c>
      <c r="AG595">
        <v>15</v>
      </c>
      <c r="AH595" t="s">
        <v>48</v>
      </c>
      <c r="AJ595" s="36"/>
    </row>
    <row r="596" spans="1:36" x14ac:dyDescent="0.35">
      <c r="A596" s="50">
        <v>45388</v>
      </c>
      <c r="B596" s="51" t="s">
        <v>21</v>
      </c>
      <c r="C596" s="52" t="s">
        <v>54</v>
      </c>
      <c r="D596" s="14" t="s">
        <v>28</v>
      </c>
      <c r="E596" s="53">
        <v>0</v>
      </c>
      <c r="F596" s="53">
        <v>0</v>
      </c>
      <c r="G596" s="53">
        <v>0</v>
      </c>
      <c r="H596" s="53">
        <v>0</v>
      </c>
      <c r="I596" s="53">
        <v>0</v>
      </c>
      <c r="J596" s="53">
        <v>0</v>
      </c>
      <c r="K596" s="53">
        <v>0</v>
      </c>
      <c r="L596" s="54">
        <v>0</v>
      </c>
      <c r="M596" s="54">
        <v>0</v>
      </c>
      <c r="N596" s="55">
        <v>0</v>
      </c>
      <c r="O596" s="53">
        <v>0</v>
      </c>
      <c r="P596" s="53">
        <v>0</v>
      </c>
      <c r="Q596" s="56">
        <v>0</v>
      </c>
      <c r="R596" s="34">
        <v>0</v>
      </c>
      <c r="S596" s="34">
        <v>0</v>
      </c>
      <c r="T596" s="20">
        <v>0</v>
      </c>
      <c r="U596" s="21" t="s">
        <v>24</v>
      </c>
      <c r="V596" s="22">
        <f>IFERROR(RAW[[#This Row],[ACTUAL GROSS]]/RAW[[#This Row],[CONVERTED]],0)</f>
        <v>0</v>
      </c>
      <c r="W596" s="22">
        <f>IFERROR(RAW[[#This Row],[SALES]]/RAW[[#This Row],[HOURLY PAY]],0)</f>
        <v>0</v>
      </c>
      <c r="AF596" s="36">
        <v>45307</v>
      </c>
      <c r="AG596">
        <v>16</v>
      </c>
      <c r="AH596" t="s">
        <v>49</v>
      </c>
      <c r="AJ596" s="36"/>
    </row>
    <row r="597" spans="1:36" x14ac:dyDescent="0.35">
      <c r="A597" s="50">
        <v>45388</v>
      </c>
      <c r="B597" s="51" t="s">
        <v>25</v>
      </c>
      <c r="C597" s="52" t="s">
        <v>54</v>
      </c>
      <c r="D597" s="14" t="s">
        <v>28</v>
      </c>
      <c r="E597" s="53">
        <v>0</v>
      </c>
      <c r="F597" s="53">
        <v>0</v>
      </c>
      <c r="G597" s="53">
        <v>0</v>
      </c>
      <c r="H597" s="53">
        <v>0</v>
      </c>
      <c r="I597" s="53">
        <v>0</v>
      </c>
      <c r="J597" s="53">
        <v>0</v>
      </c>
      <c r="K597" s="53">
        <v>0</v>
      </c>
      <c r="L597" s="54">
        <v>0</v>
      </c>
      <c r="M597" s="54">
        <v>0</v>
      </c>
      <c r="N597" s="55">
        <v>0</v>
      </c>
      <c r="O597" s="53">
        <v>0</v>
      </c>
      <c r="P597" s="53">
        <v>0</v>
      </c>
      <c r="Q597" s="56">
        <v>0</v>
      </c>
      <c r="R597" s="34">
        <v>0</v>
      </c>
      <c r="S597" s="34">
        <v>0</v>
      </c>
      <c r="T597" s="20">
        <v>0</v>
      </c>
      <c r="U597" s="21" t="s">
        <v>24</v>
      </c>
      <c r="V597" s="22">
        <f>IFERROR(RAW[[#This Row],[ACTUAL GROSS]]/RAW[[#This Row],[CONVERTED]],0)</f>
        <v>0</v>
      </c>
      <c r="W597" s="22">
        <f>IFERROR(RAW[[#This Row],[SALES]]/RAW[[#This Row],[HOURLY PAY]],0)</f>
        <v>0</v>
      </c>
      <c r="AF597" s="36">
        <v>45308</v>
      </c>
      <c r="AG597">
        <v>17</v>
      </c>
      <c r="AH597" t="s">
        <v>48</v>
      </c>
      <c r="AJ597" s="36"/>
    </row>
    <row r="598" spans="1:36" x14ac:dyDescent="0.35">
      <c r="A598" s="50">
        <v>45389</v>
      </c>
      <c r="B598" s="51" t="s">
        <v>21</v>
      </c>
      <c r="C598" s="52" t="s">
        <v>54</v>
      </c>
      <c r="D598" s="14" t="s">
        <v>29</v>
      </c>
      <c r="E598" s="53">
        <v>0</v>
      </c>
      <c r="F598" s="53">
        <v>0</v>
      </c>
      <c r="G598" s="53">
        <v>0</v>
      </c>
      <c r="H598" s="53">
        <v>0</v>
      </c>
      <c r="I598" s="53">
        <v>0</v>
      </c>
      <c r="J598" s="53">
        <v>0</v>
      </c>
      <c r="K598" s="53">
        <v>0</v>
      </c>
      <c r="L598" s="54">
        <v>0</v>
      </c>
      <c r="M598" s="54">
        <v>0</v>
      </c>
      <c r="N598" s="55">
        <v>0</v>
      </c>
      <c r="O598" s="53">
        <v>0</v>
      </c>
      <c r="P598" s="53">
        <v>0</v>
      </c>
      <c r="Q598" s="56">
        <v>0</v>
      </c>
      <c r="R598" s="34">
        <v>0</v>
      </c>
      <c r="S598" s="34">
        <v>0</v>
      </c>
      <c r="T598" s="20">
        <v>0</v>
      </c>
      <c r="U598" s="21" t="s">
        <v>24</v>
      </c>
      <c r="V598" s="42">
        <f>IFERROR(RAW[[#This Row],[ACTUAL GROSS]]/RAW[[#This Row],[CONVERTED]],0)</f>
        <v>0</v>
      </c>
      <c r="W598" s="22">
        <f>IFERROR(RAW[[#This Row],[SALES]]/RAW[[#This Row],[HOURLY PAY]],0)</f>
        <v>0</v>
      </c>
      <c r="AF598" s="36">
        <v>45309</v>
      </c>
      <c r="AG598">
        <v>18</v>
      </c>
      <c r="AH598" t="s">
        <v>49</v>
      </c>
      <c r="AJ598" s="36"/>
    </row>
    <row r="599" spans="1:36" x14ac:dyDescent="0.35">
      <c r="A599" s="50">
        <v>45389</v>
      </c>
      <c r="B599" s="51" t="s">
        <v>25</v>
      </c>
      <c r="C599" s="52" t="s">
        <v>54</v>
      </c>
      <c r="D599" s="14" t="s">
        <v>29</v>
      </c>
      <c r="E599" s="53">
        <v>975</v>
      </c>
      <c r="F599" s="53">
        <v>165.05</v>
      </c>
      <c r="G599" s="53">
        <v>12</v>
      </c>
      <c r="H599" s="53">
        <v>39</v>
      </c>
      <c r="I599" s="53">
        <v>2.77284</v>
      </c>
      <c r="J599" s="53">
        <v>5.2</v>
      </c>
      <c r="K599" s="53">
        <v>123.27716000000001</v>
      </c>
      <c r="L599" s="54">
        <v>5</v>
      </c>
      <c r="M599" s="54">
        <v>52</v>
      </c>
      <c r="N599" s="55">
        <v>5.8666666666666663</v>
      </c>
      <c r="O599" s="53">
        <v>12.495999999999999</v>
      </c>
      <c r="P599" s="53">
        <v>140.97316000000001</v>
      </c>
      <c r="Q599" s="56">
        <v>147.77316000000002</v>
      </c>
      <c r="R599" s="34">
        <v>1</v>
      </c>
      <c r="S599" s="34">
        <v>0</v>
      </c>
      <c r="T599" s="20">
        <v>0</v>
      </c>
      <c r="U599" s="21" t="s">
        <v>24</v>
      </c>
      <c r="V599" s="22">
        <f>IFERROR(RAW[[#This Row],[ACTUAL GROSS]]/RAW[[#This Row],[CONVERTED]],0)</f>
        <v>25.188606818181825</v>
      </c>
      <c r="W599" s="22">
        <f>IFERROR(RAW[[#This Row],[SALES]]/RAW[[#This Row],[HOURLY PAY]],0)</f>
        <v>78.024967989756732</v>
      </c>
      <c r="AF599" s="36">
        <v>45310</v>
      </c>
      <c r="AG599">
        <v>19</v>
      </c>
      <c r="AH599" t="s">
        <v>48</v>
      </c>
      <c r="AJ599" s="36"/>
    </row>
    <row r="600" spans="1:36" x14ac:dyDescent="0.35">
      <c r="A600" s="50">
        <v>45390</v>
      </c>
      <c r="B600" s="51" t="s">
        <v>21</v>
      </c>
      <c r="C600" s="52" t="s">
        <v>54</v>
      </c>
      <c r="D600" s="14" t="s">
        <v>30</v>
      </c>
      <c r="E600" s="53">
        <v>99</v>
      </c>
      <c r="F600" s="53">
        <v>18.54</v>
      </c>
      <c r="G600" s="53">
        <v>0</v>
      </c>
      <c r="H600" s="53">
        <v>3.96</v>
      </c>
      <c r="I600" s="53">
        <v>0.31147199999999997</v>
      </c>
      <c r="J600" s="53">
        <v>0</v>
      </c>
      <c r="K600" s="53">
        <v>14.268528</v>
      </c>
      <c r="L600" s="54">
        <v>1</v>
      </c>
      <c r="M600" s="54">
        <v>31</v>
      </c>
      <c r="N600" s="55">
        <v>1.5166666666666666</v>
      </c>
      <c r="O600" s="53">
        <v>3.2304999999999997</v>
      </c>
      <c r="P600" s="53">
        <v>17.499027999999999</v>
      </c>
      <c r="Q600" s="56">
        <v>17.499027999999999</v>
      </c>
      <c r="R600" s="34">
        <v>1</v>
      </c>
      <c r="S600" s="34">
        <v>1</v>
      </c>
      <c r="T600" s="20">
        <v>0</v>
      </c>
      <c r="U600" s="21" t="s">
        <v>34</v>
      </c>
      <c r="V600" s="22">
        <f>IFERROR(RAW[[#This Row],[ACTUAL GROSS]]/RAW[[#This Row],[CONVERTED]],0)</f>
        <v>11.537820659340658</v>
      </c>
      <c r="W600" s="22">
        <f>IFERROR(RAW[[#This Row],[SALES]]/RAW[[#This Row],[HOURLY PAY]],0)</f>
        <v>30.645410927101072</v>
      </c>
      <c r="AF600" s="36">
        <v>45311</v>
      </c>
      <c r="AG600">
        <v>20</v>
      </c>
      <c r="AH600" t="s">
        <v>49</v>
      </c>
      <c r="AJ600" s="36"/>
    </row>
    <row r="601" spans="1:36" x14ac:dyDescent="0.35">
      <c r="A601" s="50">
        <v>45390</v>
      </c>
      <c r="B601" s="51" t="s">
        <v>25</v>
      </c>
      <c r="C601" s="52" t="s">
        <v>54</v>
      </c>
      <c r="D601" s="14" t="s">
        <v>30</v>
      </c>
      <c r="E601" s="53">
        <v>594</v>
      </c>
      <c r="F601" s="53">
        <v>124.62</v>
      </c>
      <c r="G601" s="53">
        <v>0</v>
      </c>
      <c r="H601" s="53">
        <v>23.76</v>
      </c>
      <c r="I601" s="53">
        <v>2.0936159999999999</v>
      </c>
      <c r="J601" s="53">
        <v>0</v>
      </c>
      <c r="K601" s="53">
        <v>98.766384000000002</v>
      </c>
      <c r="L601" s="54">
        <v>3</v>
      </c>
      <c r="M601" s="54">
        <v>49</v>
      </c>
      <c r="N601" s="55">
        <v>3.8166666666666669</v>
      </c>
      <c r="O601" s="53">
        <v>8.1295000000000002</v>
      </c>
      <c r="P601" s="53">
        <v>106.895884</v>
      </c>
      <c r="Q601" s="56">
        <v>106.895884</v>
      </c>
      <c r="R601" s="34">
        <v>1</v>
      </c>
      <c r="S601" s="34">
        <v>0</v>
      </c>
      <c r="T601" s="20">
        <v>1</v>
      </c>
      <c r="U601" s="21" t="s">
        <v>34</v>
      </c>
      <c r="V601" s="22">
        <f>IFERROR(RAW[[#This Row],[ACTUAL GROSS]]/RAW[[#This Row],[CONVERTED]],0)</f>
        <v>28.007655196506548</v>
      </c>
      <c r="W601" s="22">
        <f>IFERROR(RAW[[#This Row],[SALES]]/RAW[[#This Row],[HOURLY PAY]],0)</f>
        <v>73.067224306537909</v>
      </c>
      <c r="AF601" s="36">
        <v>45312</v>
      </c>
      <c r="AG601">
        <v>21</v>
      </c>
      <c r="AH601" t="s">
        <v>48</v>
      </c>
      <c r="AJ601" s="36"/>
    </row>
    <row r="602" spans="1:36" x14ac:dyDescent="0.35">
      <c r="A602" s="50">
        <v>45391</v>
      </c>
      <c r="B602" s="51" t="s">
        <v>21</v>
      </c>
      <c r="C602" s="52" t="s">
        <v>54</v>
      </c>
      <c r="D602" s="14" t="s">
        <v>31</v>
      </c>
      <c r="E602" s="53">
        <v>0</v>
      </c>
      <c r="F602" s="53">
        <v>0</v>
      </c>
      <c r="G602" s="53">
        <v>0</v>
      </c>
      <c r="H602" s="53">
        <v>0</v>
      </c>
      <c r="I602" s="53">
        <v>0</v>
      </c>
      <c r="J602" s="53">
        <v>0</v>
      </c>
      <c r="K602" s="53">
        <v>0</v>
      </c>
      <c r="L602" s="54">
        <v>0</v>
      </c>
      <c r="M602" s="54">
        <v>0</v>
      </c>
      <c r="N602" s="55">
        <v>0</v>
      </c>
      <c r="O602" s="53">
        <v>0</v>
      </c>
      <c r="P602" s="53">
        <v>0</v>
      </c>
      <c r="Q602" s="56">
        <v>0</v>
      </c>
      <c r="R602" s="34">
        <v>0</v>
      </c>
      <c r="S602" s="34">
        <v>0</v>
      </c>
      <c r="T602" s="20">
        <v>0</v>
      </c>
      <c r="U602" s="21" t="s">
        <v>24</v>
      </c>
      <c r="V602" s="22">
        <f>IFERROR(RAW[[#This Row],[ACTUAL GROSS]]/RAW[[#This Row],[CONVERTED]],0)</f>
        <v>0</v>
      </c>
      <c r="W602" s="22">
        <f>IFERROR(RAW[[#This Row],[SALES]]/RAW[[#This Row],[HOURLY PAY]],0)</f>
        <v>0</v>
      </c>
      <c r="AF602" s="36">
        <v>45313</v>
      </c>
      <c r="AG602">
        <v>22</v>
      </c>
      <c r="AH602" t="s">
        <v>49</v>
      </c>
      <c r="AJ602" s="36"/>
    </row>
    <row r="603" spans="1:36" x14ac:dyDescent="0.35">
      <c r="A603" s="50">
        <v>45391</v>
      </c>
      <c r="B603" s="51" t="s">
        <v>25</v>
      </c>
      <c r="C603" s="52" t="s">
        <v>54</v>
      </c>
      <c r="D603" s="14" t="s">
        <v>31</v>
      </c>
      <c r="E603" s="53">
        <v>0</v>
      </c>
      <c r="F603" s="53">
        <v>0</v>
      </c>
      <c r="G603" s="53">
        <v>0</v>
      </c>
      <c r="H603" s="53">
        <v>0</v>
      </c>
      <c r="I603" s="53">
        <v>0</v>
      </c>
      <c r="J603" s="53">
        <v>0</v>
      </c>
      <c r="K603" s="53">
        <v>0</v>
      </c>
      <c r="L603" s="54">
        <v>0</v>
      </c>
      <c r="M603" s="54">
        <v>0</v>
      </c>
      <c r="N603" s="55">
        <v>0</v>
      </c>
      <c r="O603" s="53">
        <v>0</v>
      </c>
      <c r="P603" s="53">
        <v>0</v>
      </c>
      <c r="Q603" s="56">
        <v>0</v>
      </c>
      <c r="R603" s="34">
        <v>0</v>
      </c>
      <c r="S603" s="34">
        <v>0</v>
      </c>
      <c r="T603" s="20">
        <v>0</v>
      </c>
      <c r="U603" s="21" t="s">
        <v>24</v>
      </c>
      <c r="V603" s="22">
        <f>IFERROR(RAW[[#This Row],[ACTUAL GROSS]]/RAW[[#This Row],[CONVERTED]],0)</f>
        <v>0</v>
      </c>
      <c r="W603" s="22">
        <f>IFERROR(RAW[[#This Row],[SALES]]/RAW[[#This Row],[HOURLY PAY]],0)</f>
        <v>0</v>
      </c>
      <c r="AF603" s="36">
        <v>45314</v>
      </c>
      <c r="AG603">
        <v>23</v>
      </c>
      <c r="AH603" t="s">
        <v>48</v>
      </c>
      <c r="AJ603" s="36"/>
    </row>
    <row r="604" spans="1:36" s="48" customFormat="1" x14ac:dyDescent="0.35">
      <c r="A604" s="50">
        <v>45392</v>
      </c>
      <c r="B604" s="51" t="s">
        <v>21</v>
      </c>
      <c r="C604" s="52" t="s">
        <v>54</v>
      </c>
      <c r="D604" s="14" t="s">
        <v>23</v>
      </c>
      <c r="E604" s="53">
        <v>319</v>
      </c>
      <c r="F604" s="53">
        <v>63.8</v>
      </c>
      <c r="G604" s="53">
        <v>0</v>
      </c>
      <c r="H604" s="53">
        <v>12.76</v>
      </c>
      <c r="I604" s="53">
        <v>1.0718399999999999</v>
      </c>
      <c r="J604" s="53">
        <v>0</v>
      </c>
      <c r="K604" s="53">
        <v>49.968159999999997</v>
      </c>
      <c r="L604" s="54">
        <v>3</v>
      </c>
      <c r="M604" s="54">
        <v>5</v>
      </c>
      <c r="N604" s="55">
        <v>3.0833333333333335</v>
      </c>
      <c r="O604" s="53">
        <v>6.5674999999999999</v>
      </c>
      <c r="P604" s="53">
        <v>56.53566</v>
      </c>
      <c r="Q604" s="56">
        <v>56.53566</v>
      </c>
      <c r="R604" s="34">
        <v>1</v>
      </c>
      <c r="S604" s="34">
        <v>1</v>
      </c>
      <c r="T604" s="20">
        <v>0</v>
      </c>
      <c r="U604" s="21" t="s">
        <v>34</v>
      </c>
      <c r="V604" s="238">
        <f>IFERROR(RAW[[#This Row],[ACTUAL GROSS]]/RAW[[#This Row],[CONVERTED]],0)</f>
        <v>18.335889729729729</v>
      </c>
      <c r="W604" s="238">
        <f>IFERROR(RAW[[#This Row],[SALES]]/RAW[[#This Row],[HOURLY PAY]],0)</f>
        <v>48.572516178149982</v>
      </c>
      <c r="AF604" s="36">
        <v>45315</v>
      </c>
      <c r="AG604">
        <v>24</v>
      </c>
      <c r="AH604" t="s">
        <v>49</v>
      </c>
      <c r="AJ604" s="47"/>
    </row>
    <row r="605" spans="1:36" x14ac:dyDescent="0.35">
      <c r="A605" s="50">
        <v>45392</v>
      </c>
      <c r="B605" s="51" t="s">
        <v>25</v>
      </c>
      <c r="C605" s="52" t="s">
        <v>54</v>
      </c>
      <c r="D605" s="14" t="s">
        <v>23</v>
      </c>
      <c r="E605" s="53">
        <v>856</v>
      </c>
      <c r="F605" s="53">
        <v>110.85</v>
      </c>
      <c r="G605" s="53">
        <v>105</v>
      </c>
      <c r="H605" s="53">
        <v>34.24</v>
      </c>
      <c r="I605" s="53">
        <v>1.8622799999999997</v>
      </c>
      <c r="J605" s="53">
        <v>0</v>
      </c>
      <c r="K605" s="53">
        <v>74.747719999999987</v>
      </c>
      <c r="L605" s="54">
        <v>4</v>
      </c>
      <c r="M605" s="54">
        <v>21</v>
      </c>
      <c r="N605" s="55">
        <v>4.3499999999999996</v>
      </c>
      <c r="O605" s="53">
        <v>9.2654999999999994</v>
      </c>
      <c r="P605" s="53">
        <v>84.01321999999999</v>
      </c>
      <c r="Q605" s="56">
        <v>189.01321999999999</v>
      </c>
      <c r="R605" s="34">
        <v>1</v>
      </c>
      <c r="S605" s="34">
        <v>0</v>
      </c>
      <c r="T605" s="20">
        <v>1</v>
      </c>
      <c r="U605" s="21" t="s">
        <v>34</v>
      </c>
      <c r="V605" s="22">
        <f>IFERROR(RAW[[#This Row],[ACTUAL GROSS]]/RAW[[#This Row],[CONVERTED]],0)</f>
        <v>43.451314942528739</v>
      </c>
      <c r="W605" s="22">
        <f>IFERROR(RAW[[#This Row],[SALES]]/RAW[[#This Row],[HOURLY PAY]],0)</f>
        <v>92.385732016620807</v>
      </c>
      <c r="AF605" s="36">
        <v>45316</v>
      </c>
      <c r="AG605">
        <v>25</v>
      </c>
      <c r="AH605" t="s">
        <v>48</v>
      </c>
      <c r="AJ605" s="36"/>
    </row>
    <row r="606" spans="1:36" x14ac:dyDescent="0.35">
      <c r="A606" s="50">
        <v>45393</v>
      </c>
      <c r="B606" s="51" t="s">
        <v>21</v>
      </c>
      <c r="C606" s="52" t="s">
        <v>54</v>
      </c>
      <c r="D606" s="14" t="s">
        <v>26</v>
      </c>
      <c r="E606" s="53">
        <v>0</v>
      </c>
      <c r="F606" s="53">
        <v>0</v>
      </c>
      <c r="G606" s="53">
        <v>0</v>
      </c>
      <c r="H606" s="53">
        <v>0</v>
      </c>
      <c r="I606" s="53">
        <v>0</v>
      </c>
      <c r="J606" s="53">
        <v>0</v>
      </c>
      <c r="K606" s="53">
        <v>0</v>
      </c>
      <c r="L606" s="54">
        <v>0</v>
      </c>
      <c r="M606" s="54">
        <v>0</v>
      </c>
      <c r="N606" s="55">
        <v>0</v>
      </c>
      <c r="O606" s="53">
        <v>0</v>
      </c>
      <c r="P606" s="53">
        <v>0</v>
      </c>
      <c r="Q606" s="56">
        <v>0</v>
      </c>
      <c r="R606" s="34">
        <v>0</v>
      </c>
      <c r="S606" s="34">
        <v>0</v>
      </c>
      <c r="T606" s="20">
        <v>0</v>
      </c>
      <c r="U606" s="21" t="s">
        <v>24</v>
      </c>
      <c r="V606" s="22">
        <f>IFERROR(RAW[[#This Row],[ACTUAL GROSS]]/RAW[[#This Row],[CONVERTED]],0)</f>
        <v>0</v>
      </c>
      <c r="W606" s="59">
        <f>IFERROR(RAW[[#This Row],[SALES]]/RAW[[#This Row],[HOURLY PAY]],0)</f>
        <v>0</v>
      </c>
      <c r="AF606" s="36">
        <v>45317</v>
      </c>
      <c r="AG606">
        <v>26</v>
      </c>
      <c r="AH606" t="s">
        <v>49</v>
      </c>
      <c r="AJ606" s="36"/>
    </row>
    <row r="607" spans="1:36" x14ac:dyDescent="0.35">
      <c r="A607" s="50">
        <v>45393</v>
      </c>
      <c r="B607" s="51" t="s">
        <v>25</v>
      </c>
      <c r="C607" s="52" t="s">
        <v>54</v>
      </c>
      <c r="D607" s="14" t="s">
        <v>26</v>
      </c>
      <c r="E607" s="53">
        <v>0</v>
      </c>
      <c r="F607" s="53">
        <v>0</v>
      </c>
      <c r="G607" s="53">
        <v>0</v>
      </c>
      <c r="H607" s="53">
        <v>0</v>
      </c>
      <c r="I607" s="53">
        <v>0</v>
      </c>
      <c r="J607" s="53">
        <v>0</v>
      </c>
      <c r="K607" s="53">
        <v>0</v>
      </c>
      <c r="L607" s="54">
        <v>0</v>
      </c>
      <c r="M607" s="54">
        <v>0</v>
      </c>
      <c r="N607" s="55">
        <v>0</v>
      </c>
      <c r="O607" s="53">
        <v>0</v>
      </c>
      <c r="P607" s="53">
        <v>0</v>
      </c>
      <c r="Q607" s="56">
        <v>0</v>
      </c>
      <c r="R607" s="34">
        <v>0</v>
      </c>
      <c r="S607" s="34">
        <v>0</v>
      </c>
      <c r="T607" s="20">
        <v>0</v>
      </c>
      <c r="U607" s="21" t="s">
        <v>24</v>
      </c>
      <c r="V607" s="44">
        <f>IFERROR(RAW[[#This Row],[ACTUAL GROSS]]/RAW[[#This Row],[CONVERTED]],0)</f>
        <v>0</v>
      </c>
      <c r="W607" s="22">
        <f>IFERROR(RAW[[#This Row],[SALES]]/RAW[[#This Row],[HOURLY PAY]],0)</f>
        <v>0</v>
      </c>
      <c r="AF607" s="36">
        <v>45318</v>
      </c>
      <c r="AG607">
        <v>27</v>
      </c>
      <c r="AH607" t="s">
        <v>48</v>
      </c>
      <c r="AJ607" s="36"/>
    </row>
    <row r="608" spans="1:36" x14ac:dyDescent="0.35">
      <c r="A608" s="50">
        <v>45394</v>
      </c>
      <c r="B608" s="51" t="s">
        <v>21</v>
      </c>
      <c r="C608" s="52" t="s">
        <v>54</v>
      </c>
      <c r="D608" s="14" t="s">
        <v>27</v>
      </c>
      <c r="E608" s="53">
        <v>369.5</v>
      </c>
      <c r="F608" s="53">
        <v>70.010000000000005</v>
      </c>
      <c r="G608" s="53">
        <v>12</v>
      </c>
      <c r="H608" s="53">
        <v>14.780000000000001</v>
      </c>
      <c r="I608" s="53">
        <v>1.1761680000000001</v>
      </c>
      <c r="J608" s="53">
        <v>4.8</v>
      </c>
      <c r="K608" s="53">
        <v>54.053832</v>
      </c>
      <c r="L608" s="54">
        <v>3</v>
      </c>
      <c r="M608" s="54">
        <v>9</v>
      </c>
      <c r="N608" s="55">
        <v>3.15</v>
      </c>
      <c r="O608" s="53">
        <v>6.7094999999999994</v>
      </c>
      <c r="P608" s="53">
        <v>65.563332000000003</v>
      </c>
      <c r="Q608" s="56">
        <v>72.763332000000005</v>
      </c>
      <c r="R608" s="34">
        <v>1</v>
      </c>
      <c r="S608" s="34">
        <v>1</v>
      </c>
      <c r="T608" s="20">
        <v>0</v>
      </c>
      <c r="U608" s="21" t="s">
        <v>34</v>
      </c>
      <c r="V608" s="22">
        <f>IFERROR(RAW[[#This Row],[ACTUAL GROSS]]/RAW[[#This Row],[CONVERTED]],0)</f>
        <v>23.099470476190479</v>
      </c>
      <c r="W608" s="22">
        <f>IFERROR(RAW[[#This Row],[SALES]]/RAW[[#This Row],[HOURLY PAY]],0)</f>
        <v>55.071167747224088</v>
      </c>
      <c r="AF608" s="36">
        <v>45319</v>
      </c>
      <c r="AG608">
        <v>28</v>
      </c>
      <c r="AH608" t="s">
        <v>49</v>
      </c>
      <c r="AJ608" s="36"/>
    </row>
    <row r="609" spans="1:36" x14ac:dyDescent="0.35">
      <c r="A609" s="50">
        <v>45394</v>
      </c>
      <c r="B609" s="51" t="s">
        <v>25</v>
      </c>
      <c r="C609" s="52" t="s">
        <v>54</v>
      </c>
      <c r="D609" s="14" t="s">
        <v>27</v>
      </c>
      <c r="E609" s="53">
        <v>1566.5</v>
      </c>
      <c r="F609" s="53">
        <v>247.67</v>
      </c>
      <c r="G609" s="53">
        <v>60</v>
      </c>
      <c r="H609" s="53">
        <v>62.660000000000004</v>
      </c>
      <c r="I609" s="53">
        <v>4.1608559999999999</v>
      </c>
      <c r="J609" s="53">
        <v>5.17</v>
      </c>
      <c r="K609" s="53">
        <v>180.84914399999997</v>
      </c>
      <c r="L609" s="54">
        <v>5</v>
      </c>
      <c r="M609" s="54">
        <v>14</v>
      </c>
      <c r="N609" s="55">
        <v>5.2333333333333334</v>
      </c>
      <c r="O609" s="53">
        <v>11.147</v>
      </c>
      <c r="P609" s="53">
        <v>197.16614399999995</v>
      </c>
      <c r="Q609" s="56">
        <v>251.99614399999996</v>
      </c>
      <c r="R609" s="34">
        <v>1</v>
      </c>
      <c r="S609" s="34">
        <v>0</v>
      </c>
      <c r="T609" s="20">
        <v>1</v>
      </c>
      <c r="U609" s="21" t="s">
        <v>34</v>
      </c>
      <c r="V609" s="31">
        <f>IFERROR(RAW[[#This Row],[ACTUAL GROSS]]/RAW[[#This Row],[CONVERTED]],0)</f>
        <v>48.152129426751586</v>
      </c>
      <c r="W609" s="22">
        <f>IFERROR(RAW[[#This Row],[SALES]]/RAW[[#This Row],[HOURLY PAY]],0)</f>
        <v>140.53108459675249</v>
      </c>
      <c r="AF609" s="36">
        <v>45320</v>
      </c>
      <c r="AG609">
        <v>29</v>
      </c>
      <c r="AH609" t="s">
        <v>48</v>
      </c>
      <c r="AJ609" s="36"/>
    </row>
    <row r="610" spans="1:36" x14ac:dyDescent="0.35">
      <c r="A610" s="50">
        <v>45395</v>
      </c>
      <c r="B610" s="51" t="s">
        <v>21</v>
      </c>
      <c r="C610" s="52" t="s">
        <v>54</v>
      </c>
      <c r="D610" s="14" t="s">
        <v>28</v>
      </c>
      <c r="E610" s="53">
        <v>1278.25</v>
      </c>
      <c r="F610" s="53">
        <v>234.11</v>
      </c>
      <c r="G610" s="53">
        <v>30</v>
      </c>
      <c r="H610" s="53">
        <v>51.13</v>
      </c>
      <c r="I610" s="53">
        <v>3.9330479999999999</v>
      </c>
      <c r="J610" s="53">
        <v>6.32</v>
      </c>
      <c r="K610" s="53">
        <v>179.046952</v>
      </c>
      <c r="L610" s="54">
        <v>5</v>
      </c>
      <c r="M610" s="54">
        <v>0</v>
      </c>
      <c r="N610" s="55">
        <v>5</v>
      </c>
      <c r="O610" s="53">
        <v>10.649999999999999</v>
      </c>
      <c r="P610" s="53">
        <v>196.016952</v>
      </c>
      <c r="Q610" s="56">
        <v>219.69695200000001</v>
      </c>
      <c r="R610" s="34">
        <v>1</v>
      </c>
      <c r="S610" s="34">
        <v>1</v>
      </c>
      <c r="T610" s="20">
        <v>0</v>
      </c>
      <c r="U610" s="21" t="s">
        <v>34</v>
      </c>
      <c r="V610" s="22">
        <f>IFERROR(RAW[[#This Row],[ACTUAL GROSS]]/RAW[[#This Row],[CONVERTED]],0)</f>
        <v>43.939390400000001</v>
      </c>
      <c r="W610" s="22">
        <f>IFERROR(RAW[[#This Row],[SALES]]/RAW[[#This Row],[HOURLY PAY]],0)</f>
        <v>120.02347417840377</v>
      </c>
      <c r="AF610" s="36">
        <v>45321</v>
      </c>
      <c r="AG610">
        <v>30</v>
      </c>
      <c r="AH610" t="s">
        <v>49</v>
      </c>
      <c r="AJ610" s="36"/>
    </row>
    <row r="611" spans="1:36" x14ac:dyDescent="0.35">
      <c r="A611" s="50">
        <v>45395</v>
      </c>
      <c r="B611" s="51" t="s">
        <v>25</v>
      </c>
      <c r="C611" s="52" t="s">
        <v>54</v>
      </c>
      <c r="D611" s="14" t="s">
        <v>28</v>
      </c>
      <c r="E611" s="53">
        <v>1278.25</v>
      </c>
      <c r="F611" s="53">
        <v>234.11</v>
      </c>
      <c r="G611" s="53">
        <v>30</v>
      </c>
      <c r="H611" s="53">
        <v>51.13</v>
      </c>
      <c r="I611" s="53">
        <v>3.9330479999999999</v>
      </c>
      <c r="J611" s="53">
        <v>6.32</v>
      </c>
      <c r="K611" s="53">
        <v>179.046952</v>
      </c>
      <c r="L611" s="54">
        <v>5</v>
      </c>
      <c r="M611" s="54">
        <v>0</v>
      </c>
      <c r="N611" s="55">
        <v>5</v>
      </c>
      <c r="O611" s="53">
        <v>10.649999999999999</v>
      </c>
      <c r="P611" s="53">
        <v>196.016952</v>
      </c>
      <c r="Q611" s="56">
        <v>219.69695200000001</v>
      </c>
      <c r="R611" s="34">
        <v>1</v>
      </c>
      <c r="S611" s="34">
        <v>0</v>
      </c>
      <c r="T611" s="20">
        <v>1</v>
      </c>
      <c r="U611" s="21" t="s">
        <v>34</v>
      </c>
      <c r="V611" s="22">
        <f>IFERROR(RAW[[#This Row],[ACTUAL GROSS]]/RAW[[#This Row],[CONVERTED]],0)</f>
        <v>43.939390400000001</v>
      </c>
      <c r="W611" s="22">
        <f>IFERROR(RAW[[#This Row],[SALES]]/RAW[[#This Row],[HOURLY PAY]],0)</f>
        <v>120.02347417840377</v>
      </c>
      <c r="AF611" s="36">
        <v>45322</v>
      </c>
      <c r="AG611">
        <v>31</v>
      </c>
      <c r="AH611" t="s">
        <v>48</v>
      </c>
      <c r="AJ611" s="36"/>
    </row>
    <row r="612" spans="1:36" x14ac:dyDescent="0.35">
      <c r="A612" s="50">
        <v>45396</v>
      </c>
      <c r="B612" s="51" t="s">
        <v>21</v>
      </c>
      <c r="C612" s="52" t="s">
        <v>54</v>
      </c>
      <c r="D612" s="14" t="s">
        <v>29</v>
      </c>
      <c r="E612" s="53">
        <v>0</v>
      </c>
      <c r="F612" s="53">
        <v>0</v>
      </c>
      <c r="G612" s="53">
        <v>0</v>
      </c>
      <c r="H612" s="53">
        <v>0</v>
      </c>
      <c r="I612" s="53">
        <v>0</v>
      </c>
      <c r="J612" s="53">
        <v>0</v>
      </c>
      <c r="K612" s="53">
        <v>0</v>
      </c>
      <c r="L612" s="54">
        <v>0</v>
      </c>
      <c r="M612" s="54">
        <v>0</v>
      </c>
      <c r="N612" s="55">
        <v>0</v>
      </c>
      <c r="O612" s="53">
        <v>0</v>
      </c>
      <c r="P612" s="53">
        <v>0</v>
      </c>
      <c r="Q612" s="56">
        <v>0</v>
      </c>
      <c r="R612" s="34">
        <v>0</v>
      </c>
      <c r="S612" s="34">
        <v>0</v>
      </c>
      <c r="T612" s="20">
        <v>0</v>
      </c>
      <c r="U612" s="21" t="s">
        <v>24</v>
      </c>
      <c r="V612" s="42">
        <f>IFERROR(RAW[[#This Row],[ACTUAL GROSS]]/RAW[[#This Row],[CONVERTED]],0)</f>
        <v>0</v>
      </c>
      <c r="W612" s="22">
        <f>IFERROR(RAW[[#This Row],[SALES]]/RAW[[#This Row],[HOURLY PAY]],0)</f>
        <v>0</v>
      </c>
      <c r="AF612" s="36">
        <v>45323</v>
      </c>
      <c r="AG612">
        <v>32</v>
      </c>
      <c r="AH612" t="s">
        <v>49</v>
      </c>
      <c r="AJ612" s="36"/>
    </row>
    <row r="613" spans="1:36" x14ac:dyDescent="0.35">
      <c r="A613" s="50">
        <v>45396</v>
      </c>
      <c r="B613" s="51" t="s">
        <v>25</v>
      </c>
      <c r="C613" s="52" t="s">
        <v>54</v>
      </c>
      <c r="D613" s="14" t="s">
        <v>29</v>
      </c>
      <c r="E613" s="53">
        <v>2054.5</v>
      </c>
      <c r="F613" s="53">
        <v>320.19</v>
      </c>
      <c r="G613" s="53">
        <v>95</v>
      </c>
      <c r="H613" s="53">
        <v>82.18</v>
      </c>
      <c r="I613" s="53">
        <v>5.3791919999999998</v>
      </c>
      <c r="J613" s="53">
        <v>15.84</v>
      </c>
      <c r="K613" s="53">
        <v>232.630808</v>
      </c>
      <c r="L613" s="54">
        <v>6</v>
      </c>
      <c r="M613" s="54">
        <v>32</v>
      </c>
      <c r="N613" s="55">
        <v>6.5333333333333332</v>
      </c>
      <c r="O613" s="53">
        <v>13.915999999999999</v>
      </c>
      <c r="P613" s="53">
        <v>262.38680800000003</v>
      </c>
      <c r="Q613" s="56">
        <v>341.546808</v>
      </c>
      <c r="R613" s="34">
        <v>1</v>
      </c>
      <c r="S613" s="34">
        <v>0</v>
      </c>
      <c r="T613" s="20">
        <v>0</v>
      </c>
      <c r="U613" s="21" t="s">
        <v>24</v>
      </c>
      <c r="V613" s="22">
        <f>IFERROR(RAW[[#This Row],[ACTUAL GROSS]]/RAW[[#This Row],[CONVERTED]],0)</f>
        <v>52.277572653061227</v>
      </c>
      <c r="W613" s="22">
        <f>IFERROR(RAW[[#This Row],[SALES]]/RAW[[#This Row],[HOURLY PAY]],0)</f>
        <v>147.63581488933602</v>
      </c>
      <c r="AF613" s="36">
        <v>45324</v>
      </c>
      <c r="AG613">
        <v>33</v>
      </c>
      <c r="AH613" t="s">
        <v>48</v>
      </c>
      <c r="AJ613" s="36"/>
    </row>
    <row r="614" spans="1:36" x14ac:dyDescent="0.35">
      <c r="A614" s="50">
        <v>45397</v>
      </c>
      <c r="B614" s="51" t="s">
        <v>21</v>
      </c>
      <c r="C614" s="52" t="s">
        <v>54</v>
      </c>
      <c r="D614" s="14" t="s">
        <v>30</v>
      </c>
      <c r="E614" s="53">
        <v>0</v>
      </c>
      <c r="F614" s="53">
        <v>0</v>
      </c>
      <c r="G614" s="53">
        <v>0</v>
      </c>
      <c r="H614" s="53">
        <v>0</v>
      </c>
      <c r="I614" s="53">
        <v>0</v>
      </c>
      <c r="J614" s="53">
        <v>0</v>
      </c>
      <c r="K614" s="53">
        <v>0</v>
      </c>
      <c r="L614" s="54">
        <v>0</v>
      </c>
      <c r="M614" s="54">
        <v>0</v>
      </c>
      <c r="N614" s="55">
        <v>0</v>
      </c>
      <c r="O614" s="53">
        <v>0</v>
      </c>
      <c r="P614" s="53">
        <v>0</v>
      </c>
      <c r="Q614" s="56">
        <v>0</v>
      </c>
      <c r="R614" s="34">
        <v>0</v>
      </c>
      <c r="S614" s="34">
        <v>0</v>
      </c>
      <c r="T614" s="20">
        <v>0</v>
      </c>
      <c r="U614" s="21" t="s">
        <v>24</v>
      </c>
      <c r="V614" s="22">
        <f>IFERROR(RAW[[#This Row],[ACTUAL GROSS]]/RAW[[#This Row],[CONVERTED]],0)</f>
        <v>0</v>
      </c>
      <c r="W614" s="22">
        <f>IFERROR(RAW[[#This Row],[SALES]]/RAW[[#This Row],[HOURLY PAY]],0)</f>
        <v>0</v>
      </c>
      <c r="AF614" s="36">
        <v>45325</v>
      </c>
      <c r="AG614">
        <v>34</v>
      </c>
      <c r="AH614" t="s">
        <v>49</v>
      </c>
      <c r="AJ614" s="36"/>
    </row>
    <row r="615" spans="1:36" x14ac:dyDescent="0.35">
      <c r="A615" s="50">
        <v>45397</v>
      </c>
      <c r="B615" s="51" t="s">
        <v>25</v>
      </c>
      <c r="C615" s="52" t="s">
        <v>54</v>
      </c>
      <c r="D615" s="14" t="s">
        <v>30</v>
      </c>
      <c r="E615" s="53">
        <v>0</v>
      </c>
      <c r="F615" s="53">
        <v>0</v>
      </c>
      <c r="G615" s="53">
        <v>0</v>
      </c>
      <c r="H615" s="53">
        <v>0</v>
      </c>
      <c r="I615" s="53">
        <v>0</v>
      </c>
      <c r="J615" s="53">
        <v>0</v>
      </c>
      <c r="K615" s="53">
        <v>0</v>
      </c>
      <c r="L615" s="54">
        <v>0</v>
      </c>
      <c r="M615" s="54">
        <v>0</v>
      </c>
      <c r="N615" s="55">
        <v>0</v>
      </c>
      <c r="O615" s="53">
        <v>0</v>
      </c>
      <c r="P615" s="53">
        <v>0</v>
      </c>
      <c r="Q615" s="56">
        <v>0</v>
      </c>
      <c r="R615" s="34">
        <v>0</v>
      </c>
      <c r="S615" s="34">
        <v>0</v>
      </c>
      <c r="T615" s="20">
        <v>0</v>
      </c>
      <c r="U615" s="21" t="s">
        <v>24</v>
      </c>
      <c r="V615" s="22">
        <f>IFERROR(RAW[[#This Row],[ACTUAL GROSS]]/RAW[[#This Row],[CONVERTED]],0)</f>
        <v>0</v>
      </c>
      <c r="W615" s="22">
        <f>IFERROR(RAW[[#This Row],[SALES]]/RAW[[#This Row],[HOURLY PAY]],0)</f>
        <v>0</v>
      </c>
      <c r="AF615" s="36">
        <v>45326</v>
      </c>
      <c r="AG615">
        <v>35</v>
      </c>
      <c r="AH615" t="s">
        <v>48</v>
      </c>
      <c r="AJ615" s="36"/>
    </row>
    <row r="616" spans="1:36" x14ac:dyDescent="0.35">
      <c r="A616" s="50">
        <v>45398</v>
      </c>
      <c r="B616" s="51" t="s">
        <v>21</v>
      </c>
      <c r="C616" s="52" t="s">
        <v>54</v>
      </c>
      <c r="D616" s="14" t="s">
        <v>31</v>
      </c>
      <c r="E616" s="53">
        <v>677</v>
      </c>
      <c r="F616" s="53">
        <v>130.935</v>
      </c>
      <c r="G616" s="53">
        <v>19</v>
      </c>
      <c r="H616" s="53">
        <v>27.080000000000002</v>
      </c>
      <c r="I616" s="53">
        <v>2.1997079999999998</v>
      </c>
      <c r="J616" s="53">
        <v>0</v>
      </c>
      <c r="K616" s="53">
        <v>101.655292</v>
      </c>
      <c r="L616" s="54">
        <v>5</v>
      </c>
      <c r="M616" s="54">
        <v>18.5</v>
      </c>
      <c r="N616" s="55">
        <v>5.3083333333333336</v>
      </c>
      <c r="O616" s="53">
        <v>11.306749999999999</v>
      </c>
      <c r="P616" s="53">
        <v>112.962042</v>
      </c>
      <c r="Q616" s="56">
        <v>131.962042</v>
      </c>
      <c r="R616" s="34">
        <v>1</v>
      </c>
      <c r="S616" s="34">
        <v>1</v>
      </c>
      <c r="T616" s="20">
        <v>0</v>
      </c>
      <c r="U616" s="21" t="s">
        <v>34</v>
      </c>
      <c r="V616" s="22">
        <f>IFERROR(RAW[[#This Row],[ACTUAL GROSS]]/RAW[[#This Row],[CONVERTED]],0)</f>
        <v>24.859411365777078</v>
      </c>
      <c r="W616" s="22">
        <f>IFERROR(RAW[[#This Row],[SALES]]/RAW[[#This Row],[HOURLY PAY]],0)</f>
        <v>59.875737944148412</v>
      </c>
      <c r="AF616" s="36">
        <v>45327</v>
      </c>
      <c r="AG616">
        <v>36</v>
      </c>
      <c r="AH616" t="s">
        <v>49</v>
      </c>
      <c r="AJ616" s="36"/>
    </row>
    <row r="617" spans="1:36" x14ac:dyDescent="0.35">
      <c r="A617" s="50">
        <v>45398</v>
      </c>
      <c r="B617" s="51" t="s">
        <v>25</v>
      </c>
      <c r="C617" s="52" t="s">
        <v>54</v>
      </c>
      <c r="D617" s="14" t="s">
        <v>31</v>
      </c>
      <c r="E617" s="53">
        <v>677</v>
      </c>
      <c r="F617" s="53">
        <v>130.935</v>
      </c>
      <c r="G617" s="53">
        <v>19</v>
      </c>
      <c r="H617" s="53">
        <v>27.080000000000002</v>
      </c>
      <c r="I617" s="53">
        <v>2.1997079999999998</v>
      </c>
      <c r="J617" s="53">
        <v>0</v>
      </c>
      <c r="K617" s="53">
        <v>101.655292</v>
      </c>
      <c r="L617" s="54">
        <v>5</v>
      </c>
      <c r="M617" s="54">
        <v>18.5</v>
      </c>
      <c r="N617" s="55">
        <v>5.3083333333333336</v>
      </c>
      <c r="O617" s="53">
        <v>11.306749999999999</v>
      </c>
      <c r="P617" s="53">
        <v>112.962042</v>
      </c>
      <c r="Q617" s="56">
        <v>131.962042</v>
      </c>
      <c r="R617" s="34">
        <v>1</v>
      </c>
      <c r="S617" s="34">
        <v>0</v>
      </c>
      <c r="T617" s="20">
        <v>1</v>
      </c>
      <c r="U617" s="21" t="s">
        <v>34</v>
      </c>
      <c r="V617" s="22">
        <f>IFERROR(RAW[[#This Row],[ACTUAL GROSS]]/RAW[[#This Row],[CONVERTED]],0)</f>
        <v>24.859411365777078</v>
      </c>
      <c r="W617" s="22">
        <f>IFERROR(RAW[[#This Row],[SALES]]/RAW[[#This Row],[HOURLY PAY]],0)</f>
        <v>59.875737944148412</v>
      </c>
    </row>
    <row r="618" spans="1:36" s="48" customFormat="1" x14ac:dyDescent="0.35">
      <c r="A618" s="50">
        <v>45399</v>
      </c>
      <c r="B618" s="51" t="s">
        <v>21</v>
      </c>
      <c r="C618" s="52" t="s">
        <v>54</v>
      </c>
      <c r="D618" s="14" t="s">
        <v>23</v>
      </c>
      <c r="E618" s="53">
        <v>421</v>
      </c>
      <c r="F618" s="53">
        <v>80.150000000000006</v>
      </c>
      <c r="G618" s="53">
        <v>0</v>
      </c>
      <c r="H618" s="53">
        <v>16.84</v>
      </c>
      <c r="I618" s="53">
        <v>1.3465199999999999</v>
      </c>
      <c r="J618" s="53">
        <v>0</v>
      </c>
      <c r="K618" s="53">
        <v>61.963480000000004</v>
      </c>
      <c r="L618" s="54">
        <v>3</v>
      </c>
      <c r="M618" s="54">
        <v>26</v>
      </c>
      <c r="N618" s="55">
        <v>3.4333333333333331</v>
      </c>
      <c r="O618" s="53">
        <v>7.3129999999999988</v>
      </c>
      <c r="P618" s="53">
        <v>69.276480000000006</v>
      </c>
      <c r="Q618" s="56">
        <v>69.276480000000006</v>
      </c>
      <c r="R618" s="34">
        <v>1</v>
      </c>
      <c r="S618" s="34">
        <v>1</v>
      </c>
      <c r="T618" s="20">
        <v>0</v>
      </c>
      <c r="U618" s="21" t="s">
        <v>34</v>
      </c>
      <c r="V618" s="238">
        <f>IFERROR(RAW[[#This Row],[ACTUAL GROSS]]/RAW[[#This Row],[CONVERTED]],0)</f>
        <v>20.177615533980585</v>
      </c>
      <c r="W618" s="238">
        <f>IFERROR(RAW[[#This Row],[SALES]]/RAW[[#This Row],[HOURLY PAY]],0)</f>
        <v>57.568713250376049</v>
      </c>
    </row>
    <row r="619" spans="1:36" x14ac:dyDescent="0.35">
      <c r="A619" s="50">
        <v>45399</v>
      </c>
      <c r="B619" s="51" t="s">
        <v>25</v>
      </c>
      <c r="C619" s="52" t="s">
        <v>54</v>
      </c>
      <c r="D619" s="14" t="s">
        <v>23</v>
      </c>
      <c r="E619" s="53">
        <v>801.5</v>
      </c>
      <c r="F619" s="53">
        <v>150.72999999999999</v>
      </c>
      <c r="G619" s="53">
        <v>21</v>
      </c>
      <c r="H619" s="53">
        <v>32.06</v>
      </c>
      <c r="I619" s="53">
        <v>2.5322639999999996</v>
      </c>
      <c r="J619" s="53">
        <v>0</v>
      </c>
      <c r="K619" s="53">
        <v>116.13773599999999</v>
      </c>
      <c r="L619" s="54">
        <v>3</v>
      </c>
      <c r="M619" s="54">
        <v>57</v>
      </c>
      <c r="N619" s="55">
        <v>3.95</v>
      </c>
      <c r="O619" s="53">
        <v>8.4134999999999991</v>
      </c>
      <c r="P619" s="53">
        <v>124.55123599999999</v>
      </c>
      <c r="Q619" s="56">
        <v>145.55123599999999</v>
      </c>
      <c r="R619" s="34">
        <v>1</v>
      </c>
      <c r="S619" s="34">
        <v>0</v>
      </c>
      <c r="T619" s="20">
        <v>1</v>
      </c>
      <c r="U619" s="21" t="s">
        <v>34</v>
      </c>
      <c r="V619" s="22">
        <f>IFERROR(RAW[[#This Row],[ACTUAL GROSS]]/RAW[[#This Row],[CONVERTED]],0)</f>
        <v>36.848414177215183</v>
      </c>
      <c r="W619" s="22">
        <f>IFERROR(RAW[[#This Row],[SALES]]/RAW[[#This Row],[HOURLY PAY]],0)</f>
        <v>95.263564509419396</v>
      </c>
    </row>
    <row r="620" spans="1:36" x14ac:dyDescent="0.35">
      <c r="A620" s="50">
        <v>45400</v>
      </c>
      <c r="B620" s="51" t="s">
        <v>21</v>
      </c>
      <c r="C620" s="52" t="s">
        <v>54</v>
      </c>
      <c r="D620" s="14" t="s">
        <v>26</v>
      </c>
      <c r="E620" s="53">
        <v>602.5</v>
      </c>
      <c r="F620" s="53">
        <v>105.36</v>
      </c>
      <c r="G620" s="53">
        <v>11.5</v>
      </c>
      <c r="H620" s="53">
        <v>24.1</v>
      </c>
      <c r="I620" s="53">
        <v>1.7700479999999998</v>
      </c>
      <c r="J620" s="53">
        <v>4.96</v>
      </c>
      <c r="K620" s="53">
        <v>79.489952000000002</v>
      </c>
      <c r="L620" s="54">
        <v>4</v>
      </c>
      <c r="M620" s="54">
        <v>24.5</v>
      </c>
      <c r="N620" s="55">
        <v>4.4083333333333332</v>
      </c>
      <c r="O620" s="53">
        <v>9.3897499999999994</v>
      </c>
      <c r="P620" s="53">
        <v>93.839701999999988</v>
      </c>
      <c r="Q620" s="56">
        <v>100.37970200000001</v>
      </c>
      <c r="R620" s="34">
        <v>1</v>
      </c>
      <c r="S620" s="34">
        <v>1</v>
      </c>
      <c r="T620" s="20">
        <v>0</v>
      </c>
      <c r="U620" s="21" t="s">
        <v>34</v>
      </c>
      <c r="V620" s="22">
        <f>IFERROR(RAW[[#This Row],[ACTUAL GROSS]]/RAW[[#This Row],[CONVERTED]],0)</f>
        <v>22.770442797731572</v>
      </c>
      <c r="W620" s="22">
        <f>IFERROR(RAW[[#This Row],[SALES]]/RAW[[#This Row],[HOURLY PAY]],0)</f>
        <v>64.165712612156881</v>
      </c>
    </row>
    <row r="621" spans="1:36" x14ac:dyDescent="0.35">
      <c r="A621" s="50">
        <v>45400</v>
      </c>
      <c r="B621" s="51" t="s">
        <v>25</v>
      </c>
      <c r="C621" s="52" t="s">
        <v>54</v>
      </c>
      <c r="D621" s="14" t="s">
        <v>26</v>
      </c>
      <c r="E621" s="53">
        <v>602.5</v>
      </c>
      <c r="F621" s="53">
        <v>105.36</v>
      </c>
      <c r="G621" s="53">
        <v>11.5</v>
      </c>
      <c r="H621" s="53">
        <v>24.1</v>
      </c>
      <c r="I621" s="53">
        <v>1.7700479999999998</v>
      </c>
      <c r="J621" s="53">
        <v>0</v>
      </c>
      <c r="K621" s="53">
        <v>79.489952000000002</v>
      </c>
      <c r="L621" s="54">
        <v>4</v>
      </c>
      <c r="M621" s="54">
        <v>24.5</v>
      </c>
      <c r="N621" s="55">
        <v>4.4083333333333332</v>
      </c>
      <c r="O621" s="53">
        <v>9.3897499999999994</v>
      </c>
      <c r="P621" s="53">
        <v>88.879702000000009</v>
      </c>
      <c r="Q621" s="56">
        <v>100.37970200000001</v>
      </c>
      <c r="R621" s="34">
        <v>1</v>
      </c>
      <c r="S621" s="34">
        <v>0</v>
      </c>
      <c r="T621" s="20">
        <v>1</v>
      </c>
      <c r="U621" s="21" t="s">
        <v>34</v>
      </c>
      <c r="V621" s="44">
        <f>IFERROR(RAW[[#This Row],[ACTUAL GROSS]]/RAW[[#This Row],[CONVERTED]],0)</f>
        <v>22.770442797731572</v>
      </c>
      <c r="W621" s="22">
        <f>IFERROR(RAW[[#This Row],[SALES]]/RAW[[#This Row],[HOURLY PAY]],0)</f>
        <v>64.165712612156881</v>
      </c>
    </row>
    <row r="622" spans="1:36" x14ac:dyDescent="0.35">
      <c r="A622" s="50">
        <v>45401</v>
      </c>
      <c r="B622" s="51" t="s">
        <v>21</v>
      </c>
      <c r="C622" s="52" t="s">
        <v>54</v>
      </c>
      <c r="D622" s="14" t="s">
        <v>27</v>
      </c>
      <c r="E622" s="53">
        <v>0</v>
      </c>
      <c r="F622" s="53">
        <v>0</v>
      </c>
      <c r="G622" s="53">
        <v>0</v>
      </c>
      <c r="H622" s="53">
        <v>0</v>
      </c>
      <c r="I622" s="53">
        <v>0</v>
      </c>
      <c r="J622" s="53">
        <v>0</v>
      </c>
      <c r="K622" s="53">
        <v>0</v>
      </c>
      <c r="L622" s="54">
        <v>0</v>
      </c>
      <c r="M622" s="54">
        <v>0</v>
      </c>
      <c r="N622" s="55">
        <v>0</v>
      </c>
      <c r="O622" s="53">
        <v>0</v>
      </c>
      <c r="P622" s="53">
        <v>0</v>
      </c>
      <c r="Q622" s="56">
        <v>0</v>
      </c>
      <c r="R622" s="34">
        <v>0</v>
      </c>
      <c r="S622" s="34">
        <v>0</v>
      </c>
      <c r="T622" s="20">
        <v>0</v>
      </c>
      <c r="U622" s="21" t="s">
        <v>24</v>
      </c>
      <c r="V622" s="22">
        <f>IFERROR(RAW[[#This Row],[ACTUAL GROSS]]/RAW[[#This Row],[CONVERTED]],0)</f>
        <v>0</v>
      </c>
      <c r="W622" s="22">
        <f>IFERROR(RAW[[#This Row],[SALES]]/RAW[[#This Row],[HOURLY PAY]],0)</f>
        <v>0</v>
      </c>
    </row>
    <row r="623" spans="1:36" x14ac:dyDescent="0.35">
      <c r="A623" s="50">
        <v>45401</v>
      </c>
      <c r="B623" s="51" t="s">
        <v>25</v>
      </c>
      <c r="C623" s="52" t="s">
        <v>54</v>
      </c>
      <c r="D623" s="14" t="s">
        <v>27</v>
      </c>
      <c r="E623" s="53">
        <v>1313.5</v>
      </c>
      <c r="F623" s="53">
        <v>238.9</v>
      </c>
      <c r="G623" s="53">
        <v>20</v>
      </c>
      <c r="H623" s="53">
        <v>52.54</v>
      </c>
      <c r="I623" s="53">
        <v>4.0135199999999998</v>
      </c>
      <c r="J623" s="53">
        <v>0</v>
      </c>
      <c r="K623" s="53">
        <v>182.34648000000001</v>
      </c>
      <c r="L623" s="54">
        <v>6</v>
      </c>
      <c r="M623" s="54">
        <v>28</v>
      </c>
      <c r="N623" s="55">
        <v>6.4666666666666668</v>
      </c>
      <c r="O623" s="53">
        <v>13.773999999999999</v>
      </c>
      <c r="P623" s="53">
        <v>196.12048000000001</v>
      </c>
      <c r="Q623" s="56">
        <v>216.12048000000001</v>
      </c>
      <c r="R623" s="34">
        <v>1</v>
      </c>
      <c r="S623" s="34">
        <v>0</v>
      </c>
      <c r="T623" s="20">
        <v>0</v>
      </c>
      <c r="U623" s="21" t="s">
        <v>24</v>
      </c>
      <c r="V623" s="31">
        <f>IFERROR(RAW[[#This Row],[ACTUAL GROSS]]/RAW[[#This Row],[CONVERTED]],0)</f>
        <v>33.420692783505153</v>
      </c>
      <c r="W623" s="22">
        <f>IFERROR(RAW[[#This Row],[SALES]]/RAW[[#This Row],[HOURLY PAY]],0)</f>
        <v>95.360824742268051</v>
      </c>
    </row>
    <row r="624" spans="1:36" x14ac:dyDescent="0.35">
      <c r="A624" s="50">
        <v>45402</v>
      </c>
      <c r="B624" s="51" t="s">
        <v>21</v>
      </c>
      <c r="C624" s="52" t="s">
        <v>54</v>
      </c>
      <c r="D624" s="14" t="s">
        <v>28</v>
      </c>
      <c r="E624" s="53">
        <v>1112</v>
      </c>
      <c r="F624" s="53">
        <v>173.815</v>
      </c>
      <c r="G624" s="53">
        <v>68</v>
      </c>
      <c r="H624" s="53">
        <v>44.480000000000004</v>
      </c>
      <c r="I624" s="53">
        <v>2.9200919999999999</v>
      </c>
      <c r="J624" s="53">
        <v>8.86</v>
      </c>
      <c r="K624" s="53">
        <v>126.414908</v>
      </c>
      <c r="L624" s="54">
        <v>4</v>
      </c>
      <c r="M624" s="54">
        <v>23.5</v>
      </c>
      <c r="N624" s="55">
        <v>4.3916666666666666</v>
      </c>
      <c r="O624" s="53">
        <v>9.3542499999999986</v>
      </c>
      <c r="P624" s="53">
        <v>144.62915799999999</v>
      </c>
      <c r="Q624" s="56">
        <v>203.769158</v>
      </c>
      <c r="R624" s="34">
        <v>1</v>
      </c>
      <c r="S624" s="34">
        <v>1</v>
      </c>
      <c r="T624" s="20">
        <v>0</v>
      </c>
      <c r="U624" s="21" t="s">
        <v>34</v>
      </c>
      <c r="V624" s="22">
        <f>IFERROR(RAW[[#This Row],[ACTUAL GROSS]]/RAW[[#This Row],[CONVERTED]],0)</f>
        <v>46.399049259962048</v>
      </c>
      <c r="W624" s="22">
        <f>IFERROR(RAW[[#This Row],[SALES]]/RAW[[#This Row],[HOURLY PAY]],0)</f>
        <v>118.87644653499748</v>
      </c>
    </row>
    <row r="625" spans="1:23" x14ac:dyDescent="0.35">
      <c r="A625" s="50">
        <v>45402</v>
      </c>
      <c r="B625" s="51" t="s">
        <v>25</v>
      </c>
      <c r="C625" s="52" t="s">
        <v>54</v>
      </c>
      <c r="D625" s="14" t="s">
        <v>28</v>
      </c>
      <c r="E625" s="53">
        <v>1112</v>
      </c>
      <c r="F625" s="53">
        <v>173.815</v>
      </c>
      <c r="G625" s="53">
        <v>68</v>
      </c>
      <c r="H625" s="53">
        <v>44.480000000000004</v>
      </c>
      <c r="I625" s="53">
        <v>2.9200919999999999</v>
      </c>
      <c r="J625" s="53">
        <v>8.86</v>
      </c>
      <c r="K625" s="53">
        <v>126.414908</v>
      </c>
      <c r="L625" s="54">
        <v>5</v>
      </c>
      <c r="M625" s="54">
        <v>23.5</v>
      </c>
      <c r="N625" s="55">
        <v>5.3916666666666666</v>
      </c>
      <c r="O625" s="53">
        <v>11.484249999999999</v>
      </c>
      <c r="P625" s="53">
        <v>146.75915799999999</v>
      </c>
      <c r="Q625" s="56">
        <v>205.899158</v>
      </c>
      <c r="R625" s="34">
        <v>1</v>
      </c>
      <c r="S625" s="34">
        <v>0</v>
      </c>
      <c r="T625" s="20">
        <v>1</v>
      </c>
      <c r="U625" s="21" t="s">
        <v>34</v>
      </c>
      <c r="V625" s="22">
        <f>IFERROR(RAW[[#This Row],[ACTUAL GROSS]]/RAW[[#This Row],[CONVERTED]],0)</f>
        <v>38.188406429675425</v>
      </c>
      <c r="W625" s="22">
        <f>IFERROR(RAW[[#This Row],[SALES]]/RAW[[#This Row],[HOURLY PAY]],0)</f>
        <v>96.828264797439971</v>
      </c>
    </row>
    <row r="626" spans="1:23" x14ac:dyDescent="0.35">
      <c r="A626" s="50">
        <v>45403</v>
      </c>
      <c r="B626" s="51" t="s">
        <v>21</v>
      </c>
      <c r="C626" s="52" t="s">
        <v>54</v>
      </c>
      <c r="D626" s="14" t="s">
        <v>29</v>
      </c>
      <c r="E626" s="53">
        <v>0</v>
      </c>
      <c r="F626" s="53">
        <v>0</v>
      </c>
      <c r="G626" s="53">
        <v>0</v>
      </c>
      <c r="H626" s="53">
        <v>0</v>
      </c>
      <c r="I626" s="53">
        <v>0</v>
      </c>
      <c r="J626" s="53">
        <v>0</v>
      </c>
      <c r="K626" s="53">
        <v>0</v>
      </c>
      <c r="L626" s="54">
        <v>0</v>
      </c>
      <c r="M626" s="54">
        <v>0</v>
      </c>
      <c r="N626" s="55">
        <v>0</v>
      </c>
      <c r="O626" s="53">
        <v>0</v>
      </c>
      <c r="P626" s="53">
        <v>0</v>
      </c>
      <c r="Q626" s="56">
        <v>0</v>
      </c>
      <c r="R626" s="34">
        <v>0</v>
      </c>
      <c r="S626" s="34">
        <v>0</v>
      </c>
      <c r="T626" s="20">
        <v>0</v>
      </c>
      <c r="U626" s="21" t="s">
        <v>24</v>
      </c>
      <c r="V626" s="42">
        <f>IFERROR(RAW[[#This Row],[ACTUAL GROSS]]/RAW[[#This Row],[CONVERTED]],0)</f>
        <v>0</v>
      </c>
      <c r="W626" s="22">
        <f>IFERROR(RAW[[#This Row],[SALES]]/RAW[[#This Row],[HOURLY PAY]],0)</f>
        <v>0</v>
      </c>
    </row>
    <row r="627" spans="1:23" x14ac:dyDescent="0.35">
      <c r="A627" s="50">
        <v>45403</v>
      </c>
      <c r="B627" s="51" t="s">
        <v>25</v>
      </c>
      <c r="C627" s="52" t="s">
        <v>54</v>
      </c>
      <c r="D627" s="14" t="s">
        <v>29</v>
      </c>
      <c r="E627" s="53">
        <v>0</v>
      </c>
      <c r="F627" s="53">
        <v>0</v>
      </c>
      <c r="G627" s="53">
        <v>0</v>
      </c>
      <c r="H627" s="53">
        <v>0</v>
      </c>
      <c r="I627" s="53">
        <v>0</v>
      </c>
      <c r="J627" s="53">
        <v>0</v>
      </c>
      <c r="K627" s="53">
        <v>0</v>
      </c>
      <c r="L627" s="54">
        <v>0</v>
      </c>
      <c r="M627" s="54">
        <v>0</v>
      </c>
      <c r="N627" s="55">
        <v>0</v>
      </c>
      <c r="O627" s="53">
        <v>0</v>
      </c>
      <c r="P627" s="53">
        <v>0</v>
      </c>
      <c r="Q627" s="56">
        <v>0</v>
      </c>
      <c r="R627" s="34">
        <v>0</v>
      </c>
      <c r="S627" s="34">
        <v>0</v>
      </c>
      <c r="T627" s="20">
        <v>0</v>
      </c>
      <c r="U627" s="21" t="s">
        <v>24</v>
      </c>
      <c r="V627" s="22">
        <f>IFERROR(RAW[[#This Row],[ACTUAL GROSS]]/RAW[[#This Row],[CONVERTED]],0)</f>
        <v>0</v>
      </c>
      <c r="W627" s="22">
        <f>IFERROR(RAW[[#This Row],[SALES]]/RAW[[#This Row],[HOURLY PAY]],0)</f>
        <v>0</v>
      </c>
    </row>
    <row r="628" spans="1:23" x14ac:dyDescent="0.35">
      <c r="A628" s="50">
        <v>45404</v>
      </c>
      <c r="B628" s="51" t="s">
        <v>21</v>
      </c>
      <c r="C628" s="52" t="s">
        <v>54</v>
      </c>
      <c r="D628" s="14" t="s">
        <v>30</v>
      </c>
      <c r="E628" s="53">
        <v>240</v>
      </c>
      <c r="F628" s="53">
        <v>43.31</v>
      </c>
      <c r="G628" s="53">
        <v>0</v>
      </c>
      <c r="H628" s="53">
        <v>9.6</v>
      </c>
      <c r="I628" s="53">
        <v>0.72760800000000003</v>
      </c>
      <c r="J628" s="53">
        <v>0</v>
      </c>
      <c r="K628" s="53">
        <v>32.982392000000004</v>
      </c>
      <c r="L628" s="54">
        <v>2</v>
      </c>
      <c r="M628" s="54">
        <v>11</v>
      </c>
      <c r="N628" s="55">
        <v>2.1833333333333331</v>
      </c>
      <c r="O628" s="53">
        <v>4.6504999999999992</v>
      </c>
      <c r="P628" s="53">
        <v>37.632892000000005</v>
      </c>
      <c r="Q628" s="56">
        <v>37.632892000000005</v>
      </c>
      <c r="R628" s="34">
        <v>1</v>
      </c>
      <c r="S628" s="34">
        <v>1</v>
      </c>
      <c r="T628" s="20">
        <v>0</v>
      </c>
      <c r="U628" s="21" t="s">
        <v>24</v>
      </c>
      <c r="V628" s="22">
        <f>IFERROR(RAW[[#This Row],[ACTUAL GROSS]]/RAW[[#This Row],[CONVERTED]],0)</f>
        <v>17.236439083969469</v>
      </c>
      <c r="W628" s="22">
        <f>IFERROR(RAW[[#This Row],[SALES]]/RAW[[#This Row],[HOURLY PAY]],0)</f>
        <v>51.607354047951844</v>
      </c>
    </row>
    <row r="629" spans="1:23" x14ac:dyDescent="0.35">
      <c r="A629" s="50">
        <v>45404</v>
      </c>
      <c r="B629" s="51" t="s">
        <v>25</v>
      </c>
      <c r="C629" s="52" t="s">
        <v>54</v>
      </c>
      <c r="D629" s="14" t="s">
        <v>30</v>
      </c>
      <c r="E629" s="53">
        <v>0</v>
      </c>
      <c r="F629" s="53">
        <v>0</v>
      </c>
      <c r="G629" s="53">
        <v>0</v>
      </c>
      <c r="H629" s="53">
        <v>0</v>
      </c>
      <c r="I629" s="53">
        <v>0</v>
      </c>
      <c r="J629" s="53">
        <v>0</v>
      </c>
      <c r="K629" s="53">
        <v>0</v>
      </c>
      <c r="L629" s="54">
        <v>0</v>
      </c>
      <c r="M629" s="54">
        <v>0</v>
      </c>
      <c r="N629" s="55">
        <v>0</v>
      </c>
      <c r="O629" s="53">
        <v>0</v>
      </c>
      <c r="P629" s="53">
        <v>0</v>
      </c>
      <c r="Q629" s="56">
        <v>0</v>
      </c>
      <c r="R629" s="34">
        <v>0</v>
      </c>
      <c r="S629" s="34">
        <v>0</v>
      </c>
      <c r="T629" s="20">
        <v>0</v>
      </c>
      <c r="U629" s="21" t="s">
        <v>24</v>
      </c>
      <c r="V629" s="22">
        <f>IFERROR(RAW[[#This Row],[ACTUAL GROSS]]/RAW[[#This Row],[CONVERTED]],0)</f>
        <v>0</v>
      </c>
      <c r="W629" s="22">
        <f>IFERROR(RAW[[#This Row],[SALES]]/RAW[[#This Row],[HOURLY PAY]],0)</f>
        <v>0</v>
      </c>
    </row>
    <row r="630" spans="1:23" x14ac:dyDescent="0.35">
      <c r="A630" s="50">
        <v>45405</v>
      </c>
      <c r="B630" s="51" t="s">
        <v>21</v>
      </c>
      <c r="C630" s="52" t="s">
        <v>54</v>
      </c>
      <c r="D630" s="14" t="s">
        <v>31</v>
      </c>
      <c r="E630" s="53">
        <v>0</v>
      </c>
      <c r="F630" s="53">
        <v>0</v>
      </c>
      <c r="G630" s="53">
        <v>0</v>
      </c>
      <c r="H630" s="53">
        <v>0</v>
      </c>
      <c r="I630" s="53">
        <v>0</v>
      </c>
      <c r="J630" s="53">
        <v>0</v>
      </c>
      <c r="K630" s="53">
        <v>0</v>
      </c>
      <c r="L630" s="54">
        <v>0</v>
      </c>
      <c r="M630" s="54">
        <v>0</v>
      </c>
      <c r="N630" s="55">
        <v>0</v>
      </c>
      <c r="O630" s="53">
        <v>0</v>
      </c>
      <c r="P630" s="53">
        <v>0</v>
      </c>
      <c r="Q630" s="56">
        <v>0</v>
      </c>
      <c r="R630" s="34">
        <v>0</v>
      </c>
      <c r="S630" s="34">
        <v>0</v>
      </c>
      <c r="T630" s="20">
        <v>0</v>
      </c>
      <c r="U630" s="21" t="s">
        <v>24</v>
      </c>
      <c r="V630" s="22">
        <f>IFERROR(RAW[[#This Row],[ACTUAL GROSS]]/RAW[[#This Row],[CONVERTED]],0)</f>
        <v>0</v>
      </c>
      <c r="W630" s="22">
        <f>IFERROR(RAW[[#This Row],[SALES]]/RAW[[#This Row],[HOURLY PAY]],0)</f>
        <v>0</v>
      </c>
    </row>
    <row r="631" spans="1:23" x14ac:dyDescent="0.35">
      <c r="A631" s="50">
        <v>45405</v>
      </c>
      <c r="B631" s="51" t="s">
        <v>25</v>
      </c>
      <c r="C631" s="52" t="s">
        <v>54</v>
      </c>
      <c r="D631" s="14" t="s">
        <v>31</v>
      </c>
      <c r="E631" s="53">
        <v>0</v>
      </c>
      <c r="F631" s="53">
        <v>0</v>
      </c>
      <c r="G631" s="53">
        <v>0</v>
      </c>
      <c r="H631" s="53">
        <v>0</v>
      </c>
      <c r="I631" s="53">
        <v>0</v>
      </c>
      <c r="J631" s="53">
        <v>0</v>
      </c>
      <c r="K631" s="53">
        <v>0</v>
      </c>
      <c r="L631" s="54">
        <v>0</v>
      </c>
      <c r="M631" s="54">
        <v>0</v>
      </c>
      <c r="N631" s="55">
        <v>0</v>
      </c>
      <c r="O631" s="53">
        <v>0</v>
      </c>
      <c r="P631" s="53">
        <v>0</v>
      </c>
      <c r="Q631" s="56">
        <v>0</v>
      </c>
      <c r="R631" s="34">
        <v>0</v>
      </c>
      <c r="S631" s="34">
        <v>0</v>
      </c>
      <c r="T631" s="20">
        <v>0</v>
      </c>
      <c r="U631" s="21" t="s">
        <v>24</v>
      </c>
      <c r="V631" s="22">
        <f>IFERROR(RAW[[#This Row],[ACTUAL GROSS]]/RAW[[#This Row],[CONVERTED]],0)</f>
        <v>0</v>
      </c>
      <c r="W631" s="22">
        <f>IFERROR(RAW[[#This Row],[SALES]]/RAW[[#This Row],[HOURLY PAY]],0)</f>
        <v>0</v>
      </c>
    </row>
    <row r="632" spans="1:23" s="48" customFormat="1" x14ac:dyDescent="0.35">
      <c r="A632" s="50">
        <v>45406</v>
      </c>
      <c r="B632" s="51" t="s">
        <v>21</v>
      </c>
      <c r="C632" s="52" t="s">
        <v>54</v>
      </c>
      <c r="D632" s="14" t="s">
        <v>23</v>
      </c>
      <c r="E632" s="53">
        <v>0</v>
      </c>
      <c r="F632" s="53">
        <v>0</v>
      </c>
      <c r="G632" s="53">
        <v>0</v>
      </c>
      <c r="H632" s="53">
        <v>0</v>
      </c>
      <c r="I632" s="53">
        <v>0</v>
      </c>
      <c r="J632" s="53">
        <v>0</v>
      </c>
      <c r="K632" s="53">
        <v>0</v>
      </c>
      <c r="L632" s="54">
        <v>0</v>
      </c>
      <c r="M632" s="54">
        <v>0</v>
      </c>
      <c r="N632" s="55">
        <v>0</v>
      </c>
      <c r="O632" s="53">
        <v>0</v>
      </c>
      <c r="P632" s="53">
        <v>0</v>
      </c>
      <c r="Q632" s="56">
        <v>0</v>
      </c>
      <c r="R632" s="34">
        <v>0</v>
      </c>
      <c r="S632" s="34">
        <v>0</v>
      </c>
      <c r="T632" s="20">
        <v>0</v>
      </c>
      <c r="U632" s="21" t="s">
        <v>24</v>
      </c>
      <c r="V632" s="238">
        <f>IFERROR(RAW[[#This Row],[ACTUAL GROSS]]/RAW[[#This Row],[CONVERTED]],0)</f>
        <v>0</v>
      </c>
      <c r="W632" s="22">
        <f>IFERROR(RAW[[#This Row],[SALES]]/RAW[[#This Row],[HOURLY PAY]],0)</f>
        <v>0</v>
      </c>
    </row>
    <row r="633" spans="1:23" x14ac:dyDescent="0.35">
      <c r="A633" s="50">
        <v>45406</v>
      </c>
      <c r="B633" s="51" t="s">
        <v>25</v>
      </c>
      <c r="C633" s="52" t="s">
        <v>54</v>
      </c>
      <c r="D633" s="14" t="s">
        <v>23</v>
      </c>
      <c r="E633" s="53">
        <v>0</v>
      </c>
      <c r="F633" s="53">
        <v>0</v>
      </c>
      <c r="G633" s="53">
        <v>0</v>
      </c>
      <c r="H633" s="53">
        <v>0</v>
      </c>
      <c r="I633" s="53">
        <v>0</v>
      </c>
      <c r="J633" s="53">
        <v>0</v>
      </c>
      <c r="K633" s="53">
        <v>0</v>
      </c>
      <c r="L633" s="54">
        <v>0</v>
      </c>
      <c r="M633" s="54">
        <v>0</v>
      </c>
      <c r="N633" s="55">
        <v>0</v>
      </c>
      <c r="O633" s="53">
        <v>0</v>
      </c>
      <c r="P633" s="53">
        <v>0</v>
      </c>
      <c r="Q633" s="56">
        <v>0</v>
      </c>
      <c r="R633" s="34">
        <v>0</v>
      </c>
      <c r="S633" s="34">
        <v>0</v>
      </c>
      <c r="T633" s="20">
        <v>0</v>
      </c>
      <c r="U633" s="21" t="s">
        <v>24</v>
      </c>
      <c r="V633" s="22">
        <f>IFERROR(RAW[[#This Row],[ACTUAL GROSS]]/RAW[[#This Row],[CONVERTED]],0)</f>
        <v>0</v>
      </c>
      <c r="W633" s="22">
        <f>IFERROR(RAW[[#This Row],[SALES]]/RAW[[#This Row],[HOURLY PAY]],0)</f>
        <v>0</v>
      </c>
    </row>
    <row r="634" spans="1:23" x14ac:dyDescent="0.35">
      <c r="A634" s="50">
        <v>45407</v>
      </c>
      <c r="B634" s="51" t="s">
        <v>21</v>
      </c>
      <c r="C634" s="52" t="s">
        <v>54</v>
      </c>
      <c r="D634" s="14" t="s">
        <v>26</v>
      </c>
      <c r="E634" s="53">
        <v>0</v>
      </c>
      <c r="F634" s="53">
        <v>0</v>
      </c>
      <c r="G634" s="53">
        <v>0</v>
      </c>
      <c r="H634" s="53">
        <v>0</v>
      </c>
      <c r="I634" s="53">
        <v>0</v>
      </c>
      <c r="J634" s="53">
        <v>0</v>
      </c>
      <c r="K634" s="53">
        <v>0</v>
      </c>
      <c r="L634" s="54">
        <v>0</v>
      </c>
      <c r="M634" s="54">
        <v>0</v>
      </c>
      <c r="N634" s="55">
        <v>0</v>
      </c>
      <c r="O634" s="53">
        <v>0</v>
      </c>
      <c r="P634" s="53">
        <v>0</v>
      </c>
      <c r="Q634" s="56">
        <v>0</v>
      </c>
      <c r="R634" s="34">
        <v>0</v>
      </c>
      <c r="S634" s="34">
        <v>0</v>
      </c>
      <c r="T634" s="20">
        <v>0</v>
      </c>
      <c r="U634" s="21" t="s">
        <v>24</v>
      </c>
      <c r="V634" s="22">
        <f>IFERROR(RAW[[#This Row],[ACTUAL GROSS]]/RAW[[#This Row],[CONVERTED]],0)</f>
        <v>0</v>
      </c>
      <c r="W634" s="22">
        <f>IFERROR(RAW[[#This Row],[SALES]]/RAW[[#This Row],[HOURLY PAY]],0)</f>
        <v>0</v>
      </c>
    </row>
    <row r="635" spans="1:23" x14ac:dyDescent="0.35">
      <c r="A635" s="50">
        <v>45407</v>
      </c>
      <c r="B635" s="51" t="s">
        <v>25</v>
      </c>
      <c r="C635" s="52" t="s">
        <v>54</v>
      </c>
      <c r="D635" s="14" t="s">
        <v>26</v>
      </c>
      <c r="E635" s="53">
        <v>0</v>
      </c>
      <c r="F635" s="53">
        <v>0</v>
      </c>
      <c r="G635" s="53">
        <v>0</v>
      </c>
      <c r="H635" s="53">
        <v>0</v>
      </c>
      <c r="I635" s="53">
        <v>0</v>
      </c>
      <c r="J635" s="53">
        <v>0</v>
      </c>
      <c r="K635" s="53">
        <v>0</v>
      </c>
      <c r="L635" s="54">
        <v>0</v>
      </c>
      <c r="M635" s="54">
        <v>0</v>
      </c>
      <c r="N635" s="55">
        <v>0</v>
      </c>
      <c r="O635" s="53">
        <v>0</v>
      </c>
      <c r="P635" s="53">
        <v>0</v>
      </c>
      <c r="Q635" s="56">
        <v>0</v>
      </c>
      <c r="R635" s="34">
        <v>0</v>
      </c>
      <c r="S635" s="34">
        <v>0</v>
      </c>
      <c r="T635" s="20">
        <v>0</v>
      </c>
      <c r="U635" s="21" t="s">
        <v>24</v>
      </c>
      <c r="V635" s="44">
        <f>IFERROR(RAW[[#This Row],[ACTUAL GROSS]]/RAW[[#This Row],[CONVERTED]],0)</f>
        <v>0</v>
      </c>
      <c r="W635" s="22">
        <f>IFERROR(RAW[[#This Row],[SALES]]/RAW[[#This Row],[HOURLY PAY]],0)</f>
        <v>0</v>
      </c>
    </row>
    <row r="636" spans="1:23" x14ac:dyDescent="0.35">
      <c r="A636" s="50">
        <v>45408</v>
      </c>
      <c r="B636" s="51" t="s">
        <v>21</v>
      </c>
      <c r="C636" s="52" t="s">
        <v>54</v>
      </c>
      <c r="D636" s="14" t="s">
        <v>27</v>
      </c>
      <c r="E636" s="53">
        <v>0</v>
      </c>
      <c r="F636" s="53">
        <v>0</v>
      </c>
      <c r="G636" s="53">
        <v>0</v>
      </c>
      <c r="H636" s="53">
        <v>0</v>
      </c>
      <c r="I636" s="53">
        <v>0</v>
      </c>
      <c r="J636" s="53">
        <v>0</v>
      </c>
      <c r="K636" s="53">
        <v>0</v>
      </c>
      <c r="L636" s="54">
        <v>0</v>
      </c>
      <c r="M636" s="54">
        <v>0</v>
      </c>
      <c r="N636" s="55">
        <v>0</v>
      </c>
      <c r="O636" s="53">
        <v>0</v>
      </c>
      <c r="P636" s="53">
        <v>0</v>
      </c>
      <c r="Q636" s="56">
        <v>0</v>
      </c>
      <c r="R636" s="34">
        <v>0</v>
      </c>
      <c r="S636" s="34">
        <v>0</v>
      </c>
      <c r="T636" s="20">
        <v>0</v>
      </c>
      <c r="U636" s="21" t="s">
        <v>24</v>
      </c>
      <c r="V636" s="22">
        <f>IFERROR(RAW[[#This Row],[ACTUAL GROSS]]/RAW[[#This Row],[CONVERTED]],0)</f>
        <v>0</v>
      </c>
      <c r="W636" s="22">
        <f>IFERROR(RAW[[#This Row],[SALES]]/RAW[[#This Row],[HOURLY PAY]],0)</f>
        <v>0</v>
      </c>
    </row>
    <row r="637" spans="1:23" x14ac:dyDescent="0.35">
      <c r="A637" s="50">
        <v>45408</v>
      </c>
      <c r="B637" s="51" t="s">
        <v>25</v>
      </c>
      <c r="C637" s="52" t="s">
        <v>54</v>
      </c>
      <c r="D637" s="14" t="s">
        <v>27</v>
      </c>
      <c r="E637" s="53">
        <v>1526</v>
      </c>
      <c r="F637" s="53">
        <v>277.2</v>
      </c>
      <c r="G637" s="53">
        <v>58</v>
      </c>
      <c r="H637" s="53">
        <v>61.04</v>
      </c>
      <c r="I637" s="53">
        <v>4.6569599999999998</v>
      </c>
      <c r="J637" s="53">
        <v>0</v>
      </c>
      <c r="K637" s="53">
        <v>211.50304</v>
      </c>
      <c r="L637" s="54">
        <v>7</v>
      </c>
      <c r="M637" s="54">
        <v>10</v>
      </c>
      <c r="N637" s="55">
        <v>7.166666666666667</v>
      </c>
      <c r="O637" s="53">
        <v>15.265000000000001</v>
      </c>
      <c r="P637" s="53">
        <v>226.76803999999998</v>
      </c>
      <c r="Q637" s="56">
        <v>284.76803999999998</v>
      </c>
      <c r="R637" s="34">
        <v>1</v>
      </c>
      <c r="S637" s="34">
        <v>0</v>
      </c>
      <c r="T637" s="20">
        <v>0</v>
      </c>
      <c r="U637" s="21" t="s">
        <v>24</v>
      </c>
      <c r="V637" s="31">
        <f>IFERROR(RAW[[#This Row],[ACTUAL GROSS]]/RAW[[#This Row],[CONVERTED]],0)</f>
        <v>39.735075348837206</v>
      </c>
      <c r="W637" s="22">
        <f>IFERROR(RAW[[#This Row],[SALES]]/RAW[[#This Row],[HOURLY PAY]],0)</f>
        <v>99.967245332459868</v>
      </c>
    </row>
    <row r="638" spans="1:23" x14ac:dyDescent="0.35">
      <c r="A638" s="50">
        <v>45409</v>
      </c>
      <c r="B638" s="51" t="s">
        <v>21</v>
      </c>
      <c r="C638" s="52" t="s">
        <v>54</v>
      </c>
      <c r="D638" s="14" t="s">
        <v>28</v>
      </c>
      <c r="E638" s="53">
        <v>1427</v>
      </c>
      <c r="F638" s="53">
        <v>251.44</v>
      </c>
      <c r="G638" s="53">
        <v>33.5</v>
      </c>
      <c r="H638" s="53">
        <v>57.08</v>
      </c>
      <c r="I638" s="53">
        <v>4.2241919999999995</v>
      </c>
      <c r="J638" s="53">
        <v>5.76</v>
      </c>
      <c r="K638" s="53">
        <v>190.135808</v>
      </c>
      <c r="L638" s="54">
        <v>5</v>
      </c>
      <c r="M638" s="54">
        <v>7</v>
      </c>
      <c r="N638" s="55">
        <v>5.1166666666666663</v>
      </c>
      <c r="O638" s="53">
        <v>10.898499999999999</v>
      </c>
      <c r="P638" s="53">
        <v>206.794308</v>
      </c>
      <c r="Q638" s="56">
        <v>234.53430800000001</v>
      </c>
      <c r="R638" s="34">
        <v>1</v>
      </c>
      <c r="S638" s="34">
        <v>1</v>
      </c>
      <c r="T638" s="20">
        <v>0</v>
      </c>
      <c r="U638" s="21" t="s">
        <v>34</v>
      </c>
      <c r="V638" s="22">
        <f>IFERROR(RAW[[#This Row],[ACTUAL GROSS]]/RAW[[#This Row],[CONVERTED]],0)</f>
        <v>45.837324039087953</v>
      </c>
      <c r="W638" s="22">
        <f>IFERROR(RAW[[#This Row],[SALES]]/RAW[[#This Row],[HOURLY PAY]],0)</f>
        <v>130.93544983254577</v>
      </c>
    </row>
    <row r="639" spans="1:23" x14ac:dyDescent="0.35">
      <c r="A639" s="50">
        <v>45409</v>
      </c>
      <c r="B639" s="51" t="s">
        <v>25</v>
      </c>
      <c r="C639" s="52" t="s">
        <v>54</v>
      </c>
      <c r="D639" s="14" t="s">
        <v>28</v>
      </c>
      <c r="E639" s="53">
        <v>1427</v>
      </c>
      <c r="F639" s="53">
        <v>251.44</v>
      </c>
      <c r="G639" s="53">
        <v>33.5</v>
      </c>
      <c r="H639" s="53">
        <v>57.08</v>
      </c>
      <c r="I639" s="53">
        <v>4.2241919999999995</v>
      </c>
      <c r="J639" s="53">
        <v>0</v>
      </c>
      <c r="K639" s="53">
        <v>190.135808</v>
      </c>
      <c r="L639" s="54">
        <v>5</v>
      </c>
      <c r="M639" s="54">
        <v>7</v>
      </c>
      <c r="N639" s="55">
        <v>5.1166666666666663</v>
      </c>
      <c r="O639" s="53">
        <v>10.898499999999999</v>
      </c>
      <c r="P639" s="53">
        <v>201.03430800000001</v>
      </c>
      <c r="Q639" s="56">
        <v>234.53430800000001</v>
      </c>
      <c r="R639" s="34">
        <v>1</v>
      </c>
      <c r="S639" s="34">
        <v>0</v>
      </c>
      <c r="T639" s="20">
        <v>1</v>
      </c>
      <c r="U639" s="21" t="s">
        <v>34</v>
      </c>
      <c r="V639" s="22">
        <f>IFERROR(RAW[[#This Row],[ACTUAL GROSS]]/RAW[[#This Row],[CONVERTED]],0)</f>
        <v>45.837324039087953</v>
      </c>
      <c r="W639" s="22">
        <f>IFERROR(RAW[[#This Row],[SALES]]/RAW[[#This Row],[HOURLY PAY]],0)</f>
        <v>130.93544983254577</v>
      </c>
    </row>
    <row r="640" spans="1:23" x14ac:dyDescent="0.35">
      <c r="A640" s="50">
        <v>45410</v>
      </c>
      <c r="B640" s="51" t="s">
        <v>21</v>
      </c>
      <c r="C640" s="52" t="s">
        <v>54</v>
      </c>
      <c r="D640" s="14" t="s">
        <v>29</v>
      </c>
      <c r="E640" s="53">
        <v>0</v>
      </c>
      <c r="F640" s="53">
        <v>0</v>
      </c>
      <c r="G640" s="53">
        <v>0</v>
      </c>
      <c r="H640" s="53">
        <v>0</v>
      </c>
      <c r="I640" s="53">
        <v>0</v>
      </c>
      <c r="J640" s="53">
        <v>0</v>
      </c>
      <c r="K640" s="53">
        <v>0</v>
      </c>
      <c r="L640" s="54">
        <v>0</v>
      </c>
      <c r="M640" s="54">
        <v>0</v>
      </c>
      <c r="N640" s="55">
        <v>0</v>
      </c>
      <c r="O640" s="53">
        <v>0</v>
      </c>
      <c r="P640" s="53">
        <v>0</v>
      </c>
      <c r="Q640" s="56">
        <v>0</v>
      </c>
      <c r="R640" s="34">
        <v>0</v>
      </c>
      <c r="S640" s="34">
        <v>0</v>
      </c>
      <c r="T640" s="20">
        <v>0</v>
      </c>
      <c r="U640" s="21" t="s">
        <v>24</v>
      </c>
      <c r="V640" s="42">
        <f>IFERROR(RAW[[#This Row],[ACTUAL GROSS]]/RAW[[#This Row],[CONVERTED]],0)</f>
        <v>0</v>
      </c>
      <c r="W640" s="22">
        <f>IFERROR(RAW[[#This Row],[SALES]]/RAW[[#This Row],[HOURLY PAY]],0)</f>
        <v>0</v>
      </c>
    </row>
    <row r="641" spans="1:23" x14ac:dyDescent="0.35">
      <c r="A641" s="50">
        <v>45410</v>
      </c>
      <c r="B641" s="51" t="s">
        <v>25</v>
      </c>
      <c r="C641" s="52" t="s">
        <v>54</v>
      </c>
      <c r="D641" s="14" t="s">
        <v>29</v>
      </c>
      <c r="E641" s="53">
        <v>1798.5</v>
      </c>
      <c r="F641" s="53">
        <v>319.32</v>
      </c>
      <c r="G641" s="53">
        <v>56</v>
      </c>
      <c r="H641" s="53">
        <v>71.94</v>
      </c>
      <c r="I641" s="53">
        <v>5.3645759999999996</v>
      </c>
      <c r="J641" s="53">
        <v>15.84</v>
      </c>
      <c r="K641" s="53">
        <v>242.015424</v>
      </c>
      <c r="L641" s="54">
        <v>5</v>
      </c>
      <c r="M641" s="54">
        <v>28</v>
      </c>
      <c r="N641" s="55">
        <v>5.4666666666666668</v>
      </c>
      <c r="O641" s="53">
        <v>11.644</v>
      </c>
      <c r="P641" s="53">
        <v>269.49942399999998</v>
      </c>
      <c r="Q641" s="56">
        <v>309.659424</v>
      </c>
      <c r="R641" s="34">
        <v>1</v>
      </c>
      <c r="S641" s="34">
        <v>0</v>
      </c>
      <c r="T641" s="20">
        <v>0</v>
      </c>
      <c r="U641" s="21" t="s">
        <v>24</v>
      </c>
      <c r="V641" s="22">
        <f>IFERROR(RAW[[#This Row],[ACTUAL GROSS]]/RAW[[#This Row],[CONVERTED]],0)</f>
        <v>56.645016585365852</v>
      </c>
      <c r="W641" s="22">
        <f>IFERROR(RAW[[#This Row],[SALES]]/RAW[[#This Row],[HOURLY PAY]],0)</f>
        <v>154.45723119203024</v>
      </c>
    </row>
    <row r="642" spans="1:23" x14ac:dyDescent="0.35">
      <c r="A642" s="50">
        <v>45411</v>
      </c>
      <c r="B642" s="51" t="s">
        <v>21</v>
      </c>
      <c r="C642" s="52" t="s">
        <v>54</v>
      </c>
      <c r="D642" s="14" t="s">
        <v>30</v>
      </c>
      <c r="E642" s="53">
        <v>538</v>
      </c>
      <c r="F642" s="53">
        <v>119.65</v>
      </c>
      <c r="G642" s="53">
        <v>0</v>
      </c>
      <c r="H642" s="53">
        <v>21.52</v>
      </c>
      <c r="I642" s="53">
        <v>2.0101200000000001</v>
      </c>
      <c r="J642" s="53">
        <v>0</v>
      </c>
      <c r="K642" s="53">
        <v>96.119880000000009</v>
      </c>
      <c r="L642" s="54">
        <v>4</v>
      </c>
      <c r="M642" s="54">
        <v>1</v>
      </c>
      <c r="N642" s="55">
        <v>4.0166666666666666</v>
      </c>
      <c r="O642" s="53">
        <v>8.5555000000000003</v>
      </c>
      <c r="P642" s="53">
        <v>104.67538</v>
      </c>
      <c r="Q642" s="56">
        <v>104.67538</v>
      </c>
      <c r="R642" s="34">
        <v>1</v>
      </c>
      <c r="S642" s="34">
        <v>1</v>
      </c>
      <c r="T642" s="20">
        <v>0</v>
      </c>
      <c r="U642" s="21" t="s">
        <v>34</v>
      </c>
      <c r="V642" s="22">
        <f>IFERROR(RAW[[#This Row],[ACTUAL GROSS]]/RAW[[#This Row],[CONVERTED]],0)</f>
        <v>26.060260580912864</v>
      </c>
      <c r="W642" s="22">
        <f>IFERROR(RAW[[#This Row],[SALES]]/RAW[[#This Row],[HOURLY PAY]],0)</f>
        <v>62.883525217696217</v>
      </c>
    </row>
    <row r="643" spans="1:23" x14ac:dyDescent="0.35">
      <c r="A643" s="50">
        <v>45411</v>
      </c>
      <c r="B643" s="51" t="s">
        <v>25</v>
      </c>
      <c r="C643" s="52" t="s">
        <v>54</v>
      </c>
      <c r="D643" s="14" t="s">
        <v>30</v>
      </c>
      <c r="E643" s="53">
        <v>766.5</v>
      </c>
      <c r="F643" s="53">
        <v>112.6</v>
      </c>
      <c r="G643" s="53">
        <v>29</v>
      </c>
      <c r="H643" s="53">
        <v>30.66</v>
      </c>
      <c r="I643" s="53">
        <v>1.8916799999999998</v>
      </c>
      <c r="J643" s="53">
        <v>13.16</v>
      </c>
      <c r="K643" s="53">
        <v>80.04831999999999</v>
      </c>
      <c r="L643" s="54">
        <v>4</v>
      </c>
      <c r="M643" s="54">
        <v>10</v>
      </c>
      <c r="N643" s="55">
        <v>4.166666666666667</v>
      </c>
      <c r="O643" s="53">
        <v>8.875</v>
      </c>
      <c r="P643" s="53">
        <v>102.08331999999999</v>
      </c>
      <c r="Q643" s="56">
        <v>117.92331999999999</v>
      </c>
      <c r="R643" s="34">
        <v>1</v>
      </c>
      <c r="S643" s="34">
        <v>0</v>
      </c>
      <c r="T643" s="20">
        <v>1</v>
      </c>
      <c r="U643" s="21" t="s">
        <v>34</v>
      </c>
      <c r="V643" s="22">
        <f>IFERROR(RAW[[#This Row],[ACTUAL GROSS]]/RAW[[#This Row],[CONVERTED]],0)</f>
        <v>28.301596799999995</v>
      </c>
      <c r="W643" s="22">
        <f>IFERROR(RAW[[#This Row],[SALES]]/RAW[[#This Row],[HOURLY PAY]],0)</f>
        <v>86.366197183098592</v>
      </c>
    </row>
    <row r="644" spans="1:23" x14ac:dyDescent="0.35">
      <c r="A644" s="50">
        <v>45412</v>
      </c>
      <c r="B644" s="51" t="s">
        <v>21</v>
      </c>
      <c r="C644" s="52" t="s">
        <v>54</v>
      </c>
      <c r="D644" s="14" t="s">
        <v>31</v>
      </c>
      <c r="E644" s="53">
        <v>0</v>
      </c>
      <c r="F644" s="53">
        <v>0</v>
      </c>
      <c r="G644" s="53">
        <v>0</v>
      </c>
      <c r="H644" s="53">
        <v>0</v>
      </c>
      <c r="I644" s="53">
        <v>0</v>
      </c>
      <c r="J644" s="53">
        <v>0</v>
      </c>
      <c r="K644" s="53">
        <v>0</v>
      </c>
      <c r="L644" s="54">
        <v>0</v>
      </c>
      <c r="M644" s="54">
        <v>0</v>
      </c>
      <c r="N644" s="55">
        <v>0</v>
      </c>
      <c r="O644" s="53">
        <v>0</v>
      </c>
      <c r="P644" s="53">
        <v>0</v>
      </c>
      <c r="Q644" s="56">
        <v>0</v>
      </c>
      <c r="R644" s="34">
        <v>0</v>
      </c>
      <c r="S644" s="34">
        <v>0</v>
      </c>
      <c r="T644" s="20">
        <v>0</v>
      </c>
      <c r="U644" s="21" t="s">
        <v>24</v>
      </c>
      <c r="V644" s="22">
        <f>IFERROR(RAW[[#This Row],[ACTUAL GROSS]]/RAW[[#This Row],[CONVERTED]],0)</f>
        <v>0</v>
      </c>
      <c r="W644" s="22">
        <f>IFERROR(RAW[[#This Row],[SALES]]/RAW[[#This Row],[HOURLY PAY]],0)</f>
        <v>0</v>
      </c>
    </row>
    <row r="645" spans="1:23" x14ac:dyDescent="0.35">
      <c r="A645" s="50">
        <v>45412</v>
      </c>
      <c r="B645" s="51" t="s">
        <v>25</v>
      </c>
      <c r="C645" s="52" t="s">
        <v>54</v>
      </c>
      <c r="D645" s="14" t="s">
        <v>31</v>
      </c>
      <c r="E645" s="53">
        <v>0</v>
      </c>
      <c r="F645" s="53">
        <v>0</v>
      </c>
      <c r="G645" s="53">
        <v>0</v>
      </c>
      <c r="H645" s="53">
        <v>0</v>
      </c>
      <c r="I645" s="53">
        <v>0</v>
      </c>
      <c r="J645" s="53">
        <v>0</v>
      </c>
      <c r="K645" s="53">
        <v>0</v>
      </c>
      <c r="L645" s="54">
        <v>0</v>
      </c>
      <c r="M645" s="54">
        <v>0</v>
      </c>
      <c r="N645" s="55">
        <v>0</v>
      </c>
      <c r="O645" s="53">
        <v>0</v>
      </c>
      <c r="P645" s="53">
        <v>0</v>
      </c>
      <c r="Q645" s="56">
        <v>0</v>
      </c>
      <c r="R645" s="34">
        <v>0</v>
      </c>
      <c r="S645" s="34">
        <v>0</v>
      </c>
      <c r="T645" s="20">
        <v>0</v>
      </c>
      <c r="U645" s="21" t="s">
        <v>24</v>
      </c>
      <c r="V645" s="22">
        <f>IFERROR(RAW[[#This Row],[ACTUAL GROSS]]/RAW[[#This Row],[CONVERTED]],0)</f>
        <v>0</v>
      </c>
      <c r="W645" s="22">
        <f>IFERROR(RAW[[#This Row],[SALES]]/RAW[[#This Row],[HOURLY PAY]],0)</f>
        <v>0</v>
      </c>
    </row>
    <row r="646" spans="1:23" s="48" customFormat="1" x14ac:dyDescent="0.35">
      <c r="A646" s="50">
        <v>45413</v>
      </c>
      <c r="B646" s="51" t="s">
        <v>21</v>
      </c>
      <c r="C646" s="52" t="s">
        <v>64</v>
      </c>
      <c r="D646" s="14" t="s">
        <v>23</v>
      </c>
      <c r="E646" s="53">
        <v>724</v>
      </c>
      <c r="F646" s="53">
        <v>120.62</v>
      </c>
      <c r="G646" s="53">
        <v>23</v>
      </c>
      <c r="H646" s="53">
        <v>28.96</v>
      </c>
      <c r="I646" s="53">
        <v>2.0264159999999998</v>
      </c>
      <c r="J646" s="53">
        <v>0</v>
      </c>
      <c r="K646" s="53">
        <v>89.633583999999999</v>
      </c>
      <c r="L646" s="54">
        <v>4</v>
      </c>
      <c r="M646" s="54">
        <v>6</v>
      </c>
      <c r="N646" s="55">
        <v>4.0999999999999996</v>
      </c>
      <c r="O646" s="53">
        <v>8.7329999999999988</v>
      </c>
      <c r="P646" s="53">
        <v>98.366584000000003</v>
      </c>
      <c r="Q646" s="56">
        <v>121.366584</v>
      </c>
      <c r="R646" s="34">
        <v>1</v>
      </c>
      <c r="S646" s="34">
        <v>1</v>
      </c>
      <c r="T646" s="20">
        <v>0</v>
      </c>
      <c r="U646" s="21" t="s">
        <v>34</v>
      </c>
      <c r="V646" s="238">
        <f>IFERROR(RAW[[#This Row],[ACTUAL GROSS]]/RAW[[#This Row],[CONVERTED]],0)</f>
        <v>29.60160585365854</v>
      </c>
      <c r="W646" s="238">
        <f>IFERROR(RAW[[#This Row],[SALES]]/RAW[[#This Row],[HOURLY PAY]],0)</f>
        <v>82.903927630825621</v>
      </c>
    </row>
    <row r="647" spans="1:23" x14ac:dyDescent="0.35">
      <c r="A647" s="50">
        <v>45413</v>
      </c>
      <c r="B647" s="51" t="s">
        <v>25</v>
      </c>
      <c r="C647" s="52" t="s">
        <v>64</v>
      </c>
      <c r="D647" s="14" t="s">
        <v>23</v>
      </c>
      <c r="E647" s="53">
        <v>968.5</v>
      </c>
      <c r="F647" s="53">
        <v>188.27</v>
      </c>
      <c r="G647" s="53">
        <v>0</v>
      </c>
      <c r="H647" s="53">
        <v>38.74</v>
      </c>
      <c r="I647" s="53">
        <v>3.1629360000000002</v>
      </c>
      <c r="J647" s="53">
        <v>0</v>
      </c>
      <c r="K647" s="53">
        <v>146.367064</v>
      </c>
      <c r="L647" s="54">
        <v>4</v>
      </c>
      <c r="M647" s="54">
        <v>28</v>
      </c>
      <c r="N647" s="55">
        <v>4.4666666666666668</v>
      </c>
      <c r="O647" s="53">
        <v>9.5139999999999993</v>
      </c>
      <c r="P647" s="53">
        <v>155.88106400000001</v>
      </c>
      <c r="Q647" s="56">
        <v>155.88106400000001</v>
      </c>
      <c r="R647" s="34">
        <v>1</v>
      </c>
      <c r="S647" s="34">
        <v>0</v>
      </c>
      <c r="T647" s="20">
        <v>1</v>
      </c>
      <c r="U647" s="21" t="s">
        <v>34</v>
      </c>
      <c r="V647" s="22">
        <f>IFERROR(RAW[[#This Row],[ACTUAL GROSS]]/RAW[[#This Row],[CONVERTED]],0)</f>
        <v>34.898745671641791</v>
      </c>
      <c r="W647" s="22">
        <f>IFERROR(RAW[[#This Row],[SALES]]/RAW[[#This Row],[HOURLY PAY]],0)</f>
        <v>101.79735127180997</v>
      </c>
    </row>
    <row r="648" spans="1:23" x14ac:dyDescent="0.35">
      <c r="A648" s="50">
        <v>45414</v>
      </c>
      <c r="B648" s="51" t="s">
        <v>21</v>
      </c>
      <c r="C648" s="52" t="s">
        <v>64</v>
      </c>
      <c r="D648" s="14" t="s">
        <v>26</v>
      </c>
      <c r="E648" s="53">
        <v>0</v>
      </c>
      <c r="F648" s="53">
        <v>0</v>
      </c>
      <c r="G648" s="53">
        <v>0</v>
      </c>
      <c r="H648" s="53">
        <v>0</v>
      </c>
      <c r="I648" s="53">
        <v>0</v>
      </c>
      <c r="J648" s="53">
        <v>0</v>
      </c>
      <c r="K648" s="53">
        <v>0</v>
      </c>
      <c r="L648" s="54">
        <v>0</v>
      </c>
      <c r="M648" s="54">
        <v>0</v>
      </c>
      <c r="N648" s="55">
        <v>0</v>
      </c>
      <c r="O648" s="53">
        <v>0</v>
      </c>
      <c r="P648" s="53">
        <v>0</v>
      </c>
      <c r="Q648" s="56">
        <v>0</v>
      </c>
      <c r="R648" s="34">
        <v>0</v>
      </c>
      <c r="S648" s="34">
        <v>0</v>
      </c>
      <c r="T648" s="20">
        <v>0</v>
      </c>
      <c r="U648" s="21" t="s">
        <v>24</v>
      </c>
      <c r="V648" s="22">
        <f>IFERROR(RAW[[#This Row],[ACTUAL GROSS]]/RAW[[#This Row],[CONVERTED]],0)</f>
        <v>0</v>
      </c>
      <c r="W648" s="22">
        <f>IFERROR(RAW[[#This Row],[SALES]]/RAW[[#This Row],[HOURLY PAY]],0)</f>
        <v>0</v>
      </c>
    </row>
    <row r="649" spans="1:23" x14ac:dyDescent="0.35">
      <c r="A649" s="50">
        <v>45414</v>
      </c>
      <c r="B649" s="51" t="s">
        <v>25</v>
      </c>
      <c r="C649" s="52" t="s">
        <v>64</v>
      </c>
      <c r="D649" s="14" t="s">
        <v>26</v>
      </c>
      <c r="E649" s="53">
        <v>0</v>
      </c>
      <c r="F649" s="53">
        <v>0</v>
      </c>
      <c r="G649" s="53">
        <v>0</v>
      </c>
      <c r="H649" s="53">
        <v>0</v>
      </c>
      <c r="I649" s="53">
        <v>0</v>
      </c>
      <c r="J649" s="53">
        <v>0</v>
      </c>
      <c r="K649" s="53">
        <v>0</v>
      </c>
      <c r="L649" s="54">
        <v>0</v>
      </c>
      <c r="M649" s="54">
        <v>0</v>
      </c>
      <c r="N649" s="55">
        <v>0</v>
      </c>
      <c r="O649" s="53">
        <v>0</v>
      </c>
      <c r="P649" s="53">
        <v>0</v>
      </c>
      <c r="Q649" s="56">
        <v>0</v>
      </c>
      <c r="R649" s="34">
        <v>0</v>
      </c>
      <c r="S649" s="34">
        <v>0</v>
      </c>
      <c r="T649" s="20">
        <v>0</v>
      </c>
      <c r="U649" s="21" t="s">
        <v>24</v>
      </c>
      <c r="V649" s="44">
        <f>IFERROR(RAW[[#This Row],[ACTUAL GROSS]]/RAW[[#This Row],[CONVERTED]],0)</f>
        <v>0</v>
      </c>
      <c r="W649" s="22">
        <f>IFERROR(RAW[[#This Row],[SALES]]/RAW[[#This Row],[HOURLY PAY]],0)</f>
        <v>0</v>
      </c>
    </row>
    <row r="650" spans="1:23" x14ac:dyDescent="0.35">
      <c r="A650" s="50">
        <v>45415</v>
      </c>
      <c r="B650" s="51" t="s">
        <v>21</v>
      </c>
      <c r="C650" s="52" t="s">
        <v>64</v>
      </c>
      <c r="D650" s="14" t="s">
        <v>27</v>
      </c>
      <c r="E650" s="53">
        <v>0</v>
      </c>
      <c r="F650" s="53">
        <v>0</v>
      </c>
      <c r="G650" s="53">
        <v>0</v>
      </c>
      <c r="H650" s="53">
        <v>0</v>
      </c>
      <c r="I650" s="53">
        <v>0</v>
      </c>
      <c r="J650" s="53">
        <v>0</v>
      </c>
      <c r="K650" s="53">
        <v>0</v>
      </c>
      <c r="L650" s="54">
        <v>0</v>
      </c>
      <c r="M650" s="54">
        <v>0</v>
      </c>
      <c r="N650" s="55">
        <v>0</v>
      </c>
      <c r="O650" s="53">
        <v>0</v>
      </c>
      <c r="P650" s="53">
        <v>0</v>
      </c>
      <c r="Q650" s="56">
        <v>0</v>
      </c>
      <c r="R650" s="34">
        <v>0</v>
      </c>
      <c r="S650" s="34">
        <v>0</v>
      </c>
      <c r="T650" s="20">
        <v>0</v>
      </c>
      <c r="U650" s="21" t="s">
        <v>24</v>
      </c>
      <c r="V650" s="22">
        <f>IFERROR(RAW[[#This Row],[ACTUAL GROSS]]/RAW[[#This Row],[CONVERTED]],0)</f>
        <v>0</v>
      </c>
      <c r="W650" s="22">
        <f>IFERROR(RAW[[#This Row],[SALES]]/RAW[[#This Row],[HOURLY PAY]],0)</f>
        <v>0</v>
      </c>
    </row>
    <row r="651" spans="1:23" x14ac:dyDescent="0.35">
      <c r="A651" s="50">
        <v>45415</v>
      </c>
      <c r="B651" s="51" t="s">
        <v>25</v>
      </c>
      <c r="C651" s="52" t="s">
        <v>64</v>
      </c>
      <c r="D651" s="14" t="s">
        <v>27</v>
      </c>
      <c r="E651" s="53">
        <v>1715.5</v>
      </c>
      <c r="F651" s="53">
        <v>301.95</v>
      </c>
      <c r="G651" s="53">
        <v>18</v>
      </c>
      <c r="H651" s="53">
        <v>68.62</v>
      </c>
      <c r="I651" s="53">
        <v>5.0727599999999997</v>
      </c>
      <c r="J651" s="53">
        <v>6.44</v>
      </c>
      <c r="K651" s="53">
        <v>228.25723999999997</v>
      </c>
      <c r="L651" s="54">
        <v>7</v>
      </c>
      <c r="M651" s="54">
        <v>33</v>
      </c>
      <c r="N651" s="55">
        <v>7.55</v>
      </c>
      <c r="O651" s="53">
        <v>16.081499999999998</v>
      </c>
      <c r="P651" s="53">
        <v>250.77873999999997</v>
      </c>
      <c r="Q651" s="56">
        <v>262.33873999999997</v>
      </c>
      <c r="R651" s="34">
        <v>1</v>
      </c>
      <c r="S651" s="34">
        <v>0</v>
      </c>
      <c r="T651" s="20">
        <v>0</v>
      </c>
      <c r="U651" s="21" t="s">
        <v>24</v>
      </c>
      <c r="V651" s="31">
        <f>IFERROR(RAW[[#This Row],[ACTUAL GROSS]]/RAW[[#This Row],[CONVERTED]],0)</f>
        <v>34.746852980132445</v>
      </c>
      <c r="W651" s="22">
        <f>IFERROR(RAW[[#This Row],[SALES]]/RAW[[#This Row],[HOURLY PAY]],0)</f>
        <v>106.67537232223363</v>
      </c>
    </row>
    <row r="652" spans="1:23" x14ac:dyDescent="0.35">
      <c r="A652" s="50">
        <v>45416</v>
      </c>
      <c r="B652" s="51" t="s">
        <v>21</v>
      </c>
      <c r="C652" s="52" t="s">
        <v>64</v>
      </c>
      <c r="D652" s="14" t="s">
        <v>28</v>
      </c>
      <c r="E652" s="53">
        <v>1198.335</v>
      </c>
      <c r="F652" s="53">
        <v>224.02</v>
      </c>
      <c r="G652" s="53">
        <v>11.5</v>
      </c>
      <c r="H652" s="53">
        <v>47.933400000000006</v>
      </c>
      <c r="I652" s="53">
        <v>3.7635359999999998</v>
      </c>
      <c r="J652" s="53">
        <v>3.48</v>
      </c>
      <c r="K652" s="53">
        <v>172.32306399999999</v>
      </c>
      <c r="L652" s="54">
        <v>5</v>
      </c>
      <c r="M652" s="54">
        <v>8.5</v>
      </c>
      <c r="N652" s="55">
        <v>5.1416666666666666</v>
      </c>
      <c r="O652" s="53">
        <v>10.951749999999999</v>
      </c>
      <c r="P652" s="53">
        <v>186.75481399999998</v>
      </c>
      <c r="Q652" s="56">
        <v>194.77481399999999</v>
      </c>
      <c r="R652" s="34">
        <v>1</v>
      </c>
      <c r="S652" s="34">
        <v>1</v>
      </c>
      <c r="T652" s="20">
        <v>0</v>
      </c>
      <c r="U652" s="21" t="s">
        <v>34</v>
      </c>
      <c r="V652" s="22">
        <f>IFERROR(RAW[[#This Row],[ACTUAL GROSS]]/RAW[[#This Row],[CONVERTED]],0)</f>
        <v>37.88164940032415</v>
      </c>
      <c r="W652" s="22">
        <f>IFERROR(RAW[[#This Row],[SALES]]/RAW[[#This Row],[HOURLY PAY]],0)</f>
        <v>109.41949916679984</v>
      </c>
    </row>
    <row r="653" spans="1:23" x14ac:dyDescent="0.35">
      <c r="A653" s="50">
        <v>45416</v>
      </c>
      <c r="B653" s="51" t="s">
        <v>25</v>
      </c>
      <c r="C653" s="52" t="s">
        <v>64</v>
      </c>
      <c r="D653" s="14" t="s">
        <v>28</v>
      </c>
      <c r="E653" s="53">
        <v>1198.335</v>
      </c>
      <c r="F653" s="53">
        <v>224.02</v>
      </c>
      <c r="G653" s="53">
        <v>11.5</v>
      </c>
      <c r="H653" s="53">
        <v>47.933400000000006</v>
      </c>
      <c r="I653" s="53">
        <v>3.7635359999999998</v>
      </c>
      <c r="J653" s="53">
        <v>3.48</v>
      </c>
      <c r="K653" s="53">
        <v>172.32306399999999</v>
      </c>
      <c r="L653" s="54">
        <v>5</v>
      </c>
      <c r="M653" s="54">
        <v>8.5</v>
      </c>
      <c r="N653" s="55">
        <v>5.1416666666666666</v>
      </c>
      <c r="O653" s="53">
        <v>10.951749999999999</v>
      </c>
      <c r="P653" s="53">
        <v>186.75481399999998</v>
      </c>
      <c r="Q653" s="56">
        <v>194.77481399999999</v>
      </c>
      <c r="R653" s="34">
        <v>1</v>
      </c>
      <c r="S653" s="34">
        <v>0</v>
      </c>
      <c r="T653" s="20">
        <v>1</v>
      </c>
      <c r="U653" s="21" t="s">
        <v>34</v>
      </c>
      <c r="V653" s="22">
        <f>IFERROR(RAW[[#This Row],[ACTUAL GROSS]]/RAW[[#This Row],[CONVERTED]],0)</f>
        <v>37.88164940032415</v>
      </c>
      <c r="W653" s="22">
        <f>IFERROR(RAW[[#This Row],[SALES]]/RAW[[#This Row],[HOURLY PAY]],0)</f>
        <v>109.41949916679984</v>
      </c>
    </row>
    <row r="654" spans="1:23" x14ac:dyDescent="0.35">
      <c r="A654" s="50">
        <v>45417</v>
      </c>
      <c r="B654" s="51" t="s">
        <v>21</v>
      </c>
      <c r="C654" s="52" t="s">
        <v>64</v>
      </c>
      <c r="D654" s="14" t="s">
        <v>29</v>
      </c>
      <c r="E654" s="53">
        <v>0</v>
      </c>
      <c r="F654" s="53">
        <v>0</v>
      </c>
      <c r="G654" s="53"/>
      <c r="H654" s="53">
        <v>0</v>
      </c>
      <c r="I654" s="53">
        <v>0</v>
      </c>
      <c r="J654" s="53">
        <v>0</v>
      </c>
      <c r="K654" s="53">
        <v>0</v>
      </c>
      <c r="L654" s="54">
        <v>0</v>
      </c>
      <c r="M654" s="54">
        <v>0</v>
      </c>
      <c r="N654" s="55">
        <v>0</v>
      </c>
      <c r="O654" s="53">
        <v>0</v>
      </c>
      <c r="P654" s="53">
        <v>0</v>
      </c>
      <c r="Q654" s="56">
        <v>0</v>
      </c>
      <c r="R654" s="34">
        <v>0</v>
      </c>
      <c r="S654" s="34">
        <v>0</v>
      </c>
      <c r="T654" s="20">
        <v>0</v>
      </c>
      <c r="U654" s="21" t="s">
        <v>24</v>
      </c>
      <c r="V654" s="42">
        <f>IFERROR(RAW[[#This Row],[ACTUAL GROSS]]/RAW[[#This Row],[CONVERTED]],0)</f>
        <v>0</v>
      </c>
      <c r="W654" s="22">
        <f>IFERROR(RAW[[#This Row],[SALES]]/RAW[[#This Row],[HOURLY PAY]],0)</f>
        <v>0</v>
      </c>
    </row>
    <row r="655" spans="1:23" x14ac:dyDescent="0.35">
      <c r="A655" s="50">
        <v>45417</v>
      </c>
      <c r="B655" s="51" t="s">
        <v>25</v>
      </c>
      <c r="C655" s="52" t="s">
        <v>64</v>
      </c>
      <c r="D655" s="14" t="s">
        <v>29</v>
      </c>
      <c r="E655" s="53">
        <v>1314.5</v>
      </c>
      <c r="F655" s="53">
        <v>352.3</v>
      </c>
      <c r="G655" s="53">
        <v>24</v>
      </c>
      <c r="H655" s="53">
        <v>52.58</v>
      </c>
      <c r="I655" s="53">
        <v>5.9186399999999999</v>
      </c>
      <c r="J655" s="53">
        <v>10.119999999999999</v>
      </c>
      <c r="K655" s="53">
        <v>293.80136000000005</v>
      </c>
      <c r="L655" s="54">
        <v>6</v>
      </c>
      <c r="M655" s="54">
        <v>10</v>
      </c>
      <c r="N655" s="55">
        <v>6.166666666666667</v>
      </c>
      <c r="O655" s="53">
        <v>13.135</v>
      </c>
      <c r="P655" s="53">
        <v>317.05636000000004</v>
      </c>
      <c r="Q655" s="56">
        <v>330.93636000000004</v>
      </c>
      <c r="R655" s="34">
        <v>1</v>
      </c>
      <c r="S655" s="34">
        <v>0</v>
      </c>
      <c r="T655" s="20">
        <v>0</v>
      </c>
      <c r="U655" s="21" t="s">
        <v>24</v>
      </c>
      <c r="V655" s="22">
        <f>IFERROR(RAW[[#This Row],[ACTUAL GROSS]]/RAW[[#This Row],[CONVERTED]],0)</f>
        <v>53.665355675675677</v>
      </c>
      <c r="W655" s="22">
        <f>IFERROR(RAW[[#This Row],[SALES]]/RAW[[#This Row],[HOURLY PAY]],0)</f>
        <v>100.07613247049866</v>
      </c>
    </row>
    <row r="656" spans="1:23" x14ac:dyDescent="0.35">
      <c r="A656" s="50">
        <v>45418</v>
      </c>
      <c r="B656" s="51" t="s">
        <v>21</v>
      </c>
      <c r="C656" s="52" t="s">
        <v>64</v>
      </c>
      <c r="D656" s="14" t="s">
        <v>30</v>
      </c>
      <c r="E656" s="53">
        <v>0</v>
      </c>
      <c r="F656" s="53">
        <v>0</v>
      </c>
      <c r="G656" s="53">
        <v>0</v>
      </c>
      <c r="H656" s="53">
        <v>0</v>
      </c>
      <c r="I656" s="53">
        <v>0</v>
      </c>
      <c r="J656" s="53">
        <v>0</v>
      </c>
      <c r="K656" s="53">
        <v>0</v>
      </c>
      <c r="L656" s="54">
        <v>0</v>
      </c>
      <c r="M656" s="54">
        <v>0</v>
      </c>
      <c r="N656" s="55">
        <v>0</v>
      </c>
      <c r="O656" s="53">
        <v>0</v>
      </c>
      <c r="P656" s="53">
        <v>0</v>
      </c>
      <c r="Q656" s="56">
        <v>0</v>
      </c>
      <c r="R656" s="34">
        <v>0</v>
      </c>
      <c r="S656" s="34">
        <v>0</v>
      </c>
      <c r="T656" s="20">
        <v>0</v>
      </c>
      <c r="U656" s="21" t="s">
        <v>24</v>
      </c>
      <c r="V656" s="22">
        <f>IFERROR(RAW[[#This Row],[ACTUAL GROSS]]/RAW[[#This Row],[CONVERTED]],0)</f>
        <v>0</v>
      </c>
      <c r="W656" s="22">
        <f>IFERROR(RAW[[#This Row],[SALES]]/RAW[[#This Row],[HOURLY PAY]],0)</f>
        <v>0</v>
      </c>
    </row>
    <row r="657" spans="1:23" x14ac:dyDescent="0.35">
      <c r="A657" s="50">
        <v>45418</v>
      </c>
      <c r="B657" s="51" t="s">
        <v>25</v>
      </c>
      <c r="C657" s="52" t="s">
        <v>64</v>
      </c>
      <c r="D657" s="14" t="s">
        <v>30</v>
      </c>
      <c r="E657" s="53">
        <v>1397.5</v>
      </c>
      <c r="F657" s="53">
        <v>270.14999999999998</v>
      </c>
      <c r="G657" s="53">
        <v>0</v>
      </c>
      <c r="H657" s="53">
        <v>55.9</v>
      </c>
      <c r="I657" s="53">
        <v>4.5385199999999992</v>
      </c>
      <c r="J657" s="53">
        <v>0</v>
      </c>
      <c r="K657" s="53">
        <v>209.71147999999999</v>
      </c>
      <c r="L657" s="54">
        <v>4</v>
      </c>
      <c r="M657" s="54">
        <v>47</v>
      </c>
      <c r="N657" s="55">
        <v>4.7833333333333332</v>
      </c>
      <c r="O657" s="53">
        <v>10.188499999999999</v>
      </c>
      <c r="P657" s="53">
        <v>219.89998</v>
      </c>
      <c r="Q657" s="56">
        <v>219.89998</v>
      </c>
      <c r="R657" s="34">
        <v>1</v>
      </c>
      <c r="S657" s="34">
        <v>0</v>
      </c>
      <c r="T657" s="20">
        <v>0</v>
      </c>
      <c r="U657" s="21" t="s">
        <v>24</v>
      </c>
      <c r="V657" s="22">
        <f>IFERROR(RAW[[#This Row],[ACTUAL GROSS]]/RAW[[#This Row],[CONVERTED]],0)</f>
        <v>45.9721212543554</v>
      </c>
      <c r="W657" s="22">
        <f>IFERROR(RAW[[#This Row],[SALES]]/RAW[[#This Row],[HOURLY PAY]],0)</f>
        <v>137.1644501153261</v>
      </c>
    </row>
    <row r="658" spans="1:23" x14ac:dyDescent="0.35">
      <c r="A658" s="50">
        <v>45419</v>
      </c>
      <c r="B658" s="51" t="s">
        <v>21</v>
      </c>
      <c r="C658" s="52" t="s">
        <v>64</v>
      </c>
      <c r="D658" s="14" t="s">
        <v>31</v>
      </c>
      <c r="E658" s="53">
        <v>0</v>
      </c>
      <c r="F658" s="53">
        <v>0</v>
      </c>
      <c r="G658" s="53">
        <v>0</v>
      </c>
      <c r="H658" s="53">
        <v>0</v>
      </c>
      <c r="I658" s="53">
        <v>0</v>
      </c>
      <c r="J658" s="53">
        <v>0</v>
      </c>
      <c r="K658" s="53">
        <v>0</v>
      </c>
      <c r="L658" s="54">
        <v>0</v>
      </c>
      <c r="M658" s="54">
        <v>0</v>
      </c>
      <c r="N658" s="55">
        <v>0</v>
      </c>
      <c r="O658" s="53">
        <v>0</v>
      </c>
      <c r="P658" s="53">
        <v>0</v>
      </c>
      <c r="Q658" s="56">
        <v>0</v>
      </c>
      <c r="R658" s="34">
        <v>0</v>
      </c>
      <c r="S658" s="34">
        <v>0</v>
      </c>
      <c r="T658" s="20">
        <v>0</v>
      </c>
      <c r="U658" s="21" t="s">
        <v>24</v>
      </c>
      <c r="V658" s="22">
        <f>IFERROR(RAW[[#This Row],[ACTUAL GROSS]]/RAW[[#This Row],[CONVERTED]],0)</f>
        <v>0</v>
      </c>
      <c r="W658" s="22">
        <f>IFERROR(RAW[[#This Row],[SALES]]/RAW[[#This Row],[HOURLY PAY]],0)</f>
        <v>0</v>
      </c>
    </row>
    <row r="659" spans="1:23" x14ac:dyDescent="0.35">
      <c r="A659" s="50">
        <v>45419</v>
      </c>
      <c r="B659" s="51" t="s">
        <v>25</v>
      </c>
      <c r="C659" s="52" t="s">
        <v>64</v>
      </c>
      <c r="D659" s="14" t="s">
        <v>31</v>
      </c>
      <c r="E659" s="53">
        <v>0</v>
      </c>
      <c r="F659" s="53">
        <v>0</v>
      </c>
      <c r="G659" s="53">
        <v>0</v>
      </c>
      <c r="H659" s="53">
        <v>0</v>
      </c>
      <c r="I659" s="53">
        <v>0</v>
      </c>
      <c r="J659" s="53">
        <v>0</v>
      </c>
      <c r="K659" s="53">
        <v>0</v>
      </c>
      <c r="L659" s="54">
        <v>0</v>
      </c>
      <c r="M659" s="54">
        <v>0</v>
      </c>
      <c r="N659" s="55">
        <v>0</v>
      </c>
      <c r="O659" s="53">
        <v>0</v>
      </c>
      <c r="P659" s="53">
        <v>0</v>
      </c>
      <c r="Q659" s="56">
        <v>0</v>
      </c>
      <c r="R659" s="34">
        <v>0</v>
      </c>
      <c r="S659" s="34">
        <v>0</v>
      </c>
      <c r="T659" s="20">
        <v>0</v>
      </c>
      <c r="U659" s="21" t="s">
        <v>24</v>
      </c>
      <c r="V659" s="22">
        <f>IFERROR(RAW[[#This Row],[ACTUAL GROSS]]/RAW[[#This Row],[CONVERTED]],0)</f>
        <v>0</v>
      </c>
      <c r="W659" s="22">
        <f>IFERROR(RAW[[#This Row],[SALES]]/RAW[[#This Row],[HOURLY PAY]],0)</f>
        <v>0</v>
      </c>
    </row>
    <row r="660" spans="1:23" s="48" customFormat="1" x14ac:dyDescent="0.35">
      <c r="A660" s="50">
        <v>45420</v>
      </c>
      <c r="B660" s="51" t="s">
        <v>21</v>
      </c>
      <c r="C660" s="52" t="s">
        <v>64</v>
      </c>
      <c r="D660" s="14" t="s">
        <v>23</v>
      </c>
      <c r="E660" s="53">
        <v>0</v>
      </c>
      <c r="F660" s="53">
        <v>0</v>
      </c>
      <c r="G660" s="53">
        <v>0</v>
      </c>
      <c r="H660" s="53">
        <v>0</v>
      </c>
      <c r="I660" s="53">
        <v>0</v>
      </c>
      <c r="J660" s="53">
        <v>0</v>
      </c>
      <c r="K660" s="53">
        <v>0</v>
      </c>
      <c r="L660" s="54">
        <v>0</v>
      </c>
      <c r="M660" s="54">
        <v>0</v>
      </c>
      <c r="N660" s="55">
        <v>0</v>
      </c>
      <c r="O660" s="53">
        <v>0</v>
      </c>
      <c r="P660" s="53">
        <v>0</v>
      </c>
      <c r="Q660" s="56">
        <v>0</v>
      </c>
      <c r="R660" s="34">
        <v>0</v>
      </c>
      <c r="S660" s="34">
        <v>0</v>
      </c>
      <c r="T660" s="20">
        <v>0</v>
      </c>
      <c r="U660" s="21" t="s">
        <v>24</v>
      </c>
      <c r="V660" s="238">
        <f>IFERROR(RAW[[#This Row],[ACTUAL GROSS]]/RAW[[#This Row],[CONVERTED]],0)</f>
        <v>0</v>
      </c>
      <c r="W660" s="238">
        <f>IFERROR(RAW[[#This Row],[SALES]]/RAW[[#This Row],[HOURLY PAY]],0)</f>
        <v>0</v>
      </c>
    </row>
    <row r="661" spans="1:23" x14ac:dyDescent="0.35">
      <c r="A661" s="50">
        <v>45420</v>
      </c>
      <c r="B661" s="51" t="s">
        <v>25</v>
      </c>
      <c r="C661" s="52" t="s">
        <v>64</v>
      </c>
      <c r="D661" s="14" t="s">
        <v>23</v>
      </c>
      <c r="E661" s="53">
        <v>570.5</v>
      </c>
      <c r="F661" s="53">
        <v>114.9</v>
      </c>
      <c r="G661" s="53">
        <v>0</v>
      </c>
      <c r="H661" s="53">
        <v>22.82</v>
      </c>
      <c r="I661" s="53">
        <v>1.93032</v>
      </c>
      <c r="J661" s="53">
        <v>0</v>
      </c>
      <c r="K661" s="53">
        <v>90.149680000000004</v>
      </c>
      <c r="L661" s="54">
        <v>4</v>
      </c>
      <c r="M661" s="54">
        <v>0</v>
      </c>
      <c r="N661" s="55">
        <v>4</v>
      </c>
      <c r="O661" s="53">
        <v>8.52</v>
      </c>
      <c r="P661" s="53">
        <v>98.66968</v>
      </c>
      <c r="Q661" s="56">
        <v>98.66968</v>
      </c>
      <c r="R661" s="34">
        <v>1</v>
      </c>
      <c r="S661" s="34">
        <v>0</v>
      </c>
      <c r="T661" s="20">
        <v>0</v>
      </c>
      <c r="U661" s="21" t="s">
        <v>24</v>
      </c>
      <c r="V661" s="22">
        <f>IFERROR(RAW[[#This Row],[ACTUAL GROSS]]/RAW[[#This Row],[CONVERTED]],0)</f>
        <v>24.66742</v>
      </c>
      <c r="W661" s="22">
        <f>IFERROR(RAW[[#This Row],[SALES]]/RAW[[#This Row],[HOURLY PAY]],0)</f>
        <v>66.960093896713616</v>
      </c>
    </row>
    <row r="662" spans="1:23" x14ac:dyDescent="0.35">
      <c r="A662" s="50">
        <v>45421</v>
      </c>
      <c r="B662" s="51" t="s">
        <v>21</v>
      </c>
      <c r="C662" s="52" t="s">
        <v>64</v>
      </c>
      <c r="D662" s="14" t="s">
        <v>26</v>
      </c>
      <c r="E662" s="53">
        <v>0</v>
      </c>
      <c r="F662" s="53">
        <v>0</v>
      </c>
      <c r="G662" s="53">
        <v>0</v>
      </c>
      <c r="H662" s="53">
        <v>0</v>
      </c>
      <c r="I662" s="53">
        <v>0</v>
      </c>
      <c r="J662" s="53">
        <v>0</v>
      </c>
      <c r="K662" s="53">
        <v>0</v>
      </c>
      <c r="L662" s="54">
        <v>0</v>
      </c>
      <c r="M662" s="54">
        <v>0</v>
      </c>
      <c r="N662" s="55">
        <v>0</v>
      </c>
      <c r="O662" s="53">
        <v>0</v>
      </c>
      <c r="P662" s="53">
        <v>0</v>
      </c>
      <c r="Q662" s="56">
        <v>0</v>
      </c>
      <c r="R662" s="34">
        <v>0</v>
      </c>
      <c r="S662" s="34">
        <v>0</v>
      </c>
      <c r="T662" s="20">
        <v>0</v>
      </c>
      <c r="U662" s="21" t="s">
        <v>24</v>
      </c>
      <c r="V662" s="22">
        <f>IFERROR(RAW[[#This Row],[ACTUAL GROSS]]/RAW[[#This Row],[CONVERTED]],0)</f>
        <v>0</v>
      </c>
      <c r="W662" s="22">
        <f>IFERROR(RAW[[#This Row],[SALES]]/RAW[[#This Row],[HOURLY PAY]],0)</f>
        <v>0</v>
      </c>
    </row>
    <row r="663" spans="1:23" x14ac:dyDescent="0.35">
      <c r="A663" s="50">
        <v>45421</v>
      </c>
      <c r="B663" s="51" t="s">
        <v>25</v>
      </c>
      <c r="C663" s="52" t="s">
        <v>64</v>
      </c>
      <c r="D663" s="14" t="s">
        <v>26</v>
      </c>
      <c r="E663" s="53">
        <v>0</v>
      </c>
      <c r="F663" s="53">
        <v>0</v>
      </c>
      <c r="G663" s="53">
        <v>0</v>
      </c>
      <c r="H663" s="53">
        <v>0</v>
      </c>
      <c r="I663" s="53">
        <v>0</v>
      </c>
      <c r="J663" s="53">
        <v>0</v>
      </c>
      <c r="K663" s="53">
        <v>0</v>
      </c>
      <c r="L663" s="54">
        <v>0</v>
      </c>
      <c r="M663" s="54">
        <v>0</v>
      </c>
      <c r="N663" s="55">
        <v>0</v>
      </c>
      <c r="O663" s="53">
        <v>0</v>
      </c>
      <c r="P663" s="53">
        <v>0</v>
      </c>
      <c r="Q663" s="56">
        <v>0</v>
      </c>
      <c r="R663" s="34">
        <v>0</v>
      </c>
      <c r="S663" s="34">
        <v>0</v>
      </c>
      <c r="T663" s="20">
        <v>0</v>
      </c>
      <c r="U663" s="21" t="s">
        <v>24</v>
      </c>
      <c r="V663" s="44">
        <f>IFERROR(RAW[[#This Row],[ACTUAL GROSS]]/RAW[[#This Row],[CONVERTED]],0)</f>
        <v>0</v>
      </c>
      <c r="W663" s="22">
        <f>IFERROR(RAW[[#This Row],[SALES]]/RAW[[#This Row],[HOURLY PAY]],0)</f>
        <v>0</v>
      </c>
    </row>
    <row r="664" spans="1:23" x14ac:dyDescent="0.35">
      <c r="A664" s="50">
        <v>45422</v>
      </c>
      <c r="B664" s="51" t="s">
        <v>21</v>
      </c>
      <c r="C664" s="52" t="s">
        <v>64</v>
      </c>
      <c r="D664" s="14" t="s">
        <v>27</v>
      </c>
      <c r="E664" s="53">
        <v>0</v>
      </c>
      <c r="F664" s="53">
        <v>0</v>
      </c>
      <c r="G664" s="53">
        <v>0</v>
      </c>
      <c r="H664" s="53">
        <v>0</v>
      </c>
      <c r="I664" s="53">
        <v>0</v>
      </c>
      <c r="J664" s="53">
        <v>0</v>
      </c>
      <c r="K664" s="53">
        <v>0</v>
      </c>
      <c r="L664" s="54">
        <v>0</v>
      </c>
      <c r="M664" s="54">
        <v>0</v>
      </c>
      <c r="N664" s="55">
        <v>0</v>
      </c>
      <c r="O664" s="53">
        <v>0</v>
      </c>
      <c r="P664" s="53">
        <v>0</v>
      </c>
      <c r="Q664" s="56">
        <v>0</v>
      </c>
      <c r="R664" s="34">
        <v>0</v>
      </c>
      <c r="S664" s="34">
        <v>0</v>
      </c>
      <c r="T664" s="20">
        <v>0</v>
      </c>
      <c r="U664" s="21" t="s">
        <v>24</v>
      </c>
      <c r="V664" s="22">
        <f>IFERROR(RAW[[#This Row],[ACTUAL GROSS]]/RAW[[#This Row],[CONVERTED]],0)</f>
        <v>0</v>
      </c>
      <c r="W664" s="22">
        <f>IFERROR(RAW[[#This Row],[SALES]]/RAW[[#This Row],[HOURLY PAY]],0)</f>
        <v>0</v>
      </c>
    </row>
    <row r="665" spans="1:23" x14ac:dyDescent="0.35">
      <c r="A665" s="50">
        <v>45422</v>
      </c>
      <c r="B665" s="51" t="s">
        <v>25</v>
      </c>
      <c r="C665" s="52" t="s">
        <v>64</v>
      </c>
      <c r="D665" s="14" t="s">
        <v>27</v>
      </c>
      <c r="E665" s="53">
        <v>1527.5</v>
      </c>
      <c r="F665" s="53">
        <v>270.60000000000002</v>
      </c>
      <c r="G665" s="53">
        <v>0</v>
      </c>
      <c r="H665" s="53">
        <v>61.1</v>
      </c>
      <c r="I665" s="53">
        <v>4.5460799999999999</v>
      </c>
      <c r="J665" s="53">
        <v>0</v>
      </c>
      <c r="K665" s="53">
        <v>204.95392000000004</v>
      </c>
      <c r="L665" s="54">
        <v>7</v>
      </c>
      <c r="M665" s="54">
        <v>20</v>
      </c>
      <c r="N665" s="55">
        <v>7.333333333333333</v>
      </c>
      <c r="O665" s="53">
        <v>15.62</v>
      </c>
      <c r="P665" s="53">
        <v>220.57392000000004</v>
      </c>
      <c r="Q665" s="56">
        <v>220.57392000000004</v>
      </c>
      <c r="R665" s="34">
        <v>1</v>
      </c>
      <c r="S665" s="34">
        <v>0</v>
      </c>
      <c r="T665" s="20">
        <v>0</v>
      </c>
      <c r="U665" s="21" t="s">
        <v>24</v>
      </c>
      <c r="V665" s="31">
        <f>IFERROR(RAW[[#This Row],[ACTUAL GROSS]]/RAW[[#This Row],[CONVERTED]],0)</f>
        <v>30.078261818181826</v>
      </c>
      <c r="W665" s="22">
        <f>IFERROR(RAW[[#This Row],[SALES]]/RAW[[#This Row],[HOURLY PAY]],0)</f>
        <v>97.791293213828425</v>
      </c>
    </row>
    <row r="666" spans="1:23" x14ac:dyDescent="0.35">
      <c r="A666" s="50">
        <v>45423</v>
      </c>
      <c r="B666" s="51" t="s">
        <v>21</v>
      </c>
      <c r="C666" s="52" t="s">
        <v>64</v>
      </c>
      <c r="D666" s="14" t="s">
        <v>28</v>
      </c>
      <c r="E666" s="53">
        <v>1165</v>
      </c>
      <c r="F666" s="53">
        <v>190.83</v>
      </c>
      <c r="G666" s="53">
        <v>27.5</v>
      </c>
      <c r="H666" s="53">
        <v>46.6</v>
      </c>
      <c r="I666" s="53">
        <v>3.2059440000000001</v>
      </c>
      <c r="J666" s="53">
        <v>6.06</v>
      </c>
      <c r="K666" s="53">
        <v>141.024056</v>
      </c>
      <c r="L666" s="54">
        <v>5</v>
      </c>
      <c r="M666" s="54">
        <v>24</v>
      </c>
      <c r="N666" s="55">
        <v>5.4</v>
      </c>
      <c r="O666" s="53">
        <v>11.502000000000001</v>
      </c>
      <c r="P666" s="53">
        <v>158.58605600000001</v>
      </c>
      <c r="Q666" s="56">
        <v>180.02605600000001</v>
      </c>
      <c r="R666" s="34">
        <v>1</v>
      </c>
      <c r="S666" s="34">
        <v>1</v>
      </c>
      <c r="T666" s="20">
        <v>0</v>
      </c>
      <c r="U666" s="21" t="s">
        <v>34</v>
      </c>
      <c r="V666" s="22">
        <f>IFERROR(RAW[[#This Row],[ACTUAL GROSS]]/RAW[[#This Row],[CONVERTED]],0)</f>
        <v>33.338158518518519</v>
      </c>
      <c r="W666" s="22">
        <f>IFERROR(RAW[[#This Row],[SALES]]/RAW[[#This Row],[HOURLY PAY]],0)</f>
        <v>101.2867327421318</v>
      </c>
    </row>
    <row r="667" spans="1:23" x14ac:dyDescent="0.35">
      <c r="A667" s="50">
        <v>45423</v>
      </c>
      <c r="B667" s="51" t="s">
        <v>25</v>
      </c>
      <c r="C667" s="52" t="s">
        <v>64</v>
      </c>
      <c r="D667" s="14" t="s">
        <v>28</v>
      </c>
      <c r="E667" s="53">
        <v>1165</v>
      </c>
      <c r="F667" s="53">
        <v>190.83</v>
      </c>
      <c r="G667" s="53">
        <v>27.5</v>
      </c>
      <c r="H667" s="53">
        <v>46.6</v>
      </c>
      <c r="I667" s="53">
        <v>3.2059440000000001</v>
      </c>
      <c r="J667" s="53">
        <v>6.06</v>
      </c>
      <c r="K667" s="53">
        <v>141.024056</v>
      </c>
      <c r="L667" s="54">
        <v>5</v>
      </c>
      <c r="M667" s="54">
        <v>24</v>
      </c>
      <c r="N667" s="55">
        <v>5.4</v>
      </c>
      <c r="O667" s="53">
        <v>11.502000000000001</v>
      </c>
      <c r="P667" s="53">
        <v>158.58605600000001</v>
      </c>
      <c r="Q667" s="56">
        <v>180.02605600000001</v>
      </c>
      <c r="R667" s="34">
        <v>1</v>
      </c>
      <c r="S667" s="34">
        <v>0</v>
      </c>
      <c r="T667" s="20">
        <v>1</v>
      </c>
      <c r="U667" s="21" t="s">
        <v>34</v>
      </c>
      <c r="V667" s="22">
        <f>IFERROR(RAW[[#This Row],[ACTUAL GROSS]]/RAW[[#This Row],[CONVERTED]],0)</f>
        <v>33.338158518518519</v>
      </c>
      <c r="W667" s="22">
        <f>IFERROR(RAW[[#This Row],[SALES]]/RAW[[#This Row],[HOURLY PAY]],0)</f>
        <v>101.2867327421318</v>
      </c>
    </row>
    <row r="668" spans="1:23" x14ac:dyDescent="0.35">
      <c r="A668" s="50">
        <v>45424</v>
      </c>
      <c r="B668" s="51" t="s">
        <v>21</v>
      </c>
      <c r="C668" s="52" t="s">
        <v>64</v>
      </c>
      <c r="D668" s="14" t="s">
        <v>29</v>
      </c>
      <c r="E668" s="53">
        <v>0</v>
      </c>
      <c r="F668" s="53">
        <v>0</v>
      </c>
      <c r="G668" s="53">
        <v>0</v>
      </c>
      <c r="H668" s="53">
        <v>0</v>
      </c>
      <c r="I668" s="53">
        <v>0</v>
      </c>
      <c r="J668" s="53">
        <v>0</v>
      </c>
      <c r="K668" s="53">
        <v>0</v>
      </c>
      <c r="L668" s="54">
        <v>0</v>
      </c>
      <c r="M668" s="54">
        <v>0</v>
      </c>
      <c r="N668" s="55">
        <v>0</v>
      </c>
      <c r="O668" s="53">
        <v>0</v>
      </c>
      <c r="P668" s="53">
        <v>0</v>
      </c>
      <c r="Q668" s="56">
        <v>0</v>
      </c>
      <c r="R668" s="34">
        <v>0</v>
      </c>
      <c r="S668" s="34">
        <v>0</v>
      </c>
      <c r="T668" s="20">
        <v>0</v>
      </c>
      <c r="U668" s="21" t="s">
        <v>24</v>
      </c>
      <c r="V668" s="42">
        <f>IFERROR(RAW[[#This Row],[ACTUAL GROSS]]/RAW[[#This Row],[CONVERTED]],0)</f>
        <v>0</v>
      </c>
      <c r="W668" s="22">
        <f>IFERROR(RAW[[#This Row],[SALES]]/RAW[[#This Row],[HOURLY PAY]],0)</f>
        <v>0</v>
      </c>
    </row>
    <row r="669" spans="1:23" x14ac:dyDescent="0.35">
      <c r="A669" s="50">
        <v>45424</v>
      </c>
      <c r="B669" s="51" t="s">
        <v>25</v>
      </c>
      <c r="C669" s="52" t="s">
        <v>64</v>
      </c>
      <c r="D669" s="14" t="s">
        <v>29</v>
      </c>
      <c r="E669" s="53">
        <v>2631.5</v>
      </c>
      <c r="F669" s="53">
        <v>494.5</v>
      </c>
      <c r="G669" s="53">
        <v>46</v>
      </c>
      <c r="H669" s="53">
        <v>105.26</v>
      </c>
      <c r="I669" s="53">
        <v>8.307599999999999</v>
      </c>
      <c r="J669" s="53">
        <v>11.92</v>
      </c>
      <c r="K669" s="53">
        <v>380.93240000000003</v>
      </c>
      <c r="L669" s="54">
        <v>7</v>
      </c>
      <c r="M669" s="54">
        <v>0</v>
      </c>
      <c r="N669" s="55">
        <v>7</v>
      </c>
      <c r="O669" s="53">
        <v>14.91</v>
      </c>
      <c r="P669" s="53">
        <v>407.76240000000007</v>
      </c>
      <c r="Q669" s="56">
        <v>441.84240000000005</v>
      </c>
      <c r="R669" s="34">
        <v>1</v>
      </c>
      <c r="S669" s="34">
        <v>0</v>
      </c>
      <c r="T669" s="20">
        <v>0</v>
      </c>
      <c r="U669" s="21" t="s">
        <v>24</v>
      </c>
      <c r="V669" s="22">
        <f>IFERROR(RAW[[#This Row],[ACTUAL GROSS]]/RAW[[#This Row],[CONVERTED]],0)</f>
        <v>63.120342857142866</v>
      </c>
      <c r="W669" s="22">
        <f>IFERROR(RAW[[#This Row],[SALES]]/RAW[[#This Row],[HOURLY PAY]],0)</f>
        <v>176.49228705566733</v>
      </c>
    </row>
    <row r="670" spans="1:23" s="39" customFormat="1" x14ac:dyDescent="0.35">
      <c r="A670" s="50">
        <v>45425</v>
      </c>
      <c r="B670" s="51" t="s">
        <v>21</v>
      </c>
      <c r="C670" s="52" t="s">
        <v>64</v>
      </c>
      <c r="D670" s="14" t="s">
        <v>30</v>
      </c>
      <c r="E670" s="53">
        <v>390.5</v>
      </c>
      <c r="F670" s="53">
        <v>75</v>
      </c>
      <c r="G670" s="53">
        <v>10</v>
      </c>
      <c r="H670" s="53">
        <v>15.620000000000001</v>
      </c>
      <c r="I670" s="53">
        <v>1.26</v>
      </c>
      <c r="J670" s="53">
        <v>0</v>
      </c>
      <c r="K670" s="53">
        <v>58.12</v>
      </c>
      <c r="L670" s="54">
        <v>3</v>
      </c>
      <c r="M670" s="54">
        <v>5</v>
      </c>
      <c r="N670" s="55">
        <v>3.0833333333333335</v>
      </c>
      <c r="O670" s="53">
        <v>6.5674999999999999</v>
      </c>
      <c r="P670" s="53">
        <v>64.6875</v>
      </c>
      <c r="Q670" s="56">
        <v>74.6875</v>
      </c>
      <c r="R670" s="34">
        <v>1</v>
      </c>
      <c r="S670" s="34">
        <v>1</v>
      </c>
      <c r="T670" s="20">
        <v>0</v>
      </c>
      <c r="U670" s="21" t="s">
        <v>24</v>
      </c>
      <c r="V670" s="239">
        <f>IFERROR(RAW[[#This Row],[ACTUAL GROSS]]/RAW[[#This Row],[CONVERTED]],0)</f>
        <v>24.222972972972972</v>
      </c>
      <c r="W670" s="239">
        <f>IFERROR(RAW[[#This Row],[SALES]]/RAW[[#This Row],[HOURLY PAY]],0)</f>
        <v>59.45945945945946</v>
      </c>
    </row>
    <row r="671" spans="1:23" s="39" customFormat="1" x14ac:dyDescent="0.35">
      <c r="A671" s="50">
        <v>45425</v>
      </c>
      <c r="B671" s="51" t="s">
        <v>25</v>
      </c>
      <c r="C671" s="52" t="s">
        <v>64</v>
      </c>
      <c r="D671" s="14" t="s">
        <v>30</v>
      </c>
      <c r="E671" s="53">
        <v>0</v>
      </c>
      <c r="F671" s="53">
        <v>0</v>
      </c>
      <c r="G671" s="53">
        <v>0</v>
      </c>
      <c r="H671" s="53">
        <v>0</v>
      </c>
      <c r="I671" s="53">
        <v>0</v>
      </c>
      <c r="J671" s="53">
        <v>0</v>
      </c>
      <c r="K671" s="53">
        <v>0</v>
      </c>
      <c r="L671" s="54">
        <v>0</v>
      </c>
      <c r="M671" s="54">
        <v>0</v>
      </c>
      <c r="N671" s="55">
        <v>0</v>
      </c>
      <c r="O671" s="53">
        <v>0</v>
      </c>
      <c r="P671" s="53">
        <v>0</v>
      </c>
      <c r="Q671" s="56">
        <v>0</v>
      </c>
      <c r="R671" s="34">
        <v>0</v>
      </c>
      <c r="S671" s="34">
        <v>0</v>
      </c>
      <c r="T671" s="20">
        <v>0</v>
      </c>
      <c r="U671" s="21" t="s">
        <v>24</v>
      </c>
      <c r="V671" s="239">
        <f>IFERROR(RAW[[#This Row],[ACTUAL GROSS]]/RAW[[#This Row],[CONVERTED]],0)</f>
        <v>0</v>
      </c>
      <c r="W671" s="239">
        <f>IFERROR(RAW[[#This Row],[SALES]]/RAW[[#This Row],[HOURLY PAY]],0)</f>
        <v>0</v>
      </c>
    </row>
    <row r="672" spans="1:23" x14ac:dyDescent="0.35">
      <c r="A672" s="50">
        <v>45426</v>
      </c>
      <c r="B672" s="51" t="s">
        <v>21</v>
      </c>
      <c r="C672" s="52" t="s">
        <v>64</v>
      </c>
      <c r="D672" s="14" t="s">
        <v>31</v>
      </c>
      <c r="E672" s="53">
        <v>0</v>
      </c>
      <c r="F672" s="53">
        <v>0</v>
      </c>
      <c r="G672" s="53">
        <v>0</v>
      </c>
      <c r="H672" s="53">
        <v>0</v>
      </c>
      <c r="I672" s="53">
        <v>0</v>
      </c>
      <c r="J672" s="53">
        <v>0</v>
      </c>
      <c r="K672" s="53">
        <v>0</v>
      </c>
      <c r="L672" s="54">
        <v>0</v>
      </c>
      <c r="M672" s="54">
        <v>0</v>
      </c>
      <c r="N672" s="55">
        <v>0</v>
      </c>
      <c r="O672" s="53">
        <v>0</v>
      </c>
      <c r="P672" s="53">
        <v>0</v>
      </c>
      <c r="Q672" s="56">
        <v>0</v>
      </c>
      <c r="R672" s="34">
        <v>0</v>
      </c>
      <c r="S672" s="34">
        <v>0</v>
      </c>
      <c r="T672" s="20">
        <v>0</v>
      </c>
      <c r="U672" s="21" t="s">
        <v>24</v>
      </c>
      <c r="V672" s="22">
        <f>IFERROR(RAW[[#This Row],[ACTUAL GROSS]]/RAW[[#This Row],[CONVERTED]],0)</f>
        <v>0</v>
      </c>
      <c r="W672" s="22">
        <f>IFERROR(RAW[[#This Row],[SALES]]/RAW[[#This Row],[HOURLY PAY]],0)</f>
        <v>0</v>
      </c>
    </row>
    <row r="673" spans="1:23" x14ac:dyDescent="0.35">
      <c r="A673" s="50">
        <v>45426</v>
      </c>
      <c r="B673" s="51" t="s">
        <v>25</v>
      </c>
      <c r="C673" s="52" t="s">
        <v>64</v>
      </c>
      <c r="D673" s="14" t="s">
        <v>31</v>
      </c>
      <c r="E673" s="53">
        <v>0</v>
      </c>
      <c r="F673" s="53">
        <v>0</v>
      </c>
      <c r="G673" s="53">
        <v>0</v>
      </c>
      <c r="H673" s="53">
        <v>0</v>
      </c>
      <c r="I673" s="53">
        <v>0</v>
      </c>
      <c r="J673" s="53">
        <v>0</v>
      </c>
      <c r="K673" s="53">
        <v>0</v>
      </c>
      <c r="L673" s="54">
        <v>0</v>
      </c>
      <c r="M673" s="54">
        <v>0</v>
      </c>
      <c r="N673" s="55">
        <v>0</v>
      </c>
      <c r="O673" s="53">
        <v>0</v>
      </c>
      <c r="P673" s="53">
        <v>0</v>
      </c>
      <c r="Q673" s="56">
        <v>0</v>
      </c>
      <c r="R673" s="34">
        <v>0</v>
      </c>
      <c r="S673" s="34">
        <v>0</v>
      </c>
      <c r="T673" s="20">
        <v>0</v>
      </c>
      <c r="U673" s="21" t="s">
        <v>24</v>
      </c>
      <c r="V673" s="22">
        <f>IFERROR(RAW[[#This Row],[ACTUAL GROSS]]/RAW[[#This Row],[CONVERTED]],0)</f>
        <v>0</v>
      </c>
      <c r="W673" s="22">
        <f>IFERROR(RAW[[#This Row],[SALES]]/RAW[[#This Row],[HOURLY PAY]],0)</f>
        <v>0</v>
      </c>
    </row>
    <row r="674" spans="1:23" s="48" customFormat="1" x14ac:dyDescent="0.35">
      <c r="A674" s="50">
        <v>45427</v>
      </c>
      <c r="B674" s="51" t="s">
        <v>21</v>
      </c>
      <c r="C674" s="52" t="s">
        <v>64</v>
      </c>
      <c r="D674" s="14" t="s">
        <v>23</v>
      </c>
      <c r="E674" s="53">
        <v>0</v>
      </c>
      <c r="F674" s="53">
        <v>0</v>
      </c>
      <c r="G674" s="53">
        <v>0</v>
      </c>
      <c r="H674" s="53">
        <v>0</v>
      </c>
      <c r="I674" s="53">
        <v>0</v>
      </c>
      <c r="J674" s="53">
        <v>0</v>
      </c>
      <c r="K674" s="53">
        <v>0</v>
      </c>
      <c r="L674" s="54">
        <v>0</v>
      </c>
      <c r="M674" s="54">
        <v>0</v>
      </c>
      <c r="N674" s="55">
        <v>0</v>
      </c>
      <c r="O674" s="53">
        <v>0</v>
      </c>
      <c r="P674" s="53">
        <v>0</v>
      </c>
      <c r="Q674" s="56">
        <v>0</v>
      </c>
      <c r="R674" s="34">
        <v>0</v>
      </c>
      <c r="S674" s="34">
        <v>0</v>
      </c>
      <c r="T674" s="20">
        <v>0</v>
      </c>
      <c r="U674" s="21" t="s">
        <v>24</v>
      </c>
      <c r="V674" s="238">
        <f>IFERROR(RAW[[#This Row],[ACTUAL GROSS]]/RAW[[#This Row],[CONVERTED]],0)</f>
        <v>0</v>
      </c>
      <c r="W674" s="238">
        <f>IFERROR(RAW[[#This Row],[SALES]]/RAW[[#This Row],[HOURLY PAY]],0)</f>
        <v>0</v>
      </c>
    </row>
    <row r="675" spans="1:23" x14ac:dyDescent="0.35">
      <c r="A675" s="50">
        <v>45427</v>
      </c>
      <c r="B675" s="51" t="s">
        <v>25</v>
      </c>
      <c r="C675" s="52" t="s">
        <v>64</v>
      </c>
      <c r="D675" s="14" t="s">
        <v>23</v>
      </c>
      <c r="E675" s="53">
        <v>904</v>
      </c>
      <c r="F675" s="53">
        <v>164.11</v>
      </c>
      <c r="G675" s="53">
        <v>17</v>
      </c>
      <c r="H675" s="53">
        <v>36.160000000000004</v>
      </c>
      <c r="I675" s="53">
        <v>2.7570480000000002</v>
      </c>
      <c r="J675" s="53">
        <v>6.16</v>
      </c>
      <c r="K675" s="53">
        <v>125.19295200000002</v>
      </c>
      <c r="L675" s="54">
        <v>4</v>
      </c>
      <c r="M675" s="54">
        <v>22</v>
      </c>
      <c r="N675" s="55">
        <v>4.3666666666666663</v>
      </c>
      <c r="O675" s="53">
        <v>9.3009999999999984</v>
      </c>
      <c r="P675" s="53">
        <v>140.653952</v>
      </c>
      <c r="Q675" s="56">
        <v>151.49395200000001</v>
      </c>
      <c r="R675" s="34">
        <v>1</v>
      </c>
      <c r="S675" s="34">
        <v>0</v>
      </c>
      <c r="T675" s="20">
        <v>0</v>
      </c>
      <c r="U675" s="21" t="s">
        <v>24</v>
      </c>
      <c r="V675" s="22">
        <f>IFERROR(RAW[[#This Row],[ACTUAL GROSS]]/RAW[[#This Row],[CONVERTED]],0)</f>
        <v>34.693271450381687</v>
      </c>
      <c r="W675" s="22">
        <f>IFERROR(RAW[[#This Row],[SALES]]/RAW[[#This Row],[HOURLY PAY]],0)</f>
        <v>97.193850123642633</v>
      </c>
    </row>
    <row r="676" spans="1:23" x14ac:dyDescent="0.35">
      <c r="A676" s="50">
        <v>45428</v>
      </c>
      <c r="B676" s="51" t="s">
        <v>21</v>
      </c>
      <c r="C676" s="52" t="s">
        <v>64</v>
      </c>
      <c r="D676" s="14" t="s">
        <v>26</v>
      </c>
      <c r="E676" s="53">
        <v>0</v>
      </c>
      <c r="F676" s="53">
        <v>0</v>
      </c>
      <c r="G676" s="53">
        <v>0</v>
      </c>
      <c r="H676" s="53">
        <v>0</v>
      </c>
      <c r="I676" s="53">
        <v>0</v>
      </c>
      <c r="J676" s="53">
        <v>0</v>
      </c>
      <c r="K676" s="53">
        <v>0</v>
      </c>
      <c r="L676" s="54">
        <v>0</v>
      </c>
      <c r="M676" s="54">
        <v>0</v>
      </c>
      <c r="N676" s="55">
        <v>0</v>
      </c>
      <c r="O676" s="53">
        <v>0</v>
      </c>
      <c r="P676" s="53">
        <v>0</v>
      </c>
      <c r="Q676" s="56">
        <v>0</v>
      </c>
      <c r="R676" s="34">
        <v>0</v>
      </c>
      <c r="S676" s="34">
        <v>0</v>
      </c>
      <c r="T676" s="20">
        <v>0</v>
      </c>
      <c r="U676" s="21" t="s">
        <v>24</v>
      </c>
      <c r="V676" s="22">
        <f>IFERROR(RAW[[#This Row],[ACTUAL GROSS]]/RAW[[#This Row],[CONVERTED]],0)</f>
        <v>0</v>
      </c>
      <c r="W676" s="22">
        <f>IFERROR(RAW[[#This Row],[SALES]]/RAW[[#This Row],[HOURLY PAY]],0)</f>
        <v>0</v>
      </c>
    </row>
    <row r="677" spans="1:23" x14ac:dyDescent="0.35">
      <c r="A677" s="50">
        <v>45428</v>
      </c>
      <c r="B677" s="51" t="s">
        <v>25</v>
      </c>
      <c r="C677" s="52" t="s">
        <v>64</v>
      </c>
      <c r="D677" s="14" t="s">
        <v>26</v>
      </c>
      <c r="E677" s="53">
        <v>1066.5</v>
      </c>
      <c r="F677" s="53">
        <v>193.26</v>
      </c>
      <c r="G677" s="53">
        <v>0</v>
      </c>
      <c r="H677" s="53">
        <v>42.660000000000004</v>
      </c>
      <c r="I677" s="53">
        <v>3.2467679999999994</v>
      </c>
      <c r="J677" s="53">
        <v>6.56</v>
      </c>
      <c r="K677" s="53">
        <v>147.35323199999999</v>
      </c>
      <c r="L677" s="54">
        <v>5</v>
      </c>
      <c r="M677" s="54">
        <v>0</v>
      </c>
      <c r="N677" s="55">
        <v>5</v>
      </c>
      <c r="O677" s="53">
        <v>10.649999999999999</v>
      </c>
      <c r="P677" s="53">
        <v>164.563232</v>
      </c>
      <c r="Q677" s="56">
        <v>158.003232</v>
      </c>
      <c r="R677" s="34">
        <v>1</v>
      </c>
      <c r="S677" s="34">
        <v>0</v>
      </c>
      <c r="T677" s="20">
        <v>0</v>
      </c>
      <c r="U677" s="21" t="s">
        <v>24</v>
      </c>
      <c r="V677" s="44">
        <f>IFERROR(RAW[[#This Row],[ACTUAL GROSS]]/RAW[[#This Row],[CONVERTED]],0)</f>
        <v>31.600646399999999</v>
      </c>
      <c r="W677" s="22">
        <f>IFERROR(RAW[[#This Row],[SALES]]/RAW[[#This Row],[HOURLY PAY]],0)</f>
        <v>100.14084507042254</v>
      </c>
    </row>
    <row r="678" spans="1:23" x14ac:dyDescent="0.35">
      <c r="A678" s="50">
        <v>45429</v>
      </c>
      <c r="B678" s="51" t="s">
        <v>21</v>
      </c>
      <c r="C678" s="52" t="s">
        <v>64</v>
      </c>
      <c r="D678" s="14" t="s">
        <v>27</v>
      </c>
      <c r="E678" s="53">
        <v>0</v>
      </c>
      <c r="F678" s="53">
        <v>0</v>
      </c>
      <c r="G678" s="53">
        <v>0</v>
      </c>
      <c r="H678" s="53">
        <v>0</v>
      </c>
      <c r="I678" s="53">
        <v>0</v>
      </c>
      <c r="J678" s="53">
        <v>0</v>
      </c>
      <c r="K678" s="53">
        <v>0</v>
      </c>
      <c r="L678" s="54">
        <v>0</v>
      </c>
      <c r="M678" s="54">
        <v>0</v>
      </c>
      <c r="N678" s="55">
        <v>0</v>
      </c>
      <c r="O678" s="53">
        <v>0</v>
      </c>
      <c r="P678" s="53">
        <v>0</v>
      </c>
      <c r="Q678" s="56">
        <v>0</v>
      </c>
      <c r="R678" s="34">
        <v>0</v>
      </c>
      <c r="S678" s="34">
        <v>0</v>
      </c>
      <c r="T678" s="20">
        <v>0</v>
      </c>
      <c r="U678" s="21" t="s">
        <v>24</v>
      </c>
      <c r="V678" s="22">
        <f>IFERROR(RAW[[#This Row],[ACTUAL GROSS]]/RAW[[#This Row],[CONVERTED]],0)</f>
        <v>0</v>
      </c>
      <c r="W678" s="22">
        <f>IFERROR(RAW[[#This Row],[SALES]]/RAW[[#This Row],[HOURLY PAY]],0)</f>
        <v>0</v>
      </c>
    </row>
    <row r="679" spans="1:23" x14ac:dyDescent="0.35">
      <c r="A679" s="50">
        <v>45429</v>
      </c>
      <c r="B679" s="51" t="s">
        <v>25</v>
      </c>
      <c r="C679" s="52" t="s">
        <v>64</v>
      </c>
      <c r="D679" s="14" t="s">
        <v>27</v>
      </c>
      <c r="E679" s="53">
        <v>0</v>
      </c>
      <c r="F679" s="53">
        <v>0</v>
      </c>
      <c r="G679" s="53">
        <v>0</v>
      </c>
      <c r="H679" s="53">
        <v>0</v>
      </c>
      <c r="I679" s="53">
        <v>0</v>
      </c>
      <c r="J679" s="53">
        <v>0</v>
      </c>
      <c r="K679" s="53">
        <v>0</v>
      </c>
      <c r="L679" s="54">
        <v>0</v>
      </c>
      <c r="M679" s="54">
        <v>0</v>
      </c>
      <c r="N679" s="55">
        <v>0</v>
      </c>
      <c r="O679" s="53">
        <v>0</v>
      </c>
      <c r="P679" s="53">
        <v>0</v>
      </c>
      <c r="Q679" s="56">
        <v>0</v>
      </c>
      <c r="R679" s="34">
        <v>0</v>
      </c>
      <c r="S679" s="34">
        <v>0</v>
      </c>
      <c r="T679" s="20">
        <v>0</v>
      </c>
      <c r="U679" s="21" t="s">
        <v>24</v>
      </c>
      <c r="V679" s="31">
        <f>IFERROR(RAW[[#This Row],[ACTUAL GROSS]]/RAW[[#This Row],[CONVERTED]],0)</f>
        <v>0</v>
      </c>
      <c r="W679" s="22">
        <f>IFERROR(RAW[[#This Row],[SALES]]/RAW[[#This Row],[HOURLY PAY]],0)</f>
        <v>0</v>
      </c>
    </row>
    <row r="680" spans="1:23" x14ac:dyDescent="0.35">
      <c r="A680" s="50">
        <v>45430</v>
      </c>
      <c r="B680" s="51" t="s">
        <v>21</v>
      </c>
      <c r="C680" s="52" t="s">
        <v>64</v>
      </c>
      <c r="D680" s="14" t="s">
        <v>28</v>
      </c>
      <c r="E680" s="53">
        <v>1385.5</v>
      </c>
      <c r="F680" s="53">
        <v>217.77</v>
      </c>
      <c r="G680" s="53">
        <v>0</v>
      </c>
      <c r="H680" s="53">
        <v>55.42</v>
      </c>
      <c r="I680" s="53">
        <v>3.6585359999999998</v>
      </c>
      <c r="J680" s="53">
        <v>0</v>
      </c>
      <c r="K680" s="53">
        <v>158.691464</v>
      </c>
      <c r="L680" s="60">
        <v>3</v>
      </c>
      <c r="M680" s="60">
        <v>5</v>
      </c>
      <c r="N680" s="55">
        <v>3.0833333333333335</v>
      </c>
      <c r="O680" s="53">
        <v>6.5674999999999999</v>
      </c>
      <c r="P680" s="53">
        <v>165.25896399999999</v>
      </c>
      <c r="Q680" s="56">
        <v>165.25896399999999</v>
      </c>
      <c r="R680" s="34">
        <v>1</v>
      </c>
      <c r="S680" s="34">
        <v>1</v>
      </c>
      <c r="T680" s="20">
        <v>0</v>
      </c>
      <c r="U680" s="21" t="s">
        <v>34</v>
      </c>
      <c r="V680" s="22">
        <f>IFERROR(RAW[[#This Row],[ACTUAL GROSS]]/RAW[[#This Row],[CONVERTED]],0)</f>
        <v>53.597501837837832</v>
      </c>
      <c r="W680" s="22">
        <f>IFERROR(RAW[[#This Row],[SALES]]/RAW[[#This Row],[HOURLY PAY]],0)</f>
        <v>210.96307575180816</v>
      </c>
    </row>
    <row r="681" spans="1:23" x14ac:dyDescent="0.35">
      <c r="A681" s="50">
        <v>45430</v>
      </c>
      <c r="B681" s="51" t="s">
        <v>25</v>
      </c>
      <c r="C681" s="52" t="s">
        <v>64</v>
      </c>
      <c r="D681" s="14" t="s">
        <v>28</v>
      </c>
      <c r="E681" s="53">
        <v>1555</v>
      </c>
      <c r="F681" s="53">
        <v>280.70999999999998</v>
      </c>
      <c r="G681" s="53">
        <v>55</v>
      </c>
      <c r="H681" s="53">
        <v>62.2</v>
      </c>
      <c r="I681" s="53">
        <v>4.715927999999999</v>
      </c>
      <c r="J681" s="53">
        <v>1.44</v>
      </c>
      <c r="K681" s="53">
        <v>213.79407199999997</v>
      </c>
      <c r="L681" s="54">
        <v>5</v>
      </c>
      <c r="M681" s="54">
        <v>17</v>
      </c>
      <c r="N681" s="55">
        <v>5.2833333333333332</v>
      </c>
      <c r="O681" s="53">
        <v>11.253499999999999</v>
      </c>
      <c r="P681" s="53">
        <v>226.48757199999997</v>
      </c>
      <c r="Q681" s="56">
        <v>280.04757199999995</v>
      </c>
      <c r="R681" s="34">
        <v>1</v>
      </c>
      <c r="S681" s="34">
        <v>0</v>
      </c>
      <c r="T681" s="20">
        <v>1</v>
      </c>
      <c r="U681" s="21" t="s">
        <v>34</v>
      </c>
      <c r="V681" s="22">
        <f>IFERROR(RAW[[#This Row],[ACTUAL GROSS]]/RAW[[#This Row],[CONVERTED]],0)</f>
        <v>53.005849589905353</v>
      </c>
      <c r="W681" s="22">
        <f>IFERROR(RAW[[#This Row],[SALES]]/RAW[[#This Row],[HOURLY PAY]],0)</f>
        <v>138.17923312747146</v>
      </c>
    </row>
    <row r="682" spans="1:23" x14ac:dyDescent="0.35">
      <c r="A682" s="50">
        <v>45431</v>
      </c>
      <c r="B682" s="51" t="s">
        <v>21</v>
      </c>
      <c r="C682" s="52" t="s">
        <v>64</v>
      </c>
      <c r="D682" s="14" t="s">
        <v>29</v>
      </c>
      <c r="E682" s="53">
        <v>525</v>
      </c>
      <c r="F682" s="53">
        <v>77.52</v>
      </c>
      <c r="G682" s="53">
        <v>38</v>
      </c>
      <c r="H682" s="53">
        <v>21</v>
      </c>
      <c r="I682" s="53">
        <v>1.3023359999999999</v>
      </c>
      <c r="J682" s="53">
        <v>9.84</v>
      </c>
      <c r="K682" s="53">
        <v>55.217663999999999</v>
      </c>
      <c r="L682" s="54">
        <v>4</v>
      </c>
      <c r="M682" s="54">
        <v>50</v>
      </c>
      <c r="N682" s="55">
        <v>4.833333333333333</v>
      </c>
      <c r="O682" s="53">
        <v>10.294999999999998</v>
      </c>
      <c r="P682" s="53">
        <v>75.352664000000004</v>
      </c>
      <c r="Q682" s="56">
        <v>103.512664</v>
      </c>
      <c r="R682" s="34">
        <v>1</v>
      </c>
      <c r="S682" s="34">
        <v>1</v>
      </c>
      <c r="T682" s="20">
        <v>0</v>
      </c>
      <c r="U682" s="21" t="s">
        <v>34</v>
      </c>
      <c r="V682" s="42">
        <f>IFERROR(RAW[[#This Row],[ACTUAL GROSS]]/RAW[[#This Row],[CONVERTED]],0)</f>
        <v>21.416413241379313</v>
      </c>
      <c r="W682" s="22">
        <f>IFERROR(RAW[[#This Row],[SALES]]/RAW[[#This Row],[HOURLY PAY]],0)</f>
        <v>50.995628946090342</v>
      </c>
    </row>
    <row r="683" spans="1:23" x14ac:dyDescent="0.35">
      <c r="A683" s="50">
        <v>45431</v>
      </c>
      <c r="B683" s="51" t="s">
        <v>25</v>
      </c>
      <c r="C683" s="52" t="s">
        <v>64</v>
      </c>
      <c r="D683" s="14" t="s">
        <v>29</v>
      </c>
      <c r="E683" s="53">
        <v>1435</v>
      </c>
      <c r="F683" s="53">
        <v>264.97000000000003</v>
      </c>
      <c r="G683" s="53">
        <v>0</v>
      </c>
      <c r="H683" s="53">
        <v>57.4</v>
      </c>
      <c r="I683" s="53">
        <v>4.4514960000000006</v>
      </c>
      <c r="J683" s="53">
        <v>0</v>
      </c>
      <c r="K683" s="53">
        <v>203.11850400000003</v>
      </c>
      <c r="L683" s="54">
        <v>4</v>
      </c>
      <c r="M683" s="54">
        <v>53</v>
      </c>
      <c r="N683" s="55">
        <v>4.8833333333333337</v>
      </c>
      <c r="O683" s="53">
        <v>10.4015</v>
      </c>
      <c r="P683" s="53">
        <v>213.52000400000003</v>
      </c>
      <c r="Q683" s="56">
        <v>213.52000400000003</v>
      </c>
      <c r="R683" s="34">
        <v>1</v>
      </c>
      <c r="S683" s="34">
        <v>0</v>
      </c>
      <c r="T683" s="20">
        <v>1</v>
      </c>
      <c r="U683" s="21" t="s">
        <v>34</v>
      </c>
      <c r="V683" s="22">
        <f>IFERROR(RAW[[#This Row],[ACTUAL GROSS]]/RAW[[#This Row],[CONVERTED]],0)</f>
        <v>43.724232901023896</v>
      </c>
      <c r="W683" s="22">
        <f>IFERROR(RAW[[#This Row],[SALES]]/RAW[[#This Row],[HOURLY PAY]],0)</f>
        <v>137.96087102821707</v>
      </c>
    </row>
    <row r="684" spans="1:23" x14ac:dyDescent="0.35">
      <c r="A684" s="50">
        <v>45432</v>
      </c>
      <c r="B684" s="51" t="s">
        <v>21</v>
      </c>
      <c r="C684" s="52" t="s">
        <v>64</v>
      </c>
      <c r="D684" s="14" t="s">
        <v>30</v>
      </c>
      <c r="E684" s="53">
        <v>0</v>
      </c>
      <c r="F684" s="53">
        <v>0</v>
      </c>
      <c r="G684" s="53">
        <v>0</v>
      </c>
      <c r="H684" s="53">
        <v>0</v>
      </c>
      <c r="I684" s="53">
        <v>0</v>
      </c>
      <c r="J684" s="53">
        <v>0</v>
      </c>
      <c r="K684" s="53">
        <v>0</v>
      </c>
      <c r="L684" s="54">
        <v>0</v>
      </c>
      <c r="M684" s="54">
        <v>0</v>
      </c>
      <c r="N684" s="55">
        <v>0</v>
      </c>
      <c r="O684" s="53">
        <v>0</v>
      </c>
      <c r="P684" s="53">
        <v>0</v>
      </c>
      <c r="Q684" s="56">
        <v>0</v>
      </c>
      <c r="R684" s="34">
        <v>0</v>
      </c>
      <c r="S684" s="34">
        <v>0</v>
      </c>
      <c r="T684" s="20">
        <v>0</v>
      </c>
      <c r="U684" s="21" t="s">
        <v>24</v>
      </c>
      <c r="V684" s="239">
        <f>IFERROR(RAW[[#This Row],[ACTUAL GROSS]]/RAW[[#This Row],[CONVERTED]],0)</f>
        <v>0</v>
      </c>
      <c r="W684" s="22">
        <f>IFERROR(RAW[[#This Row],[SALES]]/RAW[[#This Row],[HOURLY PAY]],0)</f>
        <v>0</v>
      </c>
    </row>
    <row r="685" spans="1:23" x14ac:dyDescent="0.35">
      <c r="A685" s="50">
        <v>45432</v>
      </c>
      <c r="B685" s="51" t="s">
        <v>25</v>
      </c>
      <c r="C685" s="52" t="s">
        <v>64</v>
      </c>
      <c r="D685" s="14" t="s">
        <v>30</v>
      </c>
      <c r="E685" s="53">
        <v>57</v>
      </c>
      <c r="F685" s="53">
        <v>128.69</v>
      </c>
      <c r="G685" s="53">
        <v>0</v>
      </c>
      <c r="H685" s="53">
        <v>2.2800000000000002</v>
      </c>
      <c r="I685" s="53">
        <v>2.1619919999999997</v>
      </c>
      <c r="J685" s="53">
        <v>0</v>
      </c>
      <c r="K685" s="53">
        <v>124.248008</v>
      </c>
      <c r="L685" s="54">
        <v>3</v>
      </c>
      <c r="M685" s="54">
        <v>57</v>
      </c>
      <c r="N685" s="55">
        <v>3.95</v>
      </c>
      <c r="O685" s="53">
        <v>8.4134999999999991</v>
      </c>
      <c r="P685" s="53">
        <v>132.661508</v>
      </c>
      <c r="Q685" s="56">
        <v>132.661508</v>
      </c>
      <c r="R685" s="34">
        <v>1</v>
      </c>
      <c r="S685" s="34">
        <v>0</v>
      </c>
      <c r="T685" s="20">
        <v>0</v>
      </c>
      <c r="U685" s="21" t="s">
        <v>24</v>
      </c>
      <c r="V685" s="22">
        <f>IFERROR(RAW[[#This Row],[ACTUAL GROSS]]/RAW[[#This Row],[CONVERTED]],0)</f>
        <v>33.585191898734173</v>
      </c>
      <c r="W685" s="22">
        <f>IFERROR(RAW[[#This Row],[SALES]]/RAW[[#This Row],[HOURLY PAY]],0)</f>
        <v>6.7748261722232135</v>
      </c>
    </row>
    <row r="686" spans="1:23" x14ac:dyDescent="0.35">
      <c r="A686" s="50">
        <v>45433</v>
      </c>
      <c r="B686" s="51" t="s">
        <v>21</v>
      </c>
      <c r="C686" s="52" t="s">
        <v>64</v>
      </c>
      <c r="D686" s="14" t="s">
        <v>31</v>
      </c>
      <c r="E686" s="53">
        <v>0</v>
      </c>
      <c r="F686" s="53">
        <v>0</v>
      </c>
      <c r="G686" s="53">
        <v>0</v>
      </c>
      <c r="H686" s="53">
        <v>0</v>
      </c>
      <c r="I686" s="53">
        <v>0</v>
      </c>
      <c r="J686" s="53">
        <v>0</v>
      </c>
      <c r="K686" s="53">
        <v>0</v>
      </c>
      <c r="L686" s="54">
        <v>0</v>
      </c>
      <c r="M686" s="54">
        <v>0</v>
      </c>
      <c r="N686" s="55">
        <v>0</v>
      </c>
      <c r="O686" s="53">
        <v>0</v>
      </c>
      <c r="P686" s="53">
        <v>0</v>
      </c>
      <c r="Q686" s="56">
        <v>0</v>
      </c>
      <c r="R686" s="34">
        <v>0</v>
      </c>
      <c r="S686" s="34">
        <v>0</v>
      </c>
      <c r="T686" s="20">
        <v>0</v>
      </c>
      <c r="U686" s="21" t="s">
        <v>24</v>
      </c>
      <c r="V686" s="22">
        <f>IFERROR(RAW[[#This Row],[ACTUAL GROSS]]/RAW[[#This Row],[CONVERTED]],0)</f>
        <v>0</v>
      </c>
      <c r="W686" s="22">
        <f>IFERROR(RAW[[#This Row],[SALES]]/RAW[[#This Row],[HOURLY PAY]],0)</f>
        <v>0</v>
      </c>
    </row>
    <row r="687" spans="1:23" x14ac:dyDescent="0.35">
      <c r="A687" s="50">
        <v>45433</v>
      </c>
      <c r="B687" s="51" t="s">
        <v>25</v>
      </c>
      <c r="C687" s="52" t="s">
        <v>64</v>
      </c>
      <c r="D687" s="14" t="s">
        <v>31</v>
      </c>
      <c r="E687" s="53">
        <v>0</v>
      </c>
      <c r="F687" s="53">
        <v>0</v>
      </c>
      <c r="G687" s="53">
        <v>0</v>
      </c>
      <c r="H687" s="53">
        <v>0</v>
      </c>
      <c r="I687" s="53">
        <v>0</v>
      </c>
      <c r="J687" s="53">
        <v>0</v>
      </c>
      <c r="K687" s="53">
        <v>0</v>
      </c>
      <c r="L687" s="54">
        <v>0</v>
      </c>
      <c r="M687" s="54">
        <v>0</v>
      </c>
      <c r="N687" s="55">
        <v>0</v>
      </c>
      <c r="O687" s="53">
        <v>0</v>
      </c>
      <c r="P687" s="53">
        <v>0</v>
      </c>
      <c r="Q687" s="56">
        <v>0</v>
      </c>
      <c r="R687" s="34">
        <v>0</v>
      </c>
      <c r="S687" s="34">
        <v>0</v>
      </c>
      <c r="T687" s="20">
        <v>0</v>
      </c>
      <c r="U687" s="21" t="s">
        <v>24</v>
      </c>
      <c r="V687" s="22">
        <f>IFERROR(RAW[[#This Row],[ACTUAL GROSS]]/RAW[[#This Row],[CONVERTED]],0)</f>
        <v>0</v>
      </c>
      <c r="W687" s="22">
        <f>IFERROR(RAW[[#This Row],[SALES]]/RAW[[#This Row],[HOURLY PAY]],0)</f>
        <v>0</v>
      </c>
    </row>
    <row r="688" spans="1:23" s="48" customFormat="1" x14ac:dyDescent="0.35">
      <c r="A688" s="50">
        <v>45434</v>
      </c>
      <c r="B688" s="51" t="s">
        <v>21</v>
      </c>
      <c r="C688" s="52" t="s">
        <v>64</v>
      </c>
      <c r="D688" s="14" t="s">
        <v>23</v>
      </c>
      <c r="E688" s="53">
        <v>0</v>
      </c>
      <c r="F688" s="53">
        <v>0</v>
      </c>
      <c r="G688" s="53">
        <v>0</v>
      </c>
      <c r="H688" s="53">
        <v>0</v>
      </c>
      <c r="I688" s="53">
        <v>0</v>
      </c>
      <c r="J688" s="53">
        <v>0</v>
      </c>
      <c r="K688" s="53">
        <v>0</v>
      </c>
      <c r="L688" s="54">
        <v>0</v>
      </c>
      <c r="M688" s="54">
        <v>0</v>
      </c>
      <c r="N688" s="55">
        <v>0</v>
      </c>
      <c r="O688" s="53">
        <v>0</v>
      </c>
      <c r="P688" s="53">
        <v>0</v>
      </c>
      <c r="Q688" s="56">
        <v>0</v>
      </c>
      <c r="R688" s="34">
        <v>0</v>
      </c>
      <c r="S688" s="34">
        <v>0</v>
      </c>
      <c r="T688" s="20">
        <v>0</v>
      </c>
      <c r="U688" s="21" t="s">
        <v>24</v>
      </c>
      <c r="V688" s="238">
        <f>IFERROR(RAW[[#This Row],[ACTUAL GROSS]]/RAW[[#This Row],[CONVERTED]],0)</f>
        <v>0</v>
      </c>
      <c r="W688" s="238">
        <f>IFERROR(RAW[[#This Row],[SALES]]/RAW[[#This Row],[HOURLY PAY]],0)</f>
        <v>0</v>
      </c>
    </row>
    <row r="689" spans="1:23" x14ac:dyDescent="0.35">
      <c r="A689" s="50">
        <v>45434</v>
      </c>
      <c r="B689" s="51" t="s">
        <v>25</v>
      </c>
      <c r="C689" s="52" t="s">
        <v>64</v>
      </c>
      <c r="D689" s="14" t="s">
        <v>23</v>
      </c>
      <c r="E689" s="53">
        <v>1368</v>
      </c>
      <c r="F689" s="53">
        <v>255.5</v>
      </c>
      <c r="G689" s="53">
        <v>27</v>
      </c>
      <c r="H689" s="53">
        <v>54.72</v>
      </c>
      <c r="I689" s="53">
        <v>4.2923999999999998</v>
      </c>
      <c r="J689" s="53">
        <v>0</v>
      </c>
      <c r="K689" s="53">
        <v>196.48759999999999</v>
      </c>
      <c r="L689" s="54">
        <v>6</v>
      </c>
      <c r="M689" s="54">
        <v>1</v>
      </c>
      <c r="N689" s="55">
        <v>6.0166666666666666</v>
      </c>
      <c r="O689" s="53">
        <v>12.8155</v>
      </c>
      <c r="P689" s="53">
        <v>209.30309999999997</v>
      </c>
      <c r="Q689" s="56">
        <v>236.30309999999997</v>
      </c>
      <c r="R689" s="34">
        <v>1</v>
      </c>
      <c r="S689" s="34">
        <v>0</v>
      </c>
      <c r="T689" s="20">
        <v>0</v>
      </c>
      <c r="U689" s="21" t="s">
        <v>24</v>
      </c>
      <c r="V689" s="22">
        <f>IFERROR(RAW[[#This Row],[ACTUAL GROSS]]/RAW[[#This Row],[CONVERTED]],0)</f>
        <v>39.274753462603876</v>
      </c>
      <c r="W689" s="22">
        <f>IFERROR(RAW[[#This Row],[SALES]]/RAW[[#This Row],[HOURLY PAY]],0)</f>
        <v>106.74573758339511</v>
      </c>
    </row>
    <row r="690" spans="1:23" x14ac:dyDescent="0.35">
      <c r="A690" s="50">
        <v>45435</v>
      </c>
      <c r="B690" s="51" t="s">
        <v>21</v>
      </c>
      <c r="C690" s="52" t="s">
        <v>64</v>
      </c>
      <c r="D690" s="14" t="s">
        <v>26</v>
      </c>
      <c r="E690" s="53">
        <v>0</v>
      </c>
      <c r="F690" s="53">
        <v>0</v>
      </c>
      <c r="G690" s="53">
        <v>0</v>
      </c>
      <c r="H690" s="53">
        <v>0</v>
      </c>
      <c r="I690" s="53">
        <v>0</v>
      </c>
      <c r="J690" s="53">
        <v>0</v>
      </c>
      <c r="K690" s="53">
        <v>0</v>
      </c>
      <c r="L690" s="54">
        <v>0</v>
      </c>
      <c r="M690" s="54">
        <v>0</v>
      </c>
      <c r="N690" s="55">
        <v>0</v>
      </c>
      <c r="O690" s="53">
        <v>0</v>
      </c>
      <c r="P690" s="53">
        <v>0</v>
      </c>
      <c r="Q690" s="56">
        <v>0</v>
      </c>
      <c r="R690" s="34">
        <v>0</v>
      </c>
      <c r="S690" s="34">
        <v>0</v>
      </c>
      <c r="T690" s="20">
        <v>0</v>
      </c>
      <c r="U690" s="21" t="s">
        <v>24</v>
      </c>
      <c r="V690" s="22">
        <f>IFERROR(RAW[[#This Row],[ACTUAL GROSS]]/RAW[[#This Row],[CONVERTED]],0)</f>
        <v>0</v>
      </c>
      <c r="W690" s="22">
        <f>IFERROR(RAW[[#This Row],[SALES]]/RAW[[#This Row],[HOURLY PAY]],0)</f>
        <v>0</v>
      </c>
    </row>
    <row r="691" spans="1:23" x14ac:dyDescent="0.35">
      <c r="A691" s="50">
        <v>45435</v>
      </c>
      <c r="B691" s="51" t="s">
        <v>25</v>
      </c>
      <c r="C691" s="52" t="s">
        <v>64</v>
      </c>
      <c r="D691" s="14" t="s">
        <v>26</v>
      </c>
      <c r="E691" s="53">
        <v>1300.5</v>
      </c>
      <c r="F691" s="53">
        <v>166.43</v>
      </c>
      <c r="G691" s="53">
        <v>89</v>
      </c>
      <c r="H691" s="53">
        <v>52.02</v>
      </c>
      <c r="I691" s="53">
        <v>2.7960240000000001</v>
      </c>
      <c r="J691" s="53">
        <v>10.4</v>
      </c>
      <c r="K691" s="53">
        <v>111.61397600000001</v>
      </c>
      <c r="L691" s="54">
        <v>4</v>
      </c>
      <c r="M691" s="54">
        <v>50</v>
      </c>
      <c r="N691" s="55">
        <v>4.833333333333333</v>
      </c>
      <c r="O691" s="53">
        <v>10.294999999999998</v>
      </c>
      <c r="P691" s="53">
        <v>132.308976</v>
      </c>
      <c r="Q691" s="56">
        <v>210.908976</v>
      </c>
      <c r="R691" s="34">
        <v>1</v>
      </c>
      <c r="S691" s="34">
        <v>0</v>
      </c>
      <c r="T691" s="20">
        <v>0</v>
      </c>
      <c r="U691" s="21" t="s">
        <v>24</v>
      </c>
      <c r="V691" s="44">
        <f>IFERROR(RAW[[#This Row],[ACTUAL GROSS]]/RAW[[#This Row],[CONVERTED]],0)</f>
        <v>43.636339862068965</v>
      </c>
      <c r="W691" s="22">
        <f>IFERROR(RAW[[#This Row],[SALES]]/RAW[[#This Row],[HOURLY PAY]],0)</f>
        <v>126.32345798931523</v>
      </c>
    </row>
    <row r="692" spans="1:23" x14ac:dyDescent="0.35">
      <c r="A692" s="50">
        <v>45436</v>
      </c>
      <c r="B692" s="51" t="s">
        <v>21</v>
      </c>
      <c r="C692" s="52" t="s">
        <v>64</v>
      </c>
      <c r="D692" s="14" t="s">
        <v>27</v>
      </c>
      <c r="E692" s="53">
        <v>571</v>
      </c>
      <c r="F692" s="53">
        <v>109.05</v>
      </c>
      <c r="G692" s="53">
        <v>0</v>
      </c>
      <c r="H692" s="53">
        <v>22.84</v>
      </c>
      <c r="I692" s="53">
        <v>1.8320399999999999</v>
      </c>
      <c r="J692" s="53">
        <v>0</v>
      </c>
      <c r="K692" s="53">
        <v>84.377960000000002</v>
      </c>
      <c r="L692" s="54">
        <v>3</v>
      </c>
      <c r="M692" s="54">
        <v>35</v>
      </c>
      <c r="N692" s="55">
        <v>3.5833333333333335</v>
      </c>
      <c r="O692" s="53">
        <v>7.6325000000000003</v>
      </c>
      <c r="P692" s="53">
        <v>92.010459999999995</v>
      </c>
      <c r="Q692" s="56">
        <v>92.010459999999995</v>
      </c>
      <c r="R692" s="34">
        <v>1</v>
      </c>
      <c r="S692" s="34">
        <v>1</v>
      </c>
      <c r="T692" s="20">
        <v>0</v>
      </c>
      <c r="U692" s="21" t="s">
        <v>34</v>
      </c>
      <c r="V692" s="22">
        <f>IFERROR(RAW[[#This Row],[ACTUAL GROSS]]/RAW[[#This Row],[CONVERTED]],0)</f>
        <v>25.677337674418602</v>
      </c>
      <c r="W692" s="22">
        <f>IFERROR(RAW[[#This Row],[SALES]]/RAW[[#This Row],[HOURLY PAY]],0)</f>
        <v>74.811660661644282</v>
      </c>
    </row>
    <row r="693" spans="1:23" x14ac:dyDescent="0.35">
      <c r="A693" s="50">
        <v>45436</v>
      </c>
      <c r="B693" s="51" t="s">
        <v>25</v>
      </c>
      <c r="C693" s="52" t="s">
        <v>64</v>
      </c>
      <c r="D693" s="14" t="s">
        <v>27</v>
      </c>
      <c r="E693" s="53">
        <v>1434.5</v>
      </c>
      <c r="F693" s="53">
        <v>250.12</v>
      </c>
      <c r="G693" s="53">
        <v>24</v>
      </c>
      <c r="H693" s="53">
        <v>57.38</v>
      </c>
      <c r="I693" s="53">
        <v>4.2020159999999995</v>
      </c>
      <c r="J693" s="53">
        <v>0</v>
      </c>
      <c r="K693" s="53">
        <v>188.53798399999999</v>
      </c>
      <c r="L693" s="54">
        <v>5</v>
      </c>
      <c r="M693" s="54">
        <v>7</v>
      </c>
      <c r="N693" s="55">
        <v>5.1166666666666663</v>
      </c>
      <c r="O693" s="53">
        <v>10.898499999999999</v>
      </c>
      <c r="P693" s="53">
        <v>199.43648400000001</v>
      </c>
      <c r="Q693" s="56">
        <v>223.43648400000001</v>
      </c>
      <c r="R693" s="34">
        <v>1</v>
      </c>
      <c r="S693" s="34">
        <v>0</v>
      </c>
      <c r="T693" s="20">
        <v>1</v>
      </c>
      <c r="U693" s="21" t="s">
        <v>34</v>
      </c>
      <c r="V693" s="31">
        <f>IFERROR(RAW[[#This Row],[ACTUAL GROSS]]/RAW[[#This Row],[CONVERTED]],0)</f>
        <v>43.668368208469062</v>
      </c>
      <c r="W693" s="22">
        <f>IFERROR(RAW[[#This Row],[SALES]]/RAW[[#This Row],[HOURLY PAY]],0)</f>
        <v>131.62361792907282</v>
      </c>
    </row>
    <row r="694" spans="1:23" x14ac:dyDescent="0.35">
      <c r="A694" s="50">
        <v>45437</v>
      </c>
      <c r="B694" s="51" t="s">
        <v>21</v>
      </c>
      <c r="C694" s="52" t="s">
        <v>64</v>
      </c>
      <c r="D694" s="14" t="s">
        <v>28</v>
      </c>
      <c r="E694" s="53">
        <v>943.5</v>
      </c>
      <c r="F694" s="53">
        <v>121.69</v>
      </c>
      <c r="G694" s="53">
        <v>48</v>
      </c>
      <c r="H694" s="53">
        <v>37.74</v>
      </c>
      <c r="I694" s="53">
        <v>2.0443919999999998</v>
      </c>
      <c r="J694" s="53">
        <v>9.8800000000000008</v>
      </c>
      <c r="K694" s="53">
        <v>81.905608000000001</v>
      </c>
      <c r="L694" s="54">
        <v>4</v>
      </c>
      <c r="M694" s="54">
        <v>6</v>
      </c>
      <c r="N694" s="55">
        <v>4.0999999999999996</v>
      </c>
      <c r="O694" s="53">
        <v>8.7329999999999988</v>
      </c>
      <c r="P694" s="53">
        <v>100.518608</v>
      </c>
      <c r="Q694" s="56">
        <v>138.638608</v>
      </c>
      <c r="R694" s="34">
        <v>1</v>
      </c>
      <c r="S694" s="34">
        <v>1</v>
      </c>
      <c r="T694" s="20">
        <v>0</v>
      </c>
      <c r="U694" s="21" t="s">
        <v>34</v>
      </c>
      <c r="V694" s="22">
        <f>IFERROR(RAW[[#This Row],[ACTUAL GROSS]]/RAW[[#This Row],[CONVERTED]],0)</f>
        <v>33.814294634146343</v>
      </c>
      <c r="W694" s="22">
        <f>IFERROR(RAW[[#This Row],[SALES]]/RAW[[#This Row],[HOURLY PAY]],0)</f>
        <v>108.0384747509447</v>
      </c>
    </row>
    <row r="695" spans="1:23" x14ac:dyDescent="0.35">
      <c r="A695" s="50">
        <v>45437</v>
      </c>
      <c r="B695" s="51" t="s">
        <v>25</v>
      </c>
      <c r="C695" s="52" t="s">
        <v>64</v>
      </c>
      <c r="D695" s="14" t="s">
        <v>28</v>
      </c>
      <c r="E695" s="53">
        <v>943.5</v>
      </c>
      <c r="F695" s="53">
        <v>121.69</v>
      </c>
      <c r="G695" s="53">
        <v>48</v>
      </c>
      <c r="H695" s="53">
        <v>37.74</v>
      </c>
      <c r="I695" s="53">
        <v>2.0443919999999998</v>
      </c>
      <c r="J695" s="53">
        <v>9.8800000000000008</v>
      </c>
      <c r="K695" s="53">
        <v>81.905608000000001</v>
      </c>
      <c r="L695" s="54">
        <v>4</v>
      </c>
      <c r="M695" s="54">
        <v>6</v>
      </c>
      <c r="N695" s="55">
        <v>4.0999999999999996</v>
      </c>
      <c r="O695" s="53">
        <v>8.7329999999999988</v>
      </c>
      <c r="P695" s="53">
        <v>100.518608</v>
      </c>
      <c r="Q695" s="56">
        <v>138.638608</v>
      </c>
      <c r="R695" s="34">
        <v>1</v>
      </c>
      <c r="S695" s="34">
        <v>0</v>
      </c>
      <c r="T695" s="20">
        <v>1</v>
      </c>
      <c r="U695" s="21" t="s">
        <v>34</v>
      </c>
      <c r="V695" s="22">
        <f>IFERROR(RAW[[#This Row],[ACTUAL GROSS]]/RAW[[#This Row],[CONVERTED]],0)</f>
        <v>33.814294634146343</v>
      </c>
      <c r="W695" s="22">
        <f>IFERROR(RAW[[#This Row],[SALES]]/RAW[[#This Row],[HOURLY PAY]],0)</f>
        <v>108.0384747509447</v>
      </c>
    </row>
    <row r="696" spans="1:23" x14ac:dyDescent="0.35">
      <c r="A696" s="50">
        <v>45438</v>
      </c>
      <c r="B696" s="51" t="s">
        <v>21</v>
      </c>
      <c r="C696" s="52" t="s">
        <v>64</v>
      </c>
      <c r="D696" s="14" t="s">
        <v>29</v>
      </c>
      <c r="E696" s="53">
        <v>613.5</v>
      </c>
      <c r="F696" s="53">
        <v>129.41999999999999</v>
      </c>
      <c r="G696" s="53">
        <v>0</v>
      </c>
      <c r="H696" s="53">
        <v>24.54</v>
      </c>
      <c r="I696" s="53">
        <v>2.1742559999999997</v>
      </c>
      <c r="J696" s="53">
        <v>0</v>
      </c>
      <c r="K696" s="53">
        <v>102.70574399999998</v>
      </c>
      <c r="L696" s="54">
        <v>3</v>
      </c>
      <c r="M696" s="54">
        <v>40</v>
      </c>
      <c r="N696" s="55">
        <v>3.6666666666666665</v>
      </c>
      <c r="O696" s="53">
        <v>7.81</v>
      </c>
      <c r="P696" s="53">
        <v>110.51574399999998</v>
      </c>
      <c r="Q696" s="56">
        <v>110.51574399999998</v>
      </c>
      <c r="R696" s="34">
        <v>1</v>
      </c>
      <c r="S696" s="34">
        <v>1</v>
      </c>
      <c r="T696" s="20">
        <v>0</v>
      </c>
      <c r="U696" s="21" t="s">
        <v>24</v>
      </c>
      <c r="V696" s="42">
        <f>IFERROR(RAW[[#This Row],[ACTUAL GROSS]]/RAW[[#This Row],[CONVERTED]],0)</f>
        <v>30.140657454545451</v>
      </c>
      <c r="W696" s="22">
        <f>IFERROR(RAW[[#This Row],[SALES]]/RAW[[#This Row],[HOURLY PAY]],0)</f>
        <v>78.553137003841229</v>
      </c>
    </row>
    <row r="697" spans="1:23" x14ac:dyDescent="0.35">
      <c r="A697" s="50">
        <v>45438</v>
      </c>
      <c r="B697" s="51" t="s">
        <v>25</v>
      </c>
      <c r="C697" s="52" t="s">
        <v>64</v>
      </c>
      <c r="D697" s="14" t="s">
        <v>29</v>
      </c>
      <c r="E697" s="53">
        <v>0</v>
      </c>
      <c r="F697" s="53">
        <v>0</v>
      </c>
      <c r="G697" s="53">
        <v>0</v>
      </c>
      <c r="H697" s="53">
        <v>0</v>
      </c>
      <c r="I697" s="53">
        <v>0</v>
      </c>
      <c r="J697" s="53">
        <v>0</v>
      </c>
      <c r="K697" s="53">
        <v>0</v>
      </c>
      <c r="L697" s="54">
        <v>0</v>
      </c>
      <c r="M697" s="54">
        <v>0</v>
      </c>
      <c r="N697" s="55">
        <v>0</v>
      </c>
      <c r="O697" s="53">
        <v>0</v>
      </c>
      <c r="P697" s="53">
        <v>0</v>
      </c>
      <c r="Q697" s="56">
        <v>0</v>
      </c>
      <c r="R697" s="34">
        <v>0</v>
      </c>
      <c r="S697" s="34">
        <v>0</v>
      </c>
      <c r="T697" s="20">
        <v>0</v>
      </c>
      <c r="U697" s="21" t="s">
        <v>24</v>
      </c>
      <c r="V697" s="22">
        <f>IFERROR(RAW[[#This Row],[ACTUAL GROSS]]/RAW[[#This Row],[CONVERTED]],0)</f>
        <v>0</v>
      </c>
      <c r="W697" s="22">
        <f>IFERROR(RAW[[#This Row],[SALES]]/RAW[[#This Row],[HOURLY PAY]],0)</f>
        <v>0</v>
      </c>
    </row>
    <row r="698" spans="1:23" x14ac:dyDescent="0.35">
      <c r="A698" s="50">
        <v>45439</v>
      </c>
      <c r="B698" s="51" t="s">
        <v>21</v>
      </c>
      <c r="C698" s="52" t="s">
        <v>64</v>
      </c>
      <c r="D698" s="14" t="s">
        <v>30</v>
      </c>
      <c r="E698" s="53">
        <v>0</v>
      </c>
      <c r="F698" s="53">
        <v>0</v>
      </c>
      <c r="G698" s="53">
        <v>0</v>
      </c>
      <c r="H698" s="53">
        <v>0</v>
      </c>
      <c r="I698" s="53">
        <v>0</v>
      </c>
      <c r="J698" s="53">
        <v>0</v>
      </c>
      <c r="K698" s="53">
        <v>0</v>
      </c>
      <c r="L698" s="54">
        <v>0</v>
      </c>
      <c r="M698" s="54">
        <v>0</v>
      </c>
      <c r="N698" s="55">
        <v>0</v>
      </c>
      <c r="O698" s="53">
        <v>0</v>
      </c>
      <c r="P698" s="53">
        <v>0</v>
      </c>
      <c r="Q698" s="56">
        <v>0</v>
      </c>
      <c r="R698" s="34">
        <v>0</v>
      </c>
      <c r="S698" s="34">
        <v>0</v>
      </c>
      <c r="T698" s="20">
        <v>0</v>
      </c>
      <c r="U698" s="21" t="s">
        <v>24</v>
      </c>
      <c r="V698" s="239">
        <f>IFERROR(RAW[[#This Row],[ACTUAL GROSS]]/RAW[[#This Row],[CONVERTED]],0)</f>
        <v>0</v>
      </c>
      <c r="W698" s="22">
        <f>IFERROR(RAW[[#This Row],[SALES]]/RAW[[#This Row],[HOURLY PAY]],0)</f>
        <v>0</v>
      </c>
    </row>
    <row r="699" spans="1:23" x14ac:dyDescent="0.35">
      <c r="A699" s="50">
        <v>45439</v>
      </c>
      <c r="B699" s="51" t="s">
        <v>25</v>
      </c>
      <c r="C699" s="52" t="s">
        <v>64</v>
      </c>
      <c r="D699" s="14" t="s">
        <v>30</v>
      </c>
      <c r="E699" s="53">
        <v>0</v>
      </c>
      <c r="F699" s="53">
        <v>0</v>
      </c>
      <c r="G699" s="53">
        <v>0</v>
      </c>
      <c r="H699" s="53">
        <v>0</v>
      </c>
      <c r="I699" s="53">
        <v>0</v>
      </c>
      <c r="J699" s="53">
        <v>0</v>
      </c>
      <c r="K699" s="53">
        <v>0</v>
      </c>
      <c r="L699" s="54">
        <v>0</v>
      </c>
      <c r="M699" s="54">
        <v>0</v>
      </c>
      <c r="N699" s="55">
        <v>0</v>
      </c>
      <c r="O699" s="53">
        <v>0</v>
      </c>
      <c r="P699" s="53">
        <v>0</v>
      </c>
      <c r="Q699" s="56">
        <v>0</v>
      </c>
      <c r="R699" s="34">
        <v>0</v>
      </c>
      <c r="S699" s="34">
        <v>0</v>
      </c>
      <c r="T699" s="20">
        <v>0</v>
      </c>
      <c r="U699" s="21" t="s">
        <v>24</v>
      </c>
      <c r="V699" s="22">
        <f>IFERROR(RAW[[#This Row],[ACTUAL GROSS]]/RAW[[#This Row],[CONVERTED]],0)</f>
        <v>0</v>
      </c>
      <c r="W699" s="22">
        <f>IFERROR(RAW[[#This Row],[SALES]]/RAW[[#This Row],[HOURLY PAY]],0)</f>
        <v>0</v>
      </c>
    </row>
    <row r="700" spans="1:23" x14ac:dyDescent="0.35">
      <c r="A700" s="50">
        <v>45440</v>
      </c>
      <c r="B700" s="51" t="s">
        <v>21</v>
      </c>
      <c r="C700" s="52" t="s">
        <v>64</v>
      </c>
      <c r="D700" s="14" t="s">
        <v>31</v>
      </c>
      <c r="E700" s="53">
        <v>0</v>
      </c>
      <c r="F700" s="53">
        <v>0</v>
      </c>
      <c r="G700" s="53">
        <v>0</v>
      </c>
      <c r="H700" s="53">
        <v>0</v>
      </c>
      <c r="I700" s="53">
        <v>0</v>
      </c>
      <c r="J700" s="53">
        <v>0</v>
      </c>
      <c r="K700" s="53">
        <v>0</v>
      </c>
      <c r="L700" s="54">
        <v>0</v>
      </c>
      <c r="M700" s="54">
        <v>0</v>
      </c>
      <c r="N700" s="55">
        <v>0</v>
      </c>
      <c r="O700" s="53">
        <v>0</v>
      </c>
      <c r="P700" s="53">
        <v>0</v>
      </c>
      <c r="Q700" s="56">
        <v>0</v>
      </c>
      <c r="R700" s="34">
        <v>0</v>
      </c>
      <c r="S700" s="34">
        <v>0</v>
      </c>
      <c r="T700" s="20">
        <v>0</v>
      </c>
      <c r="U700" s="21" t="s">
        <v>24</v>
      </c>
      <c r="V700" s="22">
        <f>IFERROR(RAW[[#This Row],[ACTUAL GROSS]]/RAW[[#This Row],[CONVERTED]],0)</f>
        <v>0</v>
      </c>
      <c r="W700" s="22">
        <f>IFERROR(RAW[[#This Row],[SALES]]/RAW[[#This Row],[HOURLY PAY]],0)</f>
        <v>0</v>
      </c>
    </row>
    <row r="701" spans="1:23" x14ac:dyDescent="0.35">
      <c r="A701" s="50">
        <v>45440</v>
      </c>
      <c r="B701" s="51" t="s">
        <v>25</v>
      </c>
      <c r="C701" s="52" t="s">
        <v>64</v>
      </c>
      <c r="D701" s="14" t="s">
        <v>31</v>
      </c>
      <c r="E701" s="53">
        <v>0</v>
      </c>
      <c r="F701" s="53">
        <v>0</v>
      </c>
      <c r="G701" s="53">
        <v>0</v>
      </c>
      <c r="H701" s="53">
        <v>0</v>
      </c>
      <c r="I701" s="53">
        <v>0</v>
      </c>
      <c r="J701" s="53">
        <v>0</v>
      </c>
      <c r="K701" s="53">
        <v>0</v>
      </c>
      <c r="L701" s="54">
        <v>0</v>
      </c>
      <c r="M701" s="54">
        <v>0</v>
      </c>
      <c r="N701" s="55">
        <v>0</v>
      </c>
      <c r="O701" s="53">
        <v>0</v>
      </c>
      <c r="P701" s="53">
        <v>0</v>
      </c>
      <c r="Q701" s="56">
        <v>0</v>
      </c>
      <c r="R701" s="34">
        <v>0</v>
      </c>
      <c r="S701" s="34">
        <v>0</v>
      </c>
      <c r="T701" s="20">
        <v>0</v>
      </c>
      <c r="U701" s="21" t="s">
        <v>24</v>
      </c>
      <c r="V701" s="22">
        <f>IFERROR(RAW[[#This Row],[ACTUAL GROSS]]/RAW[[#This Row],[CONVERTED]],0)</f>
        <v>0</v>
      </c>
      <c r="W701" s="22">
        <f>IFERROR(RAW[[#This Row],[SALES]]/RAW[[#This Row],[HOURLY PAY]],0)</f>
        <v>0</v>
      </c>
    </row>
    <row r="702" spans="1:23" s="61" customFormat="1" x14ac:dyDescent="0.35">
      <c r="A702" s="50">
        <v>45441</v>
      </c>
      <c r="B702" s="51" t="s">
        <v>21</v>
      </c>
      <c r="C702" s="52" t="s">
        <v>64</v>
      </c>
      <c r="D702" s="14" t="s">
        <v>23</v>
      </c>
      <c r="E702" s="53">
        <v>0</v>
      </c>
      <c r="F702" s="53">
        <v>0</v>
      </c>
      <c r="G702" s="53">
        <v>0</v>
      </c>
      <c r="H702" s="53">
        <v>0</v>
      </c>
      <c r="I702" s="53">
        <v>0</v>
      </c>
      <c r="J702" s="53">
        <v>0</v>
      </c>
      <c r="K702" s="53">
        <v>0</v>
      </c>
      <c r="L702" s="54">
        <v>0</v>
      </c>
      <c r="M702" s="54">
        <v>0</v>
      </c>
      <c r="N702" s="55">
        <v>0</v>
      </c>
      <c r="O702" s="53">
        <v>0</v>
      </c>
      <c r="P702" s="53">
        <v>0</v>
      </c>
      <c r="Q702" s="56">
        <v>0</v>
      </c>
      <c r="R702" s="34">
        <v>0</v>
      </c>
      <c r="S702" s="34">
        <v>0</v>
      </c>
      <c r="T702" s="20">
        <v>0</v>
      </c>
      <c r="U702" s="21" t="s">
        <v>24</v>
      </c>
      <c r="V702" s="238">
        <f>IFERROR(RAW[[#This Row],[ACTUAL GROSS]]/RAW[[#This Row],[CONVERTED]],0)</f>
        <v>0</v>
      </c>
      <c r="W702" s="243">
        <f>IFERROR(RAW[[#This Row],[SALES]]/RAW[[#This Row],[HOURLY PAY]],0)</f>
        <v>0</v>
      </c>
    </row>
    <row r="703" spans="1:23" x14ac:dyDescent="0.35">
      <c r="A703" s="50">
        <v>45441</v>
      </c>
      <c r="B703" s="51" t="s">
        <v>25</v>
      </c>
      <c r="C703" s="52" t="s">
        <v>64</v>
      </c>
      <c r="D703" s="14" t="s">
        <v>23</v>
      </c>
      <c r="E703" s="53">
        <v>0</v>
      </c>
      <c r="F703" s="53">
        <v>0</v>
      </c>
      <c r="G703" s="53">
        <v>0</v>
      </c>
      <c r="H703" s="53">
        <v>0</v>
      </c>
      <c r="I703" s="53">
        <v>0</v>
      </c>
      <c r="J703" s="53">
        <v>0</v>
      </c>
      <c r="K703" s="53">
        <v>0</v>
      </c>
      <c r="L703" s="54">
        <v>0</v>
      </c>
      <c r="M703" s="54">
        <v>0</v>
      </c>
      <c r="N703" s="55">
        <v>0</v>
      </c>
      <c r="O703" s="53">
        <v>0</v>
      </c>
      <c r="P703" s="53">
        <v>0</v>
      </c>
      <c r="Q703" s="56">
        <v>0</v>
      </c>
      <c r="R703" s="34">
        <v>0</v>
      </c>
      <c r="S703" s="34">
        <v>0</v>
      </c>
      <c r="T703" s="20">
        <v>0</v>
      </c>
      <c r="U703" s="21" t="s">
        <v>24</v>
      </c>
      <c r="V703" s="22">
        <f>IFERROR(RAW[[#This Row],[ACTUAL GROSS]]/RAW[[#This Row],[CONVERTED]],0)</f>
        <v>0</v>
      </c>
      <c r="W703" s="22">
        <f>IFERROR(RAW[[#This Row],[SALES]]/RAW[[#This Row],[HOURLY PAY]],0)</f>
        <v>0</v>
      </c>
    </row>
    <row r="704" spans="1:23" x14ac:dyDescent="0.35">
      <c r="A704" s="50">
        <v>45442</v>
      </c>
      <c r="B704" s="51" t="s">
        <v>21</v>
      </c>
      <c r="C704" s="52" t="s">
        <v>64</v>
      </c>
      <c r="D704" s="14" t="s">
        <v>26</v>
      </c>
      <c r="E704" s="53">
        <v>0</v>
      </c>
      <c r="F704" s="53">
        <v>0</v>
      </c>
      <c r="G704" s="53">
        <v>0</v>
      </c>
      <c r="H704" s="53">
        <v>0</v>
      </c>
      <c r="I704" s="53">
        <v>0</v>
      </c>
      <c r="J704" s="53">
        <v>0</v>
      </c>
      <c r="K704" s="53">
        <v>0</v>
      </c>
      <c r="L704" s="54">
        <v>0</v>
      </c>
      <c r="M704" s="54">
        <v>0</v>
      </c>
      <c r="N704" s="55">
        <v>0</v>
      </c>
      <c r="O704" s="53">
        <v>0</v>
      </c>
      <c r="P704" s="53">
        <v>0</v>
      </c>
      <c r="Q704" s="56">
        <v>0</v>
      </c>
      <c r="R704" s="34">
        <v>0</v>
      </c>
      <c r="S704" s="34">
        <v>0</v>
      </c>
      <c r="T704" s="20">
        <v>0</v>
      </c>
      <c r="U704" s="21" t="s">
        <v>24</v>
      </c>
      <c r="V704" s="22">
        <f>IFERROR(RAW[[#This Row],[ACTUAL GROSS]]/RAW[[#This Row],[CONVERTED]],0)</f>
        <v>0</v>
      </c>
      <c r="W704" s="22">
        <f>IFERROR(RAW[[#This Row],[SALES]]/RAW[[#This Row],[HOURLY PAY]],0)</f>
        <v>0</v>
      </c>
    </row>
    <row r="705" spans="1:23" x14ac:dyDescent="0.35">
      <c r="A705" s="50">
        <v>45442</v>
      </c>
      <c r="B705" s="51" t="s">
        <v>25</v>
      </c>
      <c r="C705" s="52" t="s">
        <v>64</v>
      </c>
      <c r="D705" s="14" t="s">
        <v>26</v>
      </c>
      <c r="E705" s="53">
        <v>0</v>
      </c>
      <c r="F705" s="53">
        <v>0</v>
      </c>
      <c r="G705" s="53">
        <v>0</v>
      </c>
      <c r="H705" s="53">
        <v>0</v>
      </c>
      <c r="I705" s="53">
        <v>0</v>
      </c>
      <c r="J705" s="53">
        <v>0</v>
      </c>
      <c r="K705" s="53">
        <v>0</v>
      </c>
      <c r="L705" s="54">
        <v>0</v>
      </c>
      <c r="M705" s="54">
        <v>0</v>
      </c>
      <c r="N705" s="55">
        <v>0</v>
      </c>
      <c r="O705" s="53">
        <v>0</v>
      </c>
      <c r="P705" s="53">
        <v>0</v>
      </c>
      <c r="Q705" s="56">
        <v>0</v>
      </c>
      <c r="R705" s="34">
        <v>0</v>
      </c>
      <c r="S705" s="34">
        <v>0</v>
      </c>
      <c r="T705" s="20">
        <v>0</v>
      </c>
      <c r="U705" s="21" t="s">
        <v>24</v>
      </c>
      <c r="V705" s="44">
        <f>IFERROR(RAW[[#This Row],[ACTUAL GROSS]]/RAW[[#This Row],[CONVERTED]],0)</f>
        <v>0</v>
      </c>
      <c r="W705" s="22">
        <f>IFERROR(RAW[[#This Row],[SALES]]/RAW[[#This Row],[HOURLY PAY]],0)</f>
        <v>0</v>
      </c>
    </row>
    <row r="706" spans="1:23" x14ac:dyDescent="0.35">
      <c r="A706" s="50">
        <v>45443</v>
      </c>
      <c r="B706" s="51" t="s">
        <v>21</v>
      </c>
      <c r="C706" s="52" t="s">
        <v>64</v>
      </c>
      <c r="D706" s="14" t="s">
        <v>27</v>
      </c>
      <c r="E706" s="53">
        <v>0</v>
      </c>
      <c r="F706" s="53">
        <v>0</v>
      </c>
      <c r="G706" s="53">
        <v>0</v>
      </c>
      <c r="H706" s="53">
        <v>0</v>
      </c>
      <c r="I706" s="53">
        <v>0</v>
      </c>
      <c r="J706" s="53">
        <v>0</v>
      </c>
      <c r="K706" s="53">
        <v>0</v>
      </c>
      <c r="L706" s="54">
        <v>0</v>
      </c>
      <c r="M706" s="54">
        <v>0</v>
      </c>
      <c r="N706" s="55">
        <v>0</v>
      </c>
      <c r="O706" s="53">
        <v>0</v>
      </c>
      <c r="P706" s="53">
        <v>0</v>
      </c>
      <c r="Q706" s="56">
        <v>0</v>
      </c>
      <c r="R706" s="34">
        <v>0</v>
      </c>
      <c r="S706" s="34">
        <v>0</v>
      </c>
      <c r="T706" s="20">
        <v>0</v>
      </c>
      <c r="U706" s="21" t="s">
        <v>24</v>
      </c>
      <c r="V706" s="22">
        <f>IFERROR(RAW[[#This Row],[ACTUAL GROSS]]/RAW[[#This Row],[CONVERTED]],0)</f>
        <v>0</v>
      </c>
      <c r="W706" s="22">
        <f>IFERROR(RAW[[#This Row],[SALES]]/RAW[[#This Row],[HOURLY PAY]],0)</f>
        <v>0</v>
      </c>
    </row>
    <row r="707" spans="1:23" x14ac:dyDescent="0.35">
      <c r="A707" s="50">
        <v>45443</v>
      </c>
      <c r="B707" s="51" t="s">
        <v>25</v>
      </c>
      <c r="C707" s="52" t="s">
        <v>64</v>
      </c>
      <c r="D707" s="14" t="s">
        <v>27</v>
      </c>
      <c r="E707" s="53">
        <v>0</v>
      </c>
      <c r="F707" s="53">
        <v>0</v>
      </c>
      <c r="G707" s="53">
        <v>0</v>
      </c>
      <c r="H707" s="53">
        <v>0</v>
      </c>
      <c r="I707" s="53">
        <v>0</v>
      </c>
      <c r="J707" s="53">
        <v>0</v>
      </c>
      <c r="K707" s="53">
        <v>0</v>
      </c>
      <c r="L707" s="54">
        <v>0</v>
      </c>
      <c r="M707" s="54">
        <v>0</v>
      </c>
      <c r="N707" s="55">
        <v>0</v>
      </c>
      <c r="O707" s="53">
        <v>0</v>
      </c>
      <c r="P707" s="53">
        <v>0</v>
      </c>
      <c r="Q707" s="56">
        <v>0</v>
      </c>
      <c r="R707" s="34">
        <v>0</v>
      </c>
      <c r="S707" s="34">
        <v>0</v>
      </c>
      <c r="T707" s="20">
        <v>0</v>
      </c>
      <c r="U707" s="21" t="s">
        <v>24</v>
      </c>
      <c r="V707" s="31">
        <f>IFERROR(RAW[[#This Row],[ACTUAL GROSS]]/RAW[[#This Row],[CONVERTED]],0)</f>
        <v>0</v>
      </c>
      <c r="W707" s="22">
        <f>IFERROR(RAW[[#This Row],[SALES]]/RAW[[#This Row],[HOURLY PAY]],0)</f>
        <v>0</v>
      </c>
    </row>
    <row r="708" spans="1:23" x14ac:dyDescent="0.35">
      <c r="A708" s="50">
        <v>45444</v>
      </c>
      <c r="B708" s="51" t="s">
        <v>21</v>
      </c>
      <c r="C708" s="52" t="s">
        <v>22</v>
      </c>
      <c r="D708" s="14" t="s">
        <v>28</v>
      </c>
      <c r="E708" s="53">
        <v>872</v>
      </c>
      <c r="F708" s="53">
        <v>131.94</v>
      </c>
      <c r="G708" s="53">
        <v>52</v>
      </c>
      <c r="H708" s="53">
        <v>34.880000000000003</v>
      </c>
      <c r="I708" s="53">
        <v>2.2165919999999999</v>
      </c>
      <c r="J708" s="53">
        <v>0</v>
      </c>
      <c r="K708" s="53">
        <v>94.843407999999997</v>
      </c>
      <c r="L708" s="54">
        <v>5</v>
      </c>
      <c r="M708" s="54">
        <v>29</v>
      </c>
      <c r="N708" s="55">
        <v>5.4833333333333334</v>
      </c>
      <c r="O708" s="53">
        <v>11.679499999999999</v>
      </c>
      <c r="P708" s="53">
        <v>106.522908</v>
      </c>
      <c r="Q708" s="56">
        <v>158.522908</v>
      </c>
      <c r="R708" s="34">
        <v>1</v>
      </c>
      <c r="S708" s="34">
        <v>1</v>
      </c>
      <c r="T708" s="20">
        <v>0</v>
      </c>
      <c r="U708" s="21" t="s">
        <v>24</v>
      </c>
      <c r="V708" s="22">
        <f>IFERROR(RAW[[#This Row],[ACTUAL GROSS]]/RAW[[#This Row],[CONVERTED]],0)</f>
        <v>28.90995282674772</v>
      </c>
      <c r="W708" s="22">
        <f>IFERROR(RAW[[#This Row],[SALES]]/RAW[[#This Row],[HOURLY PAY]],0)</f>
        <v>74.66073033948372</v>
      </c>
    </row>
    <row r="709" spans="1:23" x14ac:dyDescent="0.35">
      <c r="A709" s="50">
        <v>45444</v>
      </c>
      <c r="B709" s="51" t="s">
        <v>25</v>
      </c>
      <c r="C709" s="52" t="s">
        <v>22</v>
      </c>
      <c r="D709" s="14" t="s">
        <v>28</v>
      </c>
      <c r="E709" s="53">
        <v>0</v>
      </c>
      <c r="F709" s="53">
        <v>0</v>
      </c>
      <c r="G709" s="53">
        <v>0</v>
      </c>
      <c r="H709" s="53">
        <v>0</v>
      </c>
      <c r="I709" s="53">
        <v>0</v>
      </c>
      <c r="J709" s="53">
        <v>0</v>
      </c>
      <c r="K709" s="53">
        <v>0</v>
      </c>
      <c r="L709" s="54">
        <v>0</v>
      </c>
      <c r="M709" s="54">
        <v>0</v>
      </c>
      <c r="N709" s="55">
        <v>0</v>
      </c>
      <c r="O709" s="53">
        <v>0</v>
      </c>
      <c r="P709" s="53">
        <v>0</v>
      </c>
      <c r="Q709" s="56">
        <v>0</v>
      </c>
      <c r="R709" s="34">
        <v>0</v>
      </c>
      <c r="S709" s="34">
        <v>0</v>
      </c>
      <c r="T709" s="20">
        <v>0</v>
      </c>
      <c r="U709" s="21" t="s">
        <v>24</v>
      </c>
      <c r="V709" s="22">
        <f>IFERROR(RAW[[#This Row],[ACTUAL GROSS]]/RAW[[#This Row],[CONVERTED]],0)</f>
        <v>0</v>
      </c>
      <c r="W709" s="22">
        <f>IFERROR(RAW[[#This Row],[SALES]]/RAW[[#This Row],[HOURLY PAY]],0)</f>
        <v>0</v>
      </c>
    </row>
    <row r="710" spans="1:23" x14ac:dyDescent="0.35">
      <c r="A710" s="50">
        <v>45445</v>
      </c>
      <c r="B710" s="51" t="s">
        <v>21</v>
      </c>
      <c r="C710" s="52" t="s">
        <v>22</v>
      </c>
      <c r="D710" s="14" t="s">
        <v>29</v>
      </c>
      <c r="E710" s="53">
        <v>782</v>
      </c>
      <c r="F710" s="53">
        <v>129.34</v>
      </c>
      <c r="G710" s="53">
        <v>26</v>
      </c>
      <c r="H710" s="53">
        <v>31.28</v>
      </c>
      <c r="I710" s="53">
        <v>2.1729119999999997</v>
      </c>
      <c r="J710" s="53">
        <v>6.96</v>
      </c>
      <c r="K710" s="53">
        <v>95.887088000000006</v>
      </c>
      <c r="L710" s="54">
        <v>5</v>
      </c>
      <c r="M710" s="54">
        <v>10</v>
      </c>
      <c r="N710" s="55">
        <v>5.166666666666667</v>
      </c>
      <c r="O710" s="53">
        <v>11.005000000000001</v>
      </c>
      <c r="P710" s="53">
        <v>113.85208799999999</v>
      </c>
      <c r="Q710" s="56">
        <v>132.892088</v>
      </c>
      <c r="R710" s="34">
        <v>1</v>
      </c>
      <c r="S710" s="34">
        <v>1</v>
      </c>
      <c r="T710" s="20">
        <v>0</v>
      </c>
      <c r="U710" s="21" t="s">
        <v>24</v>
      </c>
      <c r="V710" s="42">
        <f>IFERROR(RAW[[#This Row],[ACTUAL GROSS]]/RAW[[#This Row],[CONVERTED]],0)</f>
        <v>25.721049290322579</v>
      </c>
      <c r="W710" s="22">
        <f>IFERROR(RAW[[#This Row],[SALES]]/RAW[[#This Row],[HOURLY PAY]],0)</f>
        <v>71.058609722853248</v>
      </c>
    </row>
    <row r="711" spans="1:23" x14ac:dyDescent="0.35">
      <c r="A711" s="50">
        <v>45445</v>
      </c>
      <c r="B711" s="51" t="s">
        <v>25</v>
      </c>
      <c r="C711" s="52" t="s">
        <v>22</v>
      </c>
      <c r="D711" s="14" t="s">
        <v>29</v>
      </c>
      <c r="E711" s="53">
        <v>0</v>
      </c>
      <c r="F711" s="53">
        <v>0</v>
      </c>
      <c r="G711" s="53">
        <v>0</v>
      </c>
      <c r="H711" s="53">
        <v>0</v>
      </c>
      <c r="I711" s="53">
        <v>0</v>
      </c>
      <c r="J711" s="53">
        <v>0</v>
      </c>
      <c r="K711" s="53">
        <v>0</v>
      </c>
      <c r="L711" s="54">
        <v>0</v>
      </c>
      <c r="M711" s="54">
        <v>0</v>
      </c>
      <c r="N711" s="55">
        <v>0</v>
      </c>
      <c r="O711" s="53">
        <v>0</v>
      </c>
      <c r="P711" s="53">
        <v>0</v>
      </c>
      <c r="Q711" s="56">
        <v>0</v>
      </c>
      <c r="R711" s="34">
        <v>0</v>
      </c>
      <c r="S711" s="34">
        <v>0</v>
      </c>
      <c r="T711" s="20">
        <v>0</v>
      </c>
      <c r="U711" s="21" t="s">
        <v>24</v>
      </c>
      <c r="V711" s="22">
        <f>IFERROR(RAW[[#This Row],[ACTUAL GROSS]]/RAW[[#This Row],[CONVERTED]],0)</f>
        <v>0</v>
      </c>
      <c r="W711" s="22">
        <f>IFERROR(RAW[[#This Row],[SALES]]/RAW[[#This Row],[HOURLY PAY]],0)</f>
        <v>0</v>
      </c>
    </row>
    <row r="712" spans="1:23" x14ac:dyDescent="0.35">
      <c r="A712" s="50">
        <v>45446</v>
      </c>
      <c r="B712" s="51" t="s">
        <v>21</v>
      </c>
      <c r="C712" s="52" t="s">
        <v>22</v>
      </c>
      <c r="D712" s="14" t="s">
        <v>30</v>
      </c>
      <c r="E712" s="53">
        <v>0</v>
      </c>
      <c r="F712" s="53">
        <v>0</v>
      </c>
      <c r="G712" s="53">
        <v>0</v>
      </c>
      <c r="H712" s="53">
        <v>0</v>
      </c>
      <c r="I712" s="53">
        <v>0</v>
      </c>
      <c r="J712" s="53">
        <v>0</v>
      </c>
      <c r="K712" s="53">
        <v>0</v>
      </c>
      <c r="L712" s="54">
        <v>0</v>
      </c>
      <c r="M712" s="54">
        <v>0</v>
      </c>
      <c r="N712" s="55">
        <v>0</v>
      </c>
      <c r="O712" s="53">
        <v>0</v>
      </c>
      <c r="P712" s="53">
        <v>0</v>
      </c>
      <c r="Q712" s="56">
        <v>0</v>
      </c>
      <c r="R712" s="34">
        <v>0</v>
      </c>
      <c r="S712" s="34">
        <v>0</v>
      </c>
      <c r="T712" s="20">
        <v>0</v>
      </c>
      <c r="U712" s="21" t="s">
        <v>24</v>
      </c>
      <c r="V712" s="239">
        <f>IFERROR(RAW[[#This Row],[ACTUAL GROSS]]/RAW[[#This Row],[CONVERTED]],0)</f>
        <v>0</v>
      </c>
      <c r="W712" s="22">
        <f>IFERROR(RAW[[#This Row],[SALES]]/RAW[[#This Row],[HOURLY PAY]],0)</f>
        <v>0</v>
      </c>
    </row>
    <row r="713" spans="1:23" x14ac:dyDescent="0.35">
      <c r="A713" s="50">
        <v>45446</v>
      </c>
      <c r="B713" s="51" t="s">
        <v>25</v>
      </c>
      <c r="C713" s="52" t="s">
        <v>22</v>
      </c>
      <c r="D713" s="14" t="s">
        <v>30</v>
      </c>
      <c r="E713" s="53">
        <v>586</v>
      </c>
      <c r="F713" s="53">
        <v>115.65</v>
      </c>
      <c r="G713" s="53">
        <v>0</v>
      </c>
      <c r="H713" s="53">
        <v>23.44</v>
      </c>
      <c r="I713" s="53">
        <v>1.94292</v>
      </c>
      <c r="J713" s="53">
        <v>0</v>
      </c>
      <c r="K713" s="53">
        <v>90.267080000000007</v>
      </c>
      <c r="L713" s="54">
        <v>4</v>
      </c>
      <c r="M713" s="54">
        <v>22</v>
      </c>
      <c r="N713" s="55">
        <v>4.3666666666666663</v>
      </c>
      <c r="O713" s="53">
        <v>9.3009999999999984</v>
      </c>
      <c r="P713" s="53">
        <v>99.568080000000009</v>
      </c>
      <c r="Q713" s="56">
        <v>99.568080000000009</v>
      </c>
      <c r="R713" s="34">
        <v>1</v>
      </c>
      <c r="S713" s="34">
        <v>0</v>
      </c>
      <c r="T713" s="20">
        <v>0</v>
      </c>
      <c r="U713" s="21" t="s">
        <v>24</v>
      </c>
      <c r="V713" s="22">
        <f>IFERROR(RAW[[#This Row],[ACTUAL GROSS]]/RAW[[#This Row],[CONVERTED]],0)</f>
        <v>22.801850381679394</v>
      </c>
      <c r="W713" s="22">
        <f>IFERROR(RAW[[#This Row],[SALES]]/RAW[[#This Row],[HOURLY PAY]],0)</f>
        <v>63.003978066874538</v>
      </c>
    </row>
    <row r="714" spans="1:23" x14ac:dyDescent="0.35">
      <c r="A714" s="50">
        <v>45447</v>
      </c>
      <c r="B714" s="51" t="s">
        <v>21</v>
      </c>
      <c r="C714" s="52" t="s">
        <v>22</v>
      </c>
      <c r="D714" s="14" t="s">
        <v>31</v>
      </c>
      <c r="E714" s="53">
        <v>0</v>
      </c>
      <c r="F714" s="53">
        <v>0</v>
      </c>
      <c r="G714" s="53">
        <v>0</v>
      </c>
      <c r="H714" s="53">
        <v>0</v>
      </c>
      <c r="I714" s="53">
        <v>0</v>
      </c>
      <c r="J714" s="53">
        <v>0</v>
      </c>
      <c r="K714" s="53">
        <v>0</v>
      </c>
      <c r="L714" s="54">
        <v>0</v>
      </c>
      <c r="M714" s="54">
        <v>0</v>
      </c>
      <c r="N714" s="55">
        <v>0</v>
      </c>
      <c r="O714" s="53">
        <v>0</v>
      </c>
      <c r="P714" s="53">
        <v>0</v>
      </c>
      <c r="Q714" s="56">
        <v>0</v>
      </c>
      <c r="R714" s="34">
        <v>0</v>
      </c>
      <c r="S714" s="34">
        <v>0</v>
      </c>
      <c r="T714" s="20">
        <v>0</v>
      </c>
      <c r="U714" s="21" t="s">
        <v>24</v>
      </c>
      <c r="V714" s="22">
        <f>IFERROR(RAW[[#This Row],[ACTUAL GROSS]]/RAW[[#This Row],[CONVERTED]],0)</f>
        <v>0</v>
      </c>
      <c r="W714" s="22">
        <f>IFERROR(RAW[[#This Row],[SALES]]/RAW[[#This Row],[HOURLY PAY]],0)</f>
        <v>0</v>
      </c>
    </row>
    <row r="715" spans="1:23" x14ac:dyDescent="0.35">
      <c r="A715" s="50">
        <v>45447</v>
      </c>
      <c r="B715" s="51" t="s">
        <v>25</v>
      </c>
      <c r="C715" s="52" t="s">
        <v>22</v>
      </c>
      <c r="D715" s="14" t="s">
        <v>31</v>
      </c>
      <c r="E715" s="53">
        <v>0</v>
      </c>
      <c r="F715" s="53">
        <v>0</v>
      </c>
      <c r="G715" s="53">
        <v>0</v>
      </c>
      <c r="H715" s="53">
        <v>0</v>
      </c>
      <c r="I715" s="53">
        <v>0</v>
      </c>
      <c r="J715" s="53">
        <v>0</v>
      </c>
      <c r="K715" s="53">
        <v>0</v>
      </c>
      <c r="L715" s="54">
        <v>0</v>
      </c>
      <c r="M715" s="54">
        <v>0</v>
      </c>
      <c r="N715" s="55">
        <v>0</v>
      </c>
      <c r="O715" s="53">
        <v>0</v>
      </c>
      <c r="P715" s="53">
        <v>0</v>
      </c>
      <c r="Q715" s="56">
        <v>0</v>
      </c>
      <c r="R715" s="34">
        <v>0</v>
      </c>
      <c r="S715" s="34">
        <v>0</v>
      </c>
      <c r="T715" s="20">
        <v>0</v>
      </c>
      <c r="U715" s="21" t="s">
        <v>24</v>
      </c>
      <c r="V715" s="22">
        <f>IFERROR(RAW[[#This Row],[ACTUAL GROSS]]/RAW[[#This Row],[CONVERTED]],0)</f>
        <v>0</v>
      </c>
      <c r="W715" s="22">
        <f>IFERROR(RAW[[#This Row],[SALES]]/RAW[[#This Row],[HOURLY PAY]],0)</f>
        <v>0</v>
      </c>
    </row>
    <row r="716" spans="1:23" s="61" customFormat="1" x14ac:dyDescent="0.35">
      <c r="A716" s="50">
        <v>45448</v>
      </c>
      <c r="B716" s="51" t="s">
        <v>21</v>
      </c>
      <c r="C716" s="52" t="s">
        <v>22</v>
      </c>
      <c r="D716" s="14" t="s">
        <v>23</v>
      </c>
      <c r="E716" s="53">
        <v>0</v>
      </c>
      <c r="F716" s="53">
        <v>0</v>
      </c>
      <c r="G716" s="53">
        <v>0</v>
      </c>
      <c r="H716" s="53">
        <v>0</v>
      </c>
      <c r="I716" s="53">
        <v>0</v>
      </c>
      <c r="J716" s="53">
        <v>0</v>
      </c>
      <c r="K716" s="53">
        <v>0</v>
      </c>
      <c r="L716" s="54">
        <v>0</v>
      </c>
      <c r="M716" s="54">
        <v>0</v>
      </c>
      <c r="N716" s="55">
        <v>0</v>
      </c>
      <c r="O716" s="53">
        <v>0</v>
      </c>
      <c r="P716" s="53">
        <v>0</v>
      </c>
      <c r="Q716" s="56">
        <v>0</v>
      </c>
      <c r="R716" s="34">
        <v>0</v>
      </c>
      <c r="S716" s="34">
        <v>0</v>
      </c>
      <c r="T716" s="20">
        <v>0</v>
      </c>
      <c r="U716" s="21" t="s">
        <v>24</v>
      </c>
      <c r="V716" s="238">
        <f>IFERROR(RAW[[#This Row],[ACTUAL GROSS]]/RAW[[#This Row],[CONVERTED]],0)</f>
        <v>0</v>
      </c>
      <c r="W716" s="243">
        <f>IFERROR(RAW[[#This Row],[SALES]]/RAW[[#This Row],[HOURLY PAY]],0)</f>
        <v>0</v>
      </c>
    </row>
    <row r="717" spans="1:23" x14ac:dyDescent="0.35">
      <c r="A717" s="50">
        <v>45448</v>
      </c>
      <c r="B717" s="51" t="s">
        <v>25</v>
      </c>
      <c r="C717" s="52" t="s">
        <v>22</v>
      </c>
      <c r="D717" s="14" t="s">
        <v>23</v>
      </c>
      <c r="E717" s="53">
        <v>1027</v>
      </c>
      <c r="F717" s="53">
        <v>198.58</v>
      </c>
      <c r="G717" s="53">
        <v>13</v>
      </c>
      <c r="H717" s="53">
        <v>41.08</v>
      </c>
      <c r="I717" s="53">
        <v>3.336144</v>
      </c>
      <c r="J717" s="53">
        <v>5.68</v>
      </c>
      <c r="K717" s="53">
        <v>154.16385600000001</v>
      </c>
      <c r="L717" s="54">
        <v>5</v>
      </c>
      <c r="M717" s="54">
        <v>49</v>
      </c>
      <c r="N717" s="55">
        <v>5.8166666666666664</v>
      </c>
      <c r="O717" s="53">
        <v>12.389499999999998</v>
      </c>
      <c r="P717" s="53">
        <v>172.23335600000001</v>
      </c>
      <c r="Q717" s="56">
        <v>179.55335600000001</v>
      </c>
      <c r="R717" s="34">
        <v>1</v>
      </c>
      <c r="S717" s="34">
        <v>0</v>
      </c>
      <c r="T717" s="20">
        <v>0</v>
      </c>
      <c r="U717" s="21" t="s">
        <v>24</v>
      </c>
      <c r="V717" s="22">
        <f>IFERROR(RAW[[#This Row],[ACTUAL GROSS]]/RAW[[#This Row],[CONVERTED]],0)</f>
        <v>30.868771805157596</v>
      </c>
      <c r="W717" s="22">
        <f>IFERROR(RAW[[#This Row],[SALES]]/RAW[[#This Row],[HOURLY PAY]],0)</f>
        <v>82.892772105411851</v>
      </c>
    </row>
    <row r="718" spans="1:23" x14ac:dyDescent="0.35">
      <c r="A718" s="50">
        <v>45449</v>
      </c>
      <c r="B718" s="51" t="s">
        <v>21</v>
      </c>
      <c r="C718" s="52" t="s">
        <v>22</v>
      </c>
      <c r="D718" s="14" t="s">
        <v>26</v>
      </c>
      <c r="E718" s="53">
        <v>0</v>
      </c>
      <c r="F718" s="53">
        <v>0</v>
      </c>
      <c r="G718" s="53">
        <v>0</v>
      </c>
      <c r="H718" s="53">
        <v>0</v>
      </c>
      <c r="I718" s="53">
        <v>0</v>
      </c>
      <c r="J718" s="53">
        <v>0</v>
      </c>
      <c r="K718" s="53">
        <v>0</v>
      </c>
      <c r="L718" s="54">
        <v>0</v>
      </c>
      <c r="M718" s="54">
        <v>0</v>
      </c>
      <c r="N718" s="55">
        <v>0</v>
      </c>
      <c r="O718" s="53">
        <v>0</v>
      </c>
      <c r="P718" s="53">
        <v>0</v>
      </c>
      <c r="Q718" s="56">
        <v>0</v>
      </c>
      <c r="R718" s="34">
        <v>0</v>
      </c>
      <c r="S718" s="34">
        <v>0</v>
      </c>
      <c r="T718" s="20">
        <v>0</v>
      </c>
      <c r="U718" s="21" t="s">
        <v>24</v>
      </c>
      <c r="V718" s="22">
        <f>IFERROR(RAW[[#This Row],[ACTUAL GROSS]]/RAW[[#This Row],[CONVERTED]],0)</f>
        <v>0</v>
      </c>
      <c r="W718" s="22">
        <f>IFERROR(RAW[[#This Row],[SALES]]/RAW[[#This Row],[HOURLY PAY]],0)</f>
        <v>0</v>
      </c>
    </row>
    <row r="719" spans="1:23" x14ac:dyDescent="0.35">
      <c r="A719" s="50">
        <v>45449</v>
      </c>
      <c r="B719" s="51" t="s">
        <v>25</v>
      </c>
      <c r="C719" s="52" t="s">
        <v>22</v>
      </c>
      <c r="D719" s="14" t="s">
        <v>26</v>
      </c>
      <c r="E719" s="53">
        <v>1121</v>
      </c>
      <c r="F719" s="53">
        <v>248.92</v>
      </c>
      <c r="G719" s="53">
        <v>0</v>
      </c>
      <c r="H719" s="53">
        <v>44.84</v>
      </c>
      <c r="I719" s="53">
        <v>4.1818559999999998</v>
      </c>
      <c r="J719" s="53">
        <v>0</v>
      </c>
      <c r="K719" s="53">
        <v>199.898144</v>
      </c>
      <c r="L719" s="54">
        <v>5</v>
      </c>
      <c r="M719" s="54">
        <v>16</v>
      </c>
      <c r="N719" s="55">
        <v>5.2666666666666666</v>
      </c>
      <c r="O719" s="53">
        <v>11.218</v>
      </c>
      <c r="P719" s="53">
        <v>211.11614399999999</v>
      </c>
      <c r="Q719" s="56">
        <v>211.11614399999999</v>
      </c>
      <c r="R719" s="34">
        <v>1</v>
      </c>
      <c r="S719" s="34">
        <v>0</v>
      </c>
      <c r="T719" s="20">
        <v>0</v>
      </c>
      <c r="U719" s="21" t="s">
        <v>24</v>
      </c>
      <c r="V719" s="44">
        <f>IFERROR(RAW[[#This Row],[ACTUAL GROSS]]/RAW[[#This Row],[CONVERTED]],0)</f>
        <v>40.085343797468354</v>
      </c>
      <c r="W719" s="22">
        <f>IFERROR(RAW[[#This Row],[SALES]]/RAW[[#This Row],[HOURLY PAY]],0)</f>
        <v>99.928686040292391</v>
      </c>
    </row>
    <row r="720" spans="1:23" x14ac:dyDescent="0.35">
      <c r="A720" s="50">
        <v>45450</v>
      </c>
      <c r="B720" s="51" t="s">
        <v>21</v>
      </c>
      <c r="C720" s="52" t="s">
        <v>22</v>
      </c>
      <c r="D720" s="14" t="s">
        <v>27</v>
      </c>
      <c r="E720" s="53">
        <v>0</v>
      </c>
      <c r="F720" s="53">
        <v>0</v>
      </c>
      <c r="G720" s="53">
        <v>0</v>
      </c>
      <c r="H720" s="53">
        <v>0</v>
      </c>
      <c r="I720" s="53">
        <v>0</v>
      </c>
      <c r="J720" s="53">
        <v>0</v>
      </c>
      <c r="K720" s="53">
        <v>0</v>
      </c>
      <c r="L720" s="54">
        <v>0</v>
      </c>
      <c r="M720" s="54">
        <v>0</v>
      </c>
      <c r="N720" s="55">
        <v>0</v>
      </c>
      <c r="O720" s="53">
        <v>0</v>
      </c>
      <c r="P720" s="53">
        <v>0</v>
      </c>
      <c r="Q720" s="56">
        <v>0</v>
      </c>
      <c r="R720" s="34">
        <v>0</v>
      </c>
      <c r="S720" s="34">
        <v>0</v>
      </c>
      <c r="T720" s="20">
        <v>0</v>
      </c>
      <c r="U720" s="21" t="s">
        <v>24</v>
      </c>
      <c r="V720" s="22">
        <f>IFERROR(RAW[[#This Row],[ACTUAL GROSS]]/RAW[[#This Row],[CONVERTED]],0)</f>
        <v>0</v>
      </c>
      <c r="W720" s="22">
        <f>IFERROR(RAW[[#This Row],[SALES]]/RAW[[#This Row],[HOURLY PAY]],0)</f>
        <v>0</v>
      </c>
    </row>
    <row r="721" spans="1:23" x14ac:dyDescent="0.35">
      <c r="A721" s="50">
        <v>45450</v>
      </c>
      <c r="B721" s="51" t="s">
        <v>25</v>
      </c>
      <c r="C721" s="52" t="s">
        <v>22</v>
      </c>
      <c r="D721" s="14" t="s">
        <v>27</v>
      </c>
      <c r="E721" s="53">
        <v>0</v>
      </c>
      <c r="F721" s="53">
        <v>0</v>
      </c>
      <c r="G721" s="53">
        <v>0</v>
      </c>
      <c r="H721" s="53">
        <v>0</v>
      </c>
      <c r="I721" s="53">
        <v>0</v>
      </c>
      <c r="J721" s="53">
        <v>0</v>
      </c>
      <c r="K721" s="53">
        <v>0</v>
      </c>
      <c r="L721" s="54">
        <v>0</v>
      </c>
      <c r="M721" s="54">
        <v>0</v>
      </c>
      <c r="N721" s="55">
        <v>0</v>
      </c>
      <c r="O721" s="53">
        <v>0</v>
      </c>
      <c r="P721" s="53">
        <v>0</v>
      </c>
      <c r="Q721" s="56">
        <v>0</v>
      </c>
      <c r="R721" s="34">
        <v>0</v>
      </c>
      <c r="S721" s="34">
        <v>0</v>
      </c>
      <c r="T721" s="20">
        <v>0</v>
      </c>
      <c r="U721" s="21" t="s">
        <v>24</v>
      </c>
      <c r="V721" s="31">
        <f>IFERROR(RAW[[#This Row],[ACTUAL GROSS]]/RAW[[#This Row],[CONVERTED]],0)</f>
        <v>0</v>
      </c>
      <c r="W721" s="22">
        <f>IFERROR(RAW[[#This Row],[SALES]]/RAW[[#This Row],[HOURLY PAY]],0)</f>
        <v>0</v>
      </c>
    </row>
    <row r="722" spans="1:23" x14ac:dyDescent="0.35">
      <c r="A722" s="50">
        <v>45451</v>
      </c>
      <c r="B722" s="51" t="s">
        <v>21</v>
      </c>
      <c r="C722" s="52" t="s">
        <v>22</v>
      </c>
      <c r="D722" s="14" t="s">
        <v>28</v>
      </c>
      <c r="E722" s="53">
        <v>1216</v>
      </c>
      <c r="F722" s="53">
        <v>223</v>
      </c>
      <c r="G722" s="53">
        <v>41</v>
      </c>
      <c r="H722" s="53">
        <v>48.64</v>
      </c>
      <c r="I722" s="53">
        <v>3.7464</v>
      </c>
      <c r="J722" s="53">
        <v>6.24</v>
      </c>
      <c r="K722" s="53">
        <v>170.61359999999999</v>
      </c>
      <c r="L722" s="54">
        <v>5</v>
      </c>
      <c r="M722" s="54">
        <v>7</v>
      </c>
      <c r="N722" s="55">
        <v>5.1166666666666663</v>
      </c>
      <c r="O722" s="53">
        <v>10.898499999999999</v>
      </c>
      <c r="P722" s="53">
        <v>187.75209999999998</v>
      </c>
      <c r="Q722" s="56">
        <v>222.51209999999998</v>
      </c>
      <c r="R722" s="34">
        <v>1</v>
      </c>
      <c r="S722" s="34">
        <v>1</v>
      </c>
      <c r="T722" s="20">
        <v>0</v>
      </c>
      <c r="U722" s="21" t="s">
        <v>34</v>
      </c>
      <c r="V722" s="22">
        <f>IFERROR(RAW[[#This Row],[ACTUAL GROSS]]/RAW[[#This Row],[CONVERTED]],0)</f>
        <v>43.487706840390878</v>
      </c>
      <c r="W722" s="22">
        <f>IFERROR(RAW[[#This Row],[SALES]]/RAW[[#This Row],[HOURLY PAY]],0)</f>
        <v>111.57498738358491</v>
      </c>
    </row>
    <row r="723" spans="1:23" x14ac:dyDescent="0.35">
      <c r="A723" s="50">
        <v>45451</v>
      </c>
      <c r="B723" s="51" t="s">
        <v>25</v>
      </c>
      <c r="C723" s="52" t="s">
        <v>22</v>
      </c>
      <c r="D723" s="14" t="s">
        <v>28</v>
      </c>
      <c r="E723" s="53">
        <v>1351</v>
      </c>
      <c r="F723" s="53">
        <v>191.72</v>
      </c>
      <c r="G723" s="53">
        <v>94</v>
      </c>
      <c r="H723" s="53">
        <v>54.04</v>
      </c>
      <c r="I723" s="53">
        <v>3.2208959999999998</v>
      </c>
      <c r="J723" s="53">
        <v>11.84</v>
      </c>
      <c r="K723" s="53">
        <v>134.459104</v>
      </c>
      <c r="L723" s="54">
        <v>4</v>
      </c>
      <c r="M723" s="54">
        <v>2</v>
      </c>
      <c r="N723" s="55">
        <v>4.0333333333333332</v>
      </c>
      <c r="O723" s="53">
        <v>8.5909999999999993</v>
      </c>
      <c r="P723" s="53">
        <v>154.89010400000001</v>
      </c>
      <c r="Q723" s="56">
        <v>237.050104</v>
      </c>
      <c r="R723" s="34">
        <v>1</v>
      </c>
      <c r="S723" s="34">
        <v>0</v>
      </c>
      <c r="T723" s="20">
        <v>1</v>
      </c>
      <c r="U723" s="21" t="s">
        <v>34</v>
      </c>
      <c r="V723" s="22">
        <f>IFERROR(RAW[[#This Row],[ACTUAL GROSS]]/RAW[[#This Row],[CONVERTED]],0)</f>
        <v>58.77275305785124</v>
      </c>
      <c r="W723" s="22">
        <f>IFERROR(RAW[[#This Row],[SALES]]/RAW[[#This Row],[HOURLY PAY]],0)</f>
        <v>157.25759515772322</v>
      </c>
    </row>
    <row r="724" spans="1:23" x14ac:dyDescent="0.35">
      <c r="A724" s="50">
        <v>45452</v>
      </c>
      <c r="B724" s="51" t="s">
        <v>21</v>
      </c>
      <c r="C724" s="52" t="s">
        <v>22</v>
      </c>
      <c r="D724" s="14" t="s">
        <v>29</v>
      </c>
      <c r="E724" s="53">
        <v>615.5</v>
      </c>
      <c r="F724" s="53">
        <v>110.05500000000001</v>
      </c>
      <c r="G724" s="53">
        <v>19</v>
      </c>
      <c r="H724" s="53">
        <v>24.62</v>
      </c>
      <c r="I724" s="53">
        <v>1.848924</v>
      </c>
      <c r="J724" s="53">
        <v>0</v>
      </c>
      <c r="K724" s="53">
        <v>83.586076000000006</v>
      </c>
      <c r="L724" s="54">
        <v>4</v>
      </c>
      <c r="M724" s="54">
        <v>1</v>
      </c>
      <c r="N724" s="55">
        <v>4.0166666666666666</v>
      </c>
      <c r="O724" s="53">
        <v>8.5555000000000003</v>
      </c>
      <c r="P724" s="53">
        <v>92.141576000000001</v>
      </c>
      <c r="Q724" s="56">
        <v>111.141576</v>
      </c>
      <c r="R724" s="34">
        <v>1</v>
      </c>
      <c r="S724" s="34">
        <v>1</v>
      </c>
      <c r="T724" s="20">
        <v>0</v>
      </c>
      <c r="U724" s="21" t="s">
        <v>34</v>
      </c>
      <c r="V724" s="42">
        <f>IFERROR(RAW[[#This Row],[ACTUAL GROSS]]/RAW[[#This Row],[CONVERTED]],0)</f>
        <v>27.670101908713693</v>
      </c>
      <c r="W724" s="22">
        <f>IFERROR(RAW[[#This Row],[SALES]]/RAW[[#This Row],[HOURLY PAY]],0)</f>
        <v>71.942025597568815</v>
      </c>
    </row>
    <row r="725" spans="1:23" x14ac:dyDescent="0.35">
      <c r="A725" s="50">
        <v>45452</v>
      </c>
      <c r="B725" s="51" t="s">
        <v>25</v>
      </c>
      <c r="C725" s="52" t="s">
        <v>22</v>
      </c>
      <c r="D725" s="14" t="s">
        <v>29</v>
      </c>
      <c r="E725" s="53">
        <v>615.5</v>
      </c>
      <c r="F725" s="53">
        <v>110.05500000000001</v>
      </c>
      <c r="G725" s="53">
        <v>19</v>
      </c>
      <c r="H725" s="53">
        <v>24.62</v>
      </c>
      <c r="I725" s="53">
        <v>1.848924</v>
      </c>
      <c r="J725" s="53">
        <v>0</v>
      </c>
      <c r="K725" s="53">
        <v>83.586076000000006</v>
      </c>
      <c r="L725" s="54">
        <v>4</v>
      </c>
      <c r="M725" s="54">
        <v>1</v>
      </c>
      <c r="N725" s="55">
        <v>4.0166666666666666</v>
      </c>
      <c r="O725" s="53">
        <v>8.5555000000000003</v>
      </c>
      <c r="P725" s="53">
        <v>92.141576000000001</v>
      </c>
      <c r="Q725" s="56">
        <v>111.141576</v>
      </c>
      <c r="R725" s="34">
        <v>1</v>
      </c>
      <c r="S725" s="34">
        <v>0</v>
      </c>
      <c r="T725" s="20">
        <v>1</v>
      </c>
      <c r="U725" s="21" t="s">
        <v>34</v>
      </c>
      <c r="V725" s="22">
        <f>IFERROR(RAW[[#This Row],[ACTUAL GROSS]]/RAW[[#This Row],[CONVERTED]],0)</f>
        <v>27.670101908713693</v>
      </c>
      <c r="W725" s="22">
        <f>IFERROR(RAW[[#This Row],[SALES]]/RAW[[#This Row],[HOURLY PAY]],0)</f>
        <v>71.942025597568815</v>
      </c>
    </row>
    <row r="726" spans="1:23" x14ac:dyDescent="0.35">
      <c r="A726" s="50">
        <v>45453</v>
      </c>
      <c r="B726" s="51" t="s">
        <v>21</v>
      </c>
      <c r="C726" s="52" t="s">
        <v>22</v>
      </c>
      <c r="D726" s="14" t="s">
        <v>30</v>
      </c>
      <c r="E726" s="53">
        <v>0</v>
      </c>
      <c r="F726" s="53">
        <v>0</v>
      </c>
      <c r="G726" s="53">
        <v>0</v>
      </c>
      <c r="H726" s="53">
        <v>0</v>
      </c>
      <c r="I726" s="53">
        <v>0</v>
      </c>
      <c r="J726" s="53">
        <v>0</v>
      </c>
      <c r="K726" s="53">
        <v>0</v>
      </c>
      <c r="L726" s="54">
        <v>0</v>
      </c>
      <c r="M726" s="54">
        <v>0</v>
      </c>
      <c r="N726" s="55">
        <v>0</v>
      </c>
      <c r="O726" s="53">
        <v>0</v>
      </c>
      <c r="P726" s="53">
        <v>0</v>
      </c>
      <c r="Q726" s="56">
        <v>0</v>
      </c>
      <c r="R726" s="34">
        <v>0</v>
      </c>
      <c r="S726" s="34">
        <v>0</v>
      </c>
      <c r="T726" s="20">
        <v>0</v>
      </c>
      <c r="U726" s="21" t="s">
        <v>24</v>
      </c>
      <c r="V726" s="239">
        <f>IFERROR(RAW[[#This Row],[ACTUAL GROSS]]/RAW[[#This Row],[CONVERTED]],0)</f>
        <v>0</v>
      </c>
      <c r="W726" s="22">
        <f>IFERROR(RAW[[#This Row],[SALES]]/RAW[[#This Row],[HOURLY PAY]],0)</f>
        <v>0</v>
      </c>
    </row>
    <row r="727" spans="1:23" x14ac:dyDescent="0.35">
      <c r="A727" s="50">
        <v>45453</v>
      </c>
      <c r="B727" s="51" t="s">
        <v>25</v>
      </c>
      <c r="C727" s="52" t="s">
        <v>22</v>
      </c>
      <c r="D727" s="14" t="s">
        <v>30</v>
      </c>
      <c r="E727" s="53">
        <v>0</v>
      </c>
      <c r="F727" s="53">
        <v>0</v>
      </c>
      <c r="G727" s="53">
        <v>0</v>
      </c>
      <c r="H727" s="53">
        <v>0</v>
      </c>
      <c r="I727" s="53">
        <v>0</v>
      </c>
      <c r="J727" s="53">
        <v>0</v>
      </c>
      <c r="K727" s="53">
        <v>0</v>
      </c>
      <c r="L727" s="54">
        <v>0</v>
      </c>
      <c r="M727" s="54">
        <v>0</v>
      </c>
      <c r="N727" s="55">
        <v>0</v>
      </c>
      <c r="O727" s="53">
        <v>0</v>
      </c>
      <c r="P727" s="53">
        <v>0</v>
      </c>
      <c r="Q727" s="56">
        <v>0</v>
      </c>
      <c r="R727" s="34">
        <v>0</v>
      </c>
      <c r="S727" s="34">
        <v>0</v>
      </c>
      <c r="T727" s="20">
        <v>0</v>
      </c>
      <c r="U727" s="21" t="s">
        <v>24</v>
      </c>
      <c r="V727" s="22">
        <f>IFERROR(RAW[[#This Row],[ACTUAL GROSS]]/RAW[[#This Row],[CONVERTED]],0)</f>
        <v>0</v>
      </c>
      <c r="W727" s="22">
        <f>IFERROR(RAW[[#This Row],[SALES]]/RAW[[#This Row],[HOURLY PAY]],0)</f>
        <v>0</v>
      </c>
    </row>
    <row r="728" spans="1:23" x14ac:dyDescent="0.35">
      <c r="A728" s="50">
        <v>45454</v>
      </c>
      <c r="B728" s="51" t="s">
        <v>21</v>
      </c>
      <c r="C728" s="52" t="s">
        <v>22</v>
      </c>
      <c r="D728" s="14" t="s">
        <v>31</v>
      </c>
      <c r="E728" s="53">
        <v>0</v>
      </c>
      <c r="F728" s="53">
        <v>0</v>
      </c>
      <c r="G728" s="53">
        <v>0</v>
      </c>
      <c r="H728" s="53">
        <v>0</v>
      </c>
      <c r="I728" s="53">
        <v>0</v>
      </c>
      <c r="J728" s="53">
        <v>0</v>
      </c>
      <c r="K728" s="53">
        <v>0</v>
      </c>
      <c r="L728" s="54">
        <v>0</v>
      </c>
      <c r="M728" s="54">
        <v>0</v>
      </c>
      <c r="N728" s="55">
        <v>0</v>
      </c>
      <c r="O728" s="53">
        <v>0</v>
      </c>
      <c r="P728" s="53">
        <v>0</v>
      </c>
      <c r="Q728" s="56">
        <v>0</v>
      </c>
      <c r="R728" s="34">
        <v>0</v>
      </c>
      <c r="S728" s="34">
        <v>0</v>
      </c>
      <c r="T728" s="20">
        <v>0</v>
      </c>
      <c r="U728" s="21" t="s">
        <v>24</v>
      </c>
      <c r="V728" s="22">
        <f>IFERROR(RAW[[#This Row],[ACTUAL GROSS]]/RAW[[#This Row],[CONVERTED]],0)</f>
        <v>0</v>
      </c>
      <c r="W728" s="22">
        <f>IFERROR(RAW[[#This Row],[SALES]]/RAW[[#This Row],[HOURLY PAY]],0)</f>
        <v>0</v>
      </c>
    </row>
    <row r="729" spans="1:23" x14ac:dyDescent="0.35">
      <c r="A729" s="50">
        <v>45454</v>
      </c>
      <c r="B729" s="51" t="s">
        <v>25</v>
      </c>
      <c r="C729" s="52" t="s">
        <v>22</v>
      </c>
      <c r="D729" s="14" t="s">
        <v>31</v>
      </c>
      <c r="E729" s="53">
        <v>0</v>
      </c>
      <c r="F729" s="53">
        <v>0</v>
      </c>
      <c r="G729" s="53">
        <v>0</v>
      </c>
      <c r="H729" s="53">
        <v>0</v>
      </c>
      <c r="I729" s="53">
        <v>0</v>
      </c>
      <c r="J729" s="53">
        <v>0</v>
      </c>
      <c r="K729" s="53">
        <v>0</v>
      </c>
      <c r="L729" s="54">
        <v>0</v>
      </c>
      <c r="M729" s="54">
        <v>0</v>
      </c>
      <c r="N729" s="55">
        <v>0</v>
      </c>
      <c r="O729" s="53">
        <v>0</v>
      </c>
      <c r="P729" s="53">
        <v>0</v>
      </c>
      <c r="Q729" s="56">
        <v>0</v>
      </c>
      <c r="R729" s="34">
        <v>0</v>
      </c>
      <c r="S729" s="34">
        <v>0</v>
      </c>
      <c r="T729" s="20">
        <v>0</v>
      </c>
      <c r="U729" s="21" t="s">
        <v>24</v>
      </c>
      <c r="V729" s="22">
        <f>IFERROR(RAW[[#This Row],[ACTUAL GROSS]]/RAW[[#This Row],[CONVERTED]],0)</f>
        <v>0</v>
      </c>
      <c r="W729" s="22">
        <f>IFERROR(RAW[[#This Row],[SALES]]/RAW[[#This Row],[HOURLY PAY]],0)</f>
        <v>0</v>
      </c>
    </row>
    <row r="730" spans="1:23" s="61" customFormat="1" x14ac:dyDescent="0.35">
      <c r="A730" s="50">
        <v>45455</v>
      </c>
      <c r="B730" s="51" t="s">
        <v>21</v>
      </c>
      <c r="C730" s="52" t="s">
        <v>22</v>
      </c>
      <c r="D730" s="14" t="s">
        <v>23</v>
      </c>
      <c r="E730" s="53">
        <v>0</v>
      </c>
      <c r="F730" s="53">
        <v>0</v>
      </c>
      <c r="G730" s="53">
        <v>0</v>
      </c>
      <c r="H730" s="53">
        <v>0</v>
      </c>
      <c r="I730" s="53">
        <v>0</v>
      </c>
      <c r="J730" s="53">
        <v>0</v>
      </c>
      <c r="K730" s="53">
        <v>0</v>
      </c>
      <c r="L730" s="54">
        <v>0</v>
      </c>
      <c r="M730" s="54">
        <v>0</v>
      </c>
      <c r="N730" s="55">
        <v>0</v>
      </c>
      <c r="O730" s="53">
        <v>0</v>
      </c>
      <c r="P730" s="53">
        <v>0</v>
      </c>
      <c r="Q730" s="56">
        <v>0</v>
      </c>
      <c r="R730" s="34">
        <v>0</v>
      </c>
      <c r="S730" s="34">
        <v>0</v>
      </c>
      <c r="T730" s="20">
        <v>0</v>
      </c>
      <c r="U730" s="21" t="s">
        <v>24</v>
      </c>
      <c r="V730" s="238">
        <f>IFERROR(RAW[[#This Row],[ACTUAL GROSS]]/RAW[[#This Row],[CONVERTED]],0)</f>
        <v>0</v>
      </c>
      <c r="W730" s="243">
        <f>IFERROR(RAW[[#This Row],[SALES]]/RAW[[#This Row],[HOURLY PAY]],0)</f>
        <v>0</v>
      </c>
    </row>
    <row r="731" spans="1:23" x14ac:dyDescent="0.35">
      <c r="A731" s="50">
        <v>45455</v>
      </c>
      <c r="B731" s="51" t="s">
        <v>25</v>
      </c>
      <c r="C731" s="52" t="s">
        <v>22</v>
      </c>
      <c r="D731" s="14" t="s">
        <v>23</v>
      </c>
      <c r="E731" s="53">
        <v>0</v>
      </c>
      <c r="F731" s="53">
        <v>0</v>
      </c>
      <c r="G731" s="53">
        <v>0</v>
      </c>
      <c r="H731" s="53">
        <v>0</v>
      </c>
      <c r="I731" s="53">
        <v>0</v>
      </c>
      <c r="J731" s="53">
        <v>0</v>
      </c>
      <c r="K731" s="53">
        <v>0</v>
      </c>
      <c r="L731" s="54">
        <v>0</v>
      </c>
      <c r="M731" s="54">
        <v>0</v>
      </c>
      <c r="N731" s="55">
        <v>0</v>
      </c>
      <c r="O731" s="53">
        <v>0</v>
      </c>
      <c r="P731" s="53">
        <v>0</v>
      </c>
      <c r="Q731" s="56">
        <v>0</v>
      </c>
      <c r="R731" s="34">
        <v>0</v>
      </c>
      <c r="S731" s="34">
        <v>0</v>
      </c>
      <c r="T731" s="20">
        <v>0</v>
      </c>
      <c r="U731" s="21" t="s">
        <v>24</v>
      </c>
      <c r="V731" s="22">
        <f>IFERROR(RAW[[#This Row],[ACTUAL GROSS]]/RAW[[#This Row],[CONVERTED]],0)</f>
        <v>0</v>
      </c>
      <c r="W731" s="22">
        <f>IFERROR(RAW[[#This Row],[SALES]]/RAW[[#This Row],[HOURLY PAY]],0)</f>
        <v>0</v>
      </c>
    </row>
    <row r="732" spans="1:23" x14ac:dyDescent="0.35">
      <c r="A732" s="50">
        <v>45456</v>
      </c>
      <c r="B732" s="51" t="s">
        <v>21</v>
      </c>
      <c r="C732" s="52" t="s">
        <v>22</v>
      </c>
      <c r="D732" s="14" t="s">
        <v>26</v>
      </c>
      <c r="E732" s="53">
        <v>0</v>
      </c>
      <c r="F732" s="53">
        <v>0</v>
      </c>
      <c r="G732" s="53">
        <v>0</v>
      </c>
      <c r="H732" s="53">
        <v>0</v>
      </c>
      <c r="I732" s="53">
        <v>0</v>
      </c>
      <c r="J732" s="53">
        <v>0</v>
      </c>
      <c r="K732" s="53">
        <v>0</v>
      </c>
      <c r="L732" s="54">
        <v>0</v>
      </c>
      <c r="M732" s="54">
        <v>0</v>
      </c>
      <c r="N732" s="55">
        <v>0</v>
      </c>
      <c r="O732" s="53">
        <v>0</v>
      </c>
      <c r="P732" s="53">
        <v>0</v>
      </c>
      <c r="Q732" s="56">
        <v>0</v>
      </c>
      <c r="R732" s="34">
        <v>0</v>
      </c>
      <c r="S732" s="34">
        <v>0</v>
      </c>
      <c r="T732" s="20">
        <v>0</v>
      </c>
      <c r="U732" s="21" t="s">
        <v>24</v>
      </c>
      <c r="V732" s="22">
        <f>IFERROR(RAW[[#This Row],[ACTUAL GROSS]]/RAW[[#This Row],[CONVERTED]],0)</f>
        <v>0</v>
      </c>
      <c r="W732" s="22">
        <f>IFERROR(RAW[[#This Row],[SALES]]/RAW[[#This Row],[HOURLY PAY]],0)</f>
        <v>0</v>
      </c>
    </row>
    <row r="733" spans="1:23" x14ac:dyDescent="0.35">
      <c r="A733" s="50">
        <v>45456</v>
      </c>
      <c r="B733" s="51" t="s">
        <v>25</v>
      </c>
      <c r="C733" s="52" t="s">
        <v>22</v>
      </c>
      <c r="D733" s="62" t="s">
        <v>26</v>
      </c>
      <c r="E733" s="53">
        <v>0</v>
      </c>
      <c r="F733" s="53">
        <v>0</v>
      </c>
      <c r="G733" s="53">
        <v>0</v>
      </c>
      <c r="H733" s="53">
        <v>0</v>
      </c>
      <c r="I733" s="53">
        <v>0</v>
      </c>
      <c r="J733" s="53">
        <v>0</v>
      </c>
      <c r="K733" s="53">
        <v>0</v>
      </c>
      <c r="L733" s="54">
        <v>0</v>
      </c>
      <c r="M733" s="54">
        <v>0</v>
      </c>
      <c r="N733" s="55">
        <v>0</v>
      </c>
      <c r="O733" s="53">
        <v>0</v>
      </c>
      <c r="P733" s="53">
        <v>0</v>
      </c>
      <c r="Q733" s="56">
        <v>0</v>
      </c>
      <c r="R733" s="34">
        <v>0</v>
      </c>
      <c r="S733" s="34">
        <v>0</v>
      </c>
      <c r="T733" s="20"/>
      <c r="U733" s="21" t="s">
        <v>24</v>
      </c>
      <c r="V733" s="44">
        <f>IFERROR(RAW[[#This Row],[ACTUAL GROSS]]/RAW[[#This Row],[CONVERTED]],0)</f>
        <v>0</v>
      </c>
      <c r="W733" s="22">
        <f>IFERROR(RAW[[#This Row],[SALES]]/RAW[[#This Row],[HOURLY PAY]],0)</f>
        <v>0</v>
      </c>
    </row>
    <row r="734" spans="1:23" x14ac:dyDescent="0.35">
      <c r="A734" s="63"/>
      <c r="B734" s="64"/>
      <c r="C734" s="63"/>
      <c r="D734" s="63"/>
      <c r="E734" s="65"/>
      <c r="F734" s="65"/>
      <c r="G734" s="65"/>
      <c r="H734" s="65"/>
      <c r="I734" s="65"/>
      <c r="J734" s="65"/>
      <c r="K734" s="65"/>
      <c r="L734" s="34"/>
      <c r="M734" s="34"/>
      <c r="N734" s="66"/>
      <c r="O734" s="65"/>
      <c r="P734" s="65"/>
      <c r="Q734" s="65"/>
      <c r="T734" s="20"/>
      <c r="U734" s="21"/>
      <c r="V734" s="37"/>
      <c r="W734" s="63"/>
    </row>
    <row r="735" spans="1:23" x14ac:dyDescent="0.35">
      <c r="A735" s="63"/>
      <c r="B735" s="64"/>
      <c r="C735" s="63"/>
      <c r="D735" s="63"/>
      <c r="E735" s="65"/>
      <c r="F735" s="65"/>
      <c r="G735" s="65"/>
      <c r="H735" s="65"/>
      <c r="I735" s="65"/>
      <c r="J735" s="65"/>
      <c r="K735" s="65"/>
      <c r="L735" s="34"/>
      <c r="M735" s="34"/>
      <c r="N735" s="66"/>
      <c r="O735" s="65"/>
      <c r="P735" s="65"/>
      <c r="Q735" s="65"/>
      <c r="T735" s="20"/>
      <c r="U735" s="21"/>
      <c r="V735" s="66"/>
      <c r="W735" s="63"/>
    </row>
    <row r="736" spans="1:23" x14ac:dyDescent="0.35">
      <c r="A736" s="63"/>
      <c r="B736" s="64"/>
      <c r="C736" s="63"/>
      <c r="D736" s="63"/>
      <c r="E736" s="65"/>
      <c r="F736" s="65"/>
      <c r="G736" s="65"/>
      <c r="H736" s="65"/>
      <c r="I736" s="65"/>
      <c r="J736" s="65"/>
      <c r="K736" s="65"/>
      <c r="L736" s="34"/>
      <c r="M736" s="34"/>
      <c r="N736" s="66"/>
      <c r="O736" s="65"/>
      <c r="P736" s="65"/>
      <c r="Q736" s="65"/>
      <c r="T736" s="20"/>
      <c r="U736" s="21"/>
      <c r="V736" s="65"/>
      <c r="W736" s="63"/>
    </row>
    <row r="737" spans="1:23" x14ac:dyDescent="0.35">
      <c r="A737" s="63"/>
      <c r="B737" s="64"/>
      <c r="C737" s="63"/>
      <c r="D737" s="63"/>
      <c r="E737" s="65"/>
      <c r="F737" s="65"/>
      <c r="G737" s="65"/>
      <c r="H737" s="65"/>
      <c r="I737" s="65"/>
      <c r="J737" s="65"/>
      <c r="K737" s="65"/>
      <c r="L737" s="34"/>
      <c r="M737" s="34"/>
      <c r="N737" s="66"/>
      <c r="O737" s="65"/>
      <c r="P737" s="65"/>
      <c r="Q737" s="65"/>
      <c r="T737" s="20"/>
      <c r="U737" s="21"/>
      <c r="V737" s="37"/>
      <c r="W737" s="63"/>
    </row>
    <row r="738" spans="1:23" x14ac:dyDescent="0.35">
      <c r="A738" s="63"/>
      <c r="B738" s="64"/>
      <c r="C738" s="63"/>
      <c r="D738" s="63"/>
      <c r="E738" s="65"/>
      <c r="F738" s="65"/>
      <c r="G738" s="65"/>
      <c r="H738" s="65"/>
      <c r="I738" s="65"/>
      <c r="J738" s="65"/>
      <c r="K738" s="65"/>
      <c r="L738" s="34"/>
      <c r="M738" s="34"/>
      <c r="N738" s="66"/>
      <c r="O738" s="65"/>
      <c r="P738" s="65"/>
      <c r="Q738" s="65"/>
      <c r="T738" s="20"/>
      <c r="U738" s="21"/>
      <c r="V738" s="67"/>
      <c r="W738" s="63"/>
    </row>
    <row r="739" spans="1:23" x14ac:dyDescent="0.35">
      <c r="A739" s="63"/>
      <c r="B739" s="64"/>
      <c r="C739" s="63"/>
      <c r="D739" s="63"/>
      <c r="E739" s="65"/>
      <c r="F739" s="65"/>
      <c r="G739" s="65"/>
      <c r="H739" s="65"/>
      <c r="I739" s="65"/>
      <c r="J739" s="65"/>
      <c r="K739" s="65"/>
      <c r="L739" s="34"/>
      <c r="M739" s="34"/>
      <c r="N739" s="66"/>
      <c r="O739" s="65"/>
      <c r="P739" s="65"/>
      <c r="Q739" s="65"/>
      <c r="T739" s="20"/>
      <c r="U739" s="21"/>
      <c r="V739" s="65"/>
      <c r="W739" s="63"/>
    </row>
    <row r="740" spans="1:23" x14ac:dyDescent="0.35">
      <c r="A740" s="63"/>
      <c r="B740" s="64"/>
      <c r="C740" s="63"/>
      <c r="D740" s="63"/>
      <c r="E740" s="65"/>
      <c r="F740" s="65"/>
      <c r="G740" s="65"/>
      <c r="H740" s="65"/>
      <c r="I740" s="65"/>
      <c r="J740" s="65"/>
      <c r="K740" s="65"/>
      <c r="L740" s="34"/>
      <c r="M740" s="34"/>
      <c r="N740" s="66"/>
      <c r="O740" s="65"/>
      <c r="P740" s="65"/>
      <c r="Q740" s="65"/>
      <c r="T740" s="20"/>
      <c r="U740" s="21"/>
      <c r="V740" s="68"/>
      <c r="W740" s="63"/>
    </row>
    <row r="741" spans="1:23" x14ac:dyDescent="0.35">
      <c r="A741" s="63"/>
      <c r="B741" s="64"/>
      <c r="C741" s="63"/>
      <c r="D741" s="63"/>
      <c r="E741" s="65"/>
      <c r="F741" s="65"/>
      <c r="G741" s="65"/>
      <c r="H741" s="65"/>
      <c r="I741" s="65"/>
      <c r="J741" s="65"/>
      <c r="K741" s="65"/>
      <c r="L741" s="34"/>
      <c r="M741" s="34"/>
      <c r="N741" s="66"/>
      <c r="O741" s="65"/>
      <c r="P741" s="65"/>
      <c r="Q741" s="65"/>
      <c r="T741" s="20"/>
      <c r="U741" s="21"/>
      <c r="V741" s="37"/>
      <c r="W741" s="63"/>
    </row>
    <row r="742" spans="1:23" x14ac:dyDescent="0.35">
      <c r="A742" s="63"/>
      <c r="B742" s="64"/>
      <c r="C742" s="63"/>
      <c r="D742" s="63"/>
      <c r="E742" s="65"/>
      <c r="F742" s="65"/>
      <c r="G742" s="65"/>
      <c r="H742" s="65"/>
      <c r="I742" s="65"/>
      <c r="J742" s="65"/>
      <c r="K742" s="65"/>
      <c r="L742" s="34"/>
      <c r="M742" s="34"/>
      <c r="N742" s="66"/>
      <c r="O742" s="65"/>
      <c r="P742" s="65"/>
      <c r="Q742" s="65"/>
      <c r="T742" s="20"/>
      <c r="U742" s="21"/>
      <c r="V742" s="37"/>
      <c r="W742" s="63"/>
    </row>
    <row r="743" spans="1:23" x14ac:dyDescent="0.35">
      <c r="A743" s="63"/>
      <c r="B743" s="64"/>
      <c r="C743" s="63"/>
      <c r="D743" s="63"/>
      <c r="E743" s="65"/>
      <c r="F743" s="65"/>
      <c r="G743" s="65"/>
      <c r="H743" s="65"/>
      <c r="I743" s="65"/>
      <c r="J743" s="65"/>
      <c r="K743" s="65"/>
      <c r="L743" s="34"/>
      <c r="M743" s="34"/>
      <c r="N743" s="66"/>
      <c r="O743" s="65"/>
      <c r="P743" s="65"/>
      <c r="Q743" s="65"/>
      <c r="T743" s="20"/>
      <c r="U743" s="21"/>
      <c r="V743" s="37"/>
      <c r="W743" s="63"/>
    </row>
    <row r="744" spans="1:23" s="61" customFormat="1" x14ac:dyDescent="0.35">
      <c r="A744" s="63"/>
      <c r="B744" s="64"/>
      <c r="C744" s="63"/>
      <c r="D744" s="63"/>
      <c r="E744" s="65"/>
      <c r="F744" s="65"/>
      <c r="G744" s="65"/>
      <c r="H744" s="65"/>
      <c r="I744" s="65"/>
      <c r="J744" s="65"/>
      <c r="K744" s="65"/>
      <c r="L744" s="34"/>
      <c r="M744" s="34"/>
      <c r="N744" s="66"/>
      <c r="O744" s="65"/>
      <c r="P744" s="65"/>
      <c r="Q744" s="65"/>
      <c r="R744" s="34"/>
      <c r="S744" s="34"/>
      <c r="T744" s="20"/>
      <c r="U744" s="21"/>
      <c r="V744" s="37"/>
      <c r="W744" s="63"/>
    </row>
    <row r="745" spans="1:23" x14ac:dyDescent="0.35">
      <c r="A745" s="63"/>
      <c r="B745" s="64"/>
      <c r="C745" s="63"/>
      <c r="D745" s="63"/>
      <c r="E745" s="65"/>
      <c r="F745" s="65"/>
      <c r="G745" s="65"/>
      <c r="H745" s="65"/>
      <c r="I745" s="65"/>
      <c r="J745" s="65"/>
      <c r="K745" s="65"/>
      <c r="L745" s="34"/>
      <c r="M745" s="34"/>
      <c r="N745" s="66"/>
      <c r="O745" s="65"/>
      <c r="P745" s="65"/>
      <c r="Q745" s="65"/>
      <c r="T745" s="20"/>
      <c r="U745" s="21"/>
      <c r="V745" s="37"/>
      <c r="W745" s="63"/>
    </row>
    <row r="746" spans="1:23" x14ac:dyDescent="0.35">
      <c r="A746" s="63"/>
      <c r="B746" s="64"/>
      <c r="C746" s="63"/>
      <c r="D746" s="63"/>
      <c r="E746" s="65"/>
      <c r="F746" s="65"/>
      <c r="G746" s="65"/>
      <c r="H746" s="65"/>
      <c r="I746" s="65"/>
      <c r="J746" s="65"/>
      <c r="K746" s="65"/>
      <c r="L746" s="34"/>
      <c r="M746" s="34"/>
      <c r="N746" s="66"/>
      <c r="O746" s="65"/>
      <c r="P746" s="65"/>
      <c r="Q746" s="65"/>
      <c r="T746" s="20"/>
      <c r="U746" s="21"/>
      <c r="V746" s="37"/>
      <c r="W746" s="63"/>
    </row>
    <row r="747" spans="1:23" x14ac:dyDescent="0.35">
      <c r="A747" s="63"/>
      <c r="B747" s="64"/>
      <c r="C747" s="63"/>
      <c r="D747" s="63"/>
      <c r="E747" s="65"/>
      <c r="F747" s="65"/>
      <c r="G747" s="65"/>
      <c r="H747" s="65"/>
      <c r="I747" s="65"/>
      <c r="J747" s="65"/>
      <c r="K747" s="65"/>
      <c r="L747" s="34"/>
      <c r="M747" s="34"/>
      <c r="N747" s="66"/>
      <c r="O747" s="65"/>
      <c r="P747" s="65"/>
      <c r="Q747" s="65"/>
      <c r="T747" s="20"/>
      <c r="U747" s="21"/>
      <c r="V747" s="37"/>
      <c r="W747" s="63"/>
    </row>
    <row r="748" spans="1:23" x14ac:dyDescent="0.35">
      <c r="A748" s="63"/>
      <c r="B748" s="64"/>
      <c r="C748" s="63"/>
      <c r="D748" s="63"/>
      <c r="E748" s="65"/>
      <c r="F748" s="65"/>
      <c r="G748" s="65"/>
      <c r="H748" s="65"/>
      <c r="I748" s="65"/>
      <c r="J748" s="65"/>
      <c r="K748" s="65"/>
      <c r="L748" s="34"/>
      <c r="M748" s="34"/>
      <c r="N748" s="66"/>
      <c r="O748" s="65"/>
      <c r="P748" s="65"/>
      <c r="Q748" s="65"/>
      <c r="T748" s="20"/>
      <c r="U748" s="21"/>
      <c r="V748" s="37"/>
      <c r="W748" s="63"/>
    </row>
    <row r="749" spans="1:23" x14ac:dyDescent="0.35">
      <c r="A749" s="63"/>
      <c r="B749" s="64"/>
      <c r="C749" s="63"/>
      <c r="D749" s="63"/>
      <c r="E749" s="65"/>
      <c r="F749" s="65"/>
      <c r="G749" s="65"/>
      <c r="H749" s="65"/>
      <c r="I749" s="65"/>
      <c r="J749" s="65"/>
      <c r="K749" s="65"/>
      <c r="L749" s="34"/>
      <c r="M749" s="34"/>
      <c r="N749" s="66"/>
      <c r="O749" s="65"/>
      <c r="P749" s="65"/>
      <c r="Q749" s="65"/>
      <c r="T749" s="20"/>
      <c r="U749" s="21"/>
      <c r="V749" s="37"/>
      <c r="W749" s="63"/>
    </row>
    <row r="750" spans="1:23" x14ac:dyDescent="0.35">
      <c r="A750" s="63"/>
      <c r="B750" s="64"/>
      <c r="C750" s="63"/>
      <c r="D750" s="63"/>
      <c r="E750" s="65"/>
      <c r="F750" s="65"/>
      <c r="G750" s="65"/>
      <c r="H750" s="65"/>
      <c r="I750" s="65"/>
      <c r="J750" s="65"/>
      <c r="K750" s="65"/>
      <c r="L750" s="34"/>
      <c r="M750" s="34"/>
      <c r="N750" s="66"/>
      <c r="O750" s="65"/>
      <c r="P750" s="65"/>
      <c r="Q750" s="65"/>
      <c r="T750" s="20"/>
      <c r="U750" s="21"/>
      <c r="V750" s="37"/>
      <c r="W750" s="63"/>
    </row>
    <row r="751" spans="1:23" x14ac:dyDescent="0.35">
      <c r="A751" s="63"/>
      <c r="B751" s="64"/>
      <c r="C751" s="63"/>
      <c r="D751" s="63"/>
      <c r="E751" s="65"/>
      <c r="F751" s="65"/>
      <c r="G751" s="65"/>
      <c r="H751" s="65"/>
      <c r="I751" s="65"/>
      <c r="J751" s="65"/>
      <c r="K751" s="65"/>
      <c r="L751" s="34"/>
      <c r="M751" s="34"/>
      <c r="N751" s="66"/>
      <c r="O751" s="65"/>
      <c r="P751" s="65"/>
      <c r="Q751" s="65"/>
      <c r="T751" s="20"/>
      <c r="U751" s="21"/>
      <c r="V751" s="37"/>
      <c r="W751" s="63"/>
    </row>
    <row r="752" spans="1:23" x14ac:dyDescent="0.35">
      <c r="A752" s="63"/>
      <c r="B752" s="64"/>
      <c r="C752" s="63"/>
      <c r="D752" s="63"/>
      <c r="E752" s="65"/>
      <c r="F752" s="65"/>
      <c r="G752" s="65"/>
      <c r="H752" s="65"/>
      <c r="I752" s="65"/>
      <c r="J752" s="65"/>
      <c r="K752" s="65"/>
      <c r="L752" s="34"/>
      <c r="M752" s="34"/>
      <c r="N752" s="66"/>
      <c r="O752" s="65"/>
      <c r="P752" s="65"/>
      <c r="Q752" s="65"/>
      <c r="T752" s="20"/>
      <c r="U752" s="21"/>
      <c r="V752" s="37"/>
      <c r="W752" s="63"/>
    </row>
    <row r="753" spans="1:23" x14ac:dyDescent="0.35">
      <c r="A753" s="63"/>
      <c r="B753" s="64"/>
      <c r="C753" s="63"/>
      <c r="D753" s="63"/>
      <c r="E753" s="65"/>
      <c r="F753" s="65"/>
      <c r="G753" s="65"/>
      <c r="H753" s="65"/>
      <c r="I753" s="65"/>
      <c r="J753" s="65"/>
      <c r="K753" s="65"/>
      <c r="L753" s="34"/>
      <c r="M753" s="34"/>
      <c r="N753" s="66"/>
      <c r="O753" s="65"/>
      <c r="P753" s="65"/>
      <c r="Q753" s="65"/>
      <c r="T753" s="20"/>
      <c r="U753" s="21"/>
      <c r="V753" s="37"/>
      <c r="W753" s="63"/>
    </row>
    <row r="754" spans="1:23" x14ac:dyDescent="0.35">
      <c r="A754" s="63"/>
      <c r="B754" s="64"/>
      <c r="C754" s="63"/>
      <c r="D754" s="63"/>
      <c r="E754" s="65"/>
      <c r="F754" s="65"/>
      <c r="G754" s="65"/>
      <c r="H754" s="65"/>
      <c r="I754" s="65"/>
      <c r="J754" s="65"/>
      <c r="K754" s="65"/>
      <c r="L754" s="34"/>
      <c r="M754" s="34"/>
      <c r="N754" s="66"/>
      <c r="O754" s="65"/>
      <c r="P754" s="65"/>
      <c r="Q754" s="65"/>
      <c r="T754" s="20"/>
      <c r="U754" s="21"/>
      <c r="V754" s="37"/>
      <c r="W754" s="63"/>
    </row>
    <row r="755" spans="1:23" x14ac:dyDescent="0.35">
      <c r="A755" s="63"/>
      <c r="B755" s="64"/>
      <c r="C755" s="63"/>
      <c r="D755" s="63"/>
      <c r="E755" s="65"/>
      <c r="F755" s="65"/>
      <c r="G755" s="65"/>
      <c r="H755" s="65"/>
      <c r="I755" s="65"/>
      <c r="J755" s="65"/>
      <c r="K755" s="65"/>
      <c r="L755" s="34"/>
      <c r="M755" s="34"/>
      <c r="N755" s="66"/>
      <c r="O755" s="65"/>
      <c r="P755" s="65"/>
      <c r="Q755" s="65"/>
      <c r="T755" s="20"/>
      <c r="U755" s="21"/>
      <c r="V755" s="37"/>
      <c r="W755" s="63"/>
    </row>
    <row r="756" spans="1:23" x14ac:dyDescent="0.35">
      <c r="A756" s="63"/>
      <c r="B756" s="64"/>
      <c r="C756" s="63"/>
      <c r="D756" s="63"/>
      <c r="E756" s="65"/>
      <c r="F756" s="65"/>
      <c r="G756" s="65"/>
      <c r="H756" s="65"/>
      <c r="I756" s="65"/>
      <c r="J756" s="65"/>
      <c r="K756" s="65"/>
      <c r="L756" s="34"/>
      <c r="M756" s="34"/>
      <c r="N756" s="66"/>
      <c r="O756" s="65"/>
      <c r="P756" s="65"/>
      <c r="Q756" s="65"/>
      <c r="T756" s="20"/>
      <c r="U756" s="21"/>
      <c r="V756" s="37"/>
      <c r="W756" s="63"/>
    </row>
    <row r="757" spans="1:23" x14ac:dyDescent="0.35">
      <c r="A757" s="63"/>
      <c r="B757" s="64"/>
      <c r="C757" s="63"/>
      <c r="D757" s="63"/>
      <c r="E757" s="65"/>
      <c r="F757" s="65"/>
      <c r="G757" s="65"/>
      <c r="H757" s="65"/>
      <c r="I757" s="65"/>
      <c r="J757" s="65"/>
      <c r="K757" s="65"/>
      <c r="L757" s="34"/>
      <c r="M757" s="34"/>
      <c r="N757" s="66"/>
      <c r="O757" s="65"/>
      <c r="P757" s="65"/>
      <c r="Q757" s="65"/>
      <c r="T757" s="20"/>
      <c r="U757" s="21"/>
      <c r="V757" s="37"/>
      <c r="W757" s="63"/>
    </row>
    <row r="758" spans="1:23" x14ac:dyDescent="0.35">
      <c r="A758" s="63"/>
      <c r="B758" s="64"/>
      <c r="C758" s="63"/>
      <c r="D758" s="63"/>
      <c r="E758" s="65"/>
      <c r="F758" s="65"/>
      <c r="G758" s="65"/>
      <c r="H758" s="65"/>
      <c r="I758" s="65"/>
      <c r="J758" s="65"/>
      <c r="K758" s="65"/>
      <c r="L758" s="34"/>
      <c r="M758" s="34"/>
      <c r="N758" s="66"/>
      <c r="O758" s="65"/>
      <c r="P758" s="65"/>
      <c r="Q758" s="65"/>
      <c r="T758" s="20"/>
      <c r="U758" s="21"/>
      <c r="V758" s="37"/>
      <c r="W758" s="63"/>
    </row>
    <row r="759" spans="1:23" x14ac:dyDescent="0.35">
      <c r="A759" s="63"/>
      <c r="B759" s="64"/>
      <c r="C759" s="63"/>
      <c r="D759" s="63"/>
      <c r="E759" s="65"/>
      <c r="F759" s="65"/>
      <c r="G759" s="65"/>
      <c r="H759" s="65"/>
      <c r="I759" s="65"/>
      <c r="J759" s="65"/>
      <c r="K759" s="65"/>
      <c r="L759" s="34"/>
      <c r="M759" s="34"/>
      <c r="N759" s="66"/>
      <c r="O759" s="65"/>
      <c r="P759" s="65"/>
      <c r="Q759" s="65"/>
      <c r="T759" s="20"/>
      <c r="U759" s="21"/>
      <c r="V759" s="37"/>
      <c r="W759" s="63"/>
    </row>
    <row r="760" spans="1:23" x14ac:dyDescent="0.35">
      <c r="A760" s="63"/>
      <c r="B760" s="64"/>
      <c r="C760" s="63"/>
      <c r="D760" s="63"/>
      <c r="E760" s="65"/>
      <c r="F760" s="65"/>
      <c r="G760" s="65"/>
      <c r="H760" s="65"/>
      <c r="I760" s="65"/>
      <c r="J760" s="65"/>
      <c r="K760" s="65"/>
      <c r="L760" s="34"/>
      <c r="M760" s="34"/>
      <c r="N760" s="66"/>
      <c r="O760" s="65"/>
      <c r="P760" s="65"/>
      <c r="Q760" s="65"/>
      <c r="T760" s="20"/>
      <c r="U760" s="21"/>
      <c r="V760" s="37"/>
      <c r="W760" s="63"/>
    </row>
    <row r="761" spans="1:23" x14ac:dyDescent="0.35">
      <c r="A761" s="63"/>
      <c r="B761" s="64"/>
      <c r="C761" s="63"/>
      <c r="D761" s="63"/>
      <c r="E761" s="65"/>
      <c r="F761" s="65"/>
      <c r="G761" s="65"/>
      <c r="H761" s="65"/>
      <c r="I761" s="65"/>
      <c r="J761" s="65"/>
      <c r="K761" s="65"/>
      <c r="L761" s="34"/>
      <c r="M761" s="34"/>
      <c r="N761" s="66"/>
      <c r="O761" s="65"/>
      <c r="P761" s="65"/>
      <c r="Q761" s="65"/>
      <c r="T761" s="20"/>
      <c r="U761" s="21"/>
      <c r="V761" s="37"/>
      <c r="W761" s="63"/>
    </row>
    <row r="762" spans="1:23" x14ac:dyDescent="0.35">
      <c r="A762" s="63"/>
      <c r="B762" s="64"/>
      <c r="C762" s="63"/>
      <c r="D762" s="63"/>
      <c r="E762" s="65"/>
      <c r="F762" s="65"/>
      <c r="G762" s="65"/>
      <c r="H762" s="65"/>
      <c r="I762" s="65"/>
      <c r="J762" s="65"/>
      <c r="K762" s="65"/>
      <c r="L762" s="34"/>
      <c r="M762" s="34"/>
      <c r="N762" s="66"/>
      <c r="O762" s="65"/>
      <c r="P762" s="65"/>
      <c r="Q762" s="65"/>
      <c r="T762" s="20"/>
      <c r="U762" s="21"/>
      <c r="V762" s="37"/>
      <c r="W762" s="63"/>
    </row>
    <row r="763" spans="1:23" x14ac:dyDescent="0.35">
      <c r="A763" s="63"/>
      <c r="B763" s="64"/>
      <c r="C763" s="63"/>
      <c r="D763" s="63"/>
      <c r="E763" s="65"/>
      <c r="F763" s="65"/>
      <c r="G763" s="65"/>
      <c r="H763" s="65"/>
      <c r="I763" s="65"/>
      <c r="J763" s="65"/>
      <c r="K763" s="65"/>
      <c r="L763" s="34"/>
      <c r="M763" s="34"/>
      <c r="N763" s="66"/>
      <c r="O763" s="65"/>
      <c r="P763" s="65"/>
      <c r="Q763" s="65"/>
      <c r="T763" s="20"/>
      <c r="U763" s="21"/>
      <c r="V763" s="37"/>
      <c r="W763" s="63"/>
    </row>
    <row r="764" spans="1:23" x14ac:dyDescent="0.35">
      <c r="A764" s="63"/>
      <c r="B764" s="64"/>
      <c r="C764" s="63"/>
      <c r="D764" s="63"/>
      <c r="E764" s="65"/>
      <c r="F764" s="65"/>
      <c r="G764" s="65"/>
      <c r="H764" s="65"/>
      <c r="I764" s="65"/>
      <c r="J764" s="65"/>
      <c r="K764" s="65"/>
      <c r="L764" s="34"/>
      <c r="M764" s="34"/>
      <c r="N764" s="66"/>
      <c r="O764" s="65"/>
      <c r="P764" s="65"/>
      <c r="Q764" s="65"/>
      <c r="T764" s="20"/>
      <c r="U764" s="21"/>
      <c r="V764" s="37"/>
      <c r="W764" s="63"/>
    </row>
    <row r="765" spans="1:23" x14ac:dyDescent="0.35">
      <c r="A765" s="63"/>
      <c r="B765" s="64"/>
      <c r="C765" s="63"/>
      <c r="D765" s="63"/>
      <c r="E765" s="65"/>
      <c r="F765" s="65"/>
      <c r="G765" s="65"/>
      <c r="H765" s="65"/>
      <c r="I765" s="65"/>
      <c r="J765" s="65"/>
      <c r="K765" s="65"/>
      <c r="L765" s="34"/>
      <c r="M765" s="34"/>
      <c r="N765" s="66"/>
      <c r="O765" s="65"/>
      <c r="P765" s="65"/>
      <c r="Q765" s="65"/>
      <c r="T765" s="20"/>
      <c r="U765" s="21"/>
      <c r="V765" s="37"/>
      <c r="W765" s="63"/>
    </row>
    <row r="766" spans="1:23" x14ac:dyDescent="0.35">
      <c r="A766" s="63"/>
      <c r="B766" s="64"/>
      <c r="C766" s="63"/>
      <c r="D766" s="63"/>
      <c r="E766" s="65"/>
      <c r="F766" s="65"/>
      <c r="G766" s="65"/>
      <c r="H766" s="65"/>
      <c r="I766" s="65"/>
      <c r="J766" s="65"/>
      <c r="K766" s="65"/>
      <c r="L766" s="34"/>
      <c r="M766" s="34"/>
      <c r="N766" s="66"/>
      <c r="O766" s="65"/>
      <c r="P766" s="65"/>
      <c r="Q766" s="65"/>
      <c r="T766" s="20"/>
      <c r="U766" s="21"/>
      <c r="V766" s="37"/>
      <c r="W766" s="63"/>
    </row>
    <row r="767" spans="1:23" x14ac:dyDescent="0.35">
      <c r="A767" s="63"/>
      <c r="B767" s="64"/>
      <c r="C767" s="63"/>
      <c r="D767" s="63"/>
      <c r="E767" s="65"/>
      <c r="F767" s="65"/>
      <c r="G767" s="65"/>
      <c r="H767" s="65"/>
      <c r="I767" s="65"/>
      <c r="J767" s="65"/>
      <c r="K767" s="65"/>
      <c r="L767" s="34"/>
      <c r="M767" s="34"/>
      <c r="N767" s="66"/>
      <c r="O767" s="65"/>
      <c r="P767" s="65"/>
      <c r="Q767" s="65"/>
      <c r="T767" s="20"/>
      <c r="U767" s="21"/>
      <c r="V767" s="37"/>
      <c r="W767" s="63"/>
    </row>
    <row r="768" spans="1:23" x14ac:dyDescent="0.35">
      <c r="A768" s="63"/>
      <c r="B768" s="64"/>
      <c r="C768" s="63"/>
      <c r="D768" s="63"/>
      <c r="E768" s="65"/>
      <c r="F768" s="65"/>
      <c r="G768" s="65"/>
      <c r="H768" s="65"/>
      <c r="I768" s="65"/>
      <c r="J768" s="65"/>
      <c r="K768" s="65"/>
      <c r="L768" s="34"/>
      <c r="M768" s="34"/>
      <c r="N768" s="66"/>
      <c r="O768" s="65"/>
      <c r="P768" s="65"/>
      <c r="Q768" s="65"/>
      <c r="T768" s="20"/>
      <c r="U768" s="21"/>
      <c r="V768" s="37"/>
      <c r="W768" s="63"/>
    </row>
    <row r="769" spans="1:23" x14ac:dyDescent="0.35">
      <c r="A769" s="63"/>
      <c r="B769" s="64"/>
      <c r="C769" s="63"/>
      <c r="D769" s="63"/>
      <c r="E769" s="65"/>
      <c r="F769" s="65"/>
      <c r="G769" s="65"/>
      <c r="H769" s="65"/>
      <c r="I769" s="65"/>
      <c r="J769" s="65"/>
      <c r="K769" s="65"/>
      <c r="L769" s="34"/>
      <c r="M769" s="34"/>
      <c r="N769" s="66"/>
      <c r="O769" s="65"/>
      <c r="P769" s="65"/>
      <c r="Q769" s="65"/>
      <c r="T769" s="20"/>
      <c r="U769" s="21"/>
      <c r="V769" s="37"/>
      <c r="W769" s="63"/>
    </row>
    <row r="770" spans="1:23" x14ac:dyDescent="0.35">
      <c r="A770" s="63"/>
      <c r="B770" s="64"/>
      <c r="C770" s="63"/>
      <c r="D770" s="63"/>
      <c r="E770" s="65"/>
      <c r="F770" s="65"/>
      <c r="G770" s="65"/>
      <c r="H770" s="65"/>
      <c r="I770" s="65"/>
      <c r="J770" s="65"/>
      <c r="K770" s="65"/>
      <c r="L770" s="34"/>
      <c r="M770" s="34"/>
      <c r="N770" s="66"/>
      <c r="O770" s="65"/>
      <c r="P770" s="65"/>
      <c r="Q770" s="65"/>
      <c r="T770" s="20"/>
      <c r="U770" s="21"/>
      <c r="V770" s="37"/>
      <c r="W770" s="63"/>
    </row>
    <row r="771" spans="1:23" x14ac:dyDescent="0.35">
      <c r="A771" s="63"/>
      <c r="B771" s="64"/>
      <c r="C771" s="63"/>
      <c r="D771" s="63"/>
      <c r="E771" s="65"/>
      <c r="F771" s="65"/>
      <c r="G771" s="65"/>
      <c r="H771" s="65"/>
      <c r="I771" s="65"/>
      <c r="J771" s="65"/>
      <c r="K771" s="65"/>
      <c r="L771" s="34"/>
      <c r="M771" s="34"/>
      <c r="N771" s="66"/>
      <c r="O771" s="65"/>
      <c r="P771" s="65"/>
      <c r="Q771" s="65"/>
      <c r="T771" s="20"/>
      <c r="U771" s="21"/>
      <c r="V771" s="37"/>
      <c r="W771" s="63"/>
    </row>
    <row r="772" spans="1:23" x14ac:dyDescent="0.35">
      <c r="A772" s="63"/>
      <c r="B772" s="64"/>
      <c r="C772" s="63"/>
      <c r="D772" s="63"/>
      <c r="E772" s="65"/>
      <c r="F772" s="65"/>
      <c r="G772" s="65"/>
      <c r="H772" s="65"/>
      <c r="I772" s="65"/>
      <c r="J772" s="65"/>
      <c r="K772" s="65"/>
      <c r="L772" s="34"/>
      <c r="M772" s="34"/>
      <c r="N772" s="66"/>
      <c r="O772" s="65"/>
      <c r="P772" s="65"/>
      <c r="Q772" s="65"/>
      <c r="T772" s="20"/>
      <c r="U772" s="21"/>
      <c r="V772" s="37"/>
      <c r="W772" s="63"/>
    </row>
    <row r="773" spans="1:23" x14ac:dyDescent="0.35">
      <c r="A773" s="63"/>
      <c r="B773" s="64"/>
      <c r="C773" s="63"/>
      <c r="D773" s="63"/>
      <c r="E773" s="65"/>
      <c r="F773" s="65"/>
      <c r="G773" s="65"/>
      <c r="H773" s="65"/>
      <c r="I773" s="65"/>
      <c r="J773" s="65"/>
      <c r="K773" s="65"/>
      <c r="L773" s="34"/>
      <c r="M773" s="34"/>
      <c r="N773" s="66"/>
      <c r="O773" s="65"/>
      <c r="P773" s="65"/>
      <c r="Q773" s="65"/>
      <c r="T773" s="20"/>
      <c r="U773" s="21"/>
      <c r="V773" s="37"/>
      <c r="W773" s="63"/>
    </row>
    <row r="774" spans="1:23" x14ac:dyDescent="0.35">
      <c r="A774" s="63"/>
      <c r="B774" s="64"/>
      <c r="C774" s="63"/>
      <c r="D774" s="63"/>
      <c r="E774" s="65"/>
      <c r="F774" s="65"/>
      <c r="G774" s="65"/>
      <c r="H774" s="65"/>
      <c r="I774" s="65"/>
      <c r="J774" s="65"/>
      <c r="K774" s="65"/>
      <c r="L774" s="34"/>
      <c r="M774" s="34"/>
      <c r="N774" s="66"/>
      <c r="O774" s="65"/>
      <c r="P774" s="65"/>
      <c r="Q774" s="65"/>
      <c r="T774" s="20"/>
      <c r="U774" s="21"/>
      <c r="V774" s="37"/>
      <c r="W774" s="63"/>
    </row>
    <row r="775" spans="1:23" x14ac:dyDescent="0.35">
      <c r="A775" s="63"/>
      <c r="B775" s="64"/>
      <c r="C775" s="63"/>
      <c r="D775" s="63"/>
      <c r="E775" s="65"/>
      <c r="F775" s="65"/>
      <c r="G775" s="65"/>
      <c r="H775" s="65"/>
      <c r="I775" s="65"/>
      <c r="J775" s="65"/>
      <c r="K775" s="65"/>
      <c r="L775" s="34"/>
      <c r="M775" s="34"/>
      <c r="N775" s="66"/>
      <c r="O775" s="65"/>
      <c r="P775" s="65"/>
      <c r="Q775" s="65"/>
      <c r="T775" s="20"/>
      <c r="U775" s="21"/>
      <c r="V775" s="37"/>
      <c r="W775" s="63"/>
    </row>
    <row r="776" spans="1:23" x14ac:dyDescent="0.35">
      <c r="A776" s="63"/>
      <c r="B776" s="64"/>
      <c r="C776" s="63"/>
      <c r="D776" s="63"/>
      <c r="E776" s="65"/>
      <c r="F776" s="65"/>
      <c r="G776" s="65"/>
      <c r="H776" s="65"/>
      <c r="I776" s="65"/>
      <c r="J776" s="65"/>
      <c r="K776" s="65"/>
      <c r="L776" s="34"/>
      <c r="M776" s="34"/>
      <c r="N776" s="66"/>
      <c r="O776" s="65"/>
      <c r="P776" s="65"/>
      <c r="Q776" s="65"/>
      <c r="T776" s="20"/>
      <c r="U776" s="21"/>
      <c r="V776" s="37"/>
      <c r="W776" s="63"/>
    </row>
    <row r="777" spans="1:23" x14ac:dyDescent="0.35">
      <c r="A777" s="63"/>
      <c r="B777" s="64"/>
      <c r="C777" s="63"/>
      <c r="D777" s="63"/>
      <c r="E777" s="65"/>
      <c r="F777" s="65"/>
      <c r="G777" s="65"/>
      <c r="H777" s="65"/>
      <c r="I777" s="65"/>
      <c r="J777" s="65"/>
      <c r="K777" s="65"/>
      <c r="L777" s="34"/>
      <c r="M777" s="34"/>
      <c r="N777" s="66"/>
      <c r="O777" s="65"/>
      <c r="P777" s="65"/>
      <c r="Q777" s="65"/>
      <c r="T777" s="20"/>
      <c r="U777" s="21"/>
      <c r="V777" s="37"/>
      <c r="W777" s="63"/>
    </row>
    <row r="778" spans="1:23" x14ac:dyDescent="0.35">
      <c r="A778" s="63"/>
      <c r="B778" s="64"/>
      <c r="C778" s="63"/>
      <c r="D778" s="63"/>
      <c r="E778" s="65"/>
      <c r="F778" s="65"/>
      <c r="G778" s="65"/>
      <c r="H778" s="65"/>
      <c r="I778" s="65"/>
      <c r="J778" s="65"/>
      <c r="K778" s="65"/>
      <c r="L778" s="34"/>
      <c r="M778" s="34"/>
      <c r="N778" s="66"/>
      <c r="O778" s="65"/>
      <c r="P778" s="65"/>
      <c r="Q778" s="65"/>
      <c r="T778" s="20"/>
      <c r="U778" s="21"/>
      <c r="V778" s="37"/>
      <c r="W778" s="63"/>
    </row>
    <row r="779" spans="1:23" x14ac:dyDescent="0.35">
      <c r="A779" s="63"/>
      <c r="B779" s="64"/>
      <c r="C779" s="63"/>
      <c r="D779" s="63"/>
      <c r="E779" s="65"/>
      <c r="F779" s="65"/>
      <c r="G779" s="65"/>
      <c r="H779" s="65"/>
      <c r="I779" s="65"/>
      <c r="J779" s="65"/>
      <c r="K779" s="65"/>
      <c r="L779" s="34"/>
      <c r="M779" s="34"/>
      <c r="N779" s="66"/>
      <c r="O779" s="65"/>
      <c r="P779" s="65"/>
      <c r="Q779" s="65"/>
      <c r="T779" s="20"/>
      <c r="U779" s="21"/>
      <c r="V779" s="37"/>
      <c r="W779" s="63"/>
    </row>
    <row r="780" spans="1:23" x14ac:dyDescent="0.35">
      <c r="A780" s="63"/>
      <c r="B780" s="64"/>
      <c r="C780" s="63"/>
      <c r="D780" s="63"/>
      <c r="E780" s="65"/>
      <c r="F780" s="65"/>
      <c r="G780" s="65"/>
      <c r="H780" s="65"/>
      <c r="I780" s="65"/>
      <c r="J780" s="65"/>
      <c r="K780" s="65"/>
      <c r="L780" s="34"/>
      <c r="M780" s="34"/>
      <c r="N780" s="66"/>
      <c r="O780" s="65"/>
      <c r="P780" s="65"/>
      <c r="Q780" s="65"/>
      <c r="T780" s="20"/>
      <c r="U780" s="21"/>
      <c r="V780" s="37"/>
      <c r="W780" s="63"/>
    </row>
    <row r="781" spans="1:23" x14ac:dyDescent="0.35">
      <c r="A781" s="63"/>
      <c r="B781" s="64"/>
      <c r="C781" s="63"/>
      <c r="D781" s="63"/>
      <c r="E781" s="65"/>
      <c r="F781" s="65"/>
      <c r="G781" s="65"/>
      <c r="H781" s="65"/>
      <c r="I781" s="65"/>
      <c r="J781" s="65"/>
      <c r="K781" s="65"/>
      <c r="L781" s="34"/>
      <c r="M781" s="34"/>
      <c r="N781" s="66"/>
      <c r="O781" s="65"/>
      <c r="P781" s="65"/>
      <c r="Q781" s="65"/>
      <c r="T781" s="20"/>
      <c r="U781" s="21"/>
      <c r="V781" s="37"/>
      <c r="W781" s="63"/>
    </row>
    <row r="782" spans="1:23" x14ac:dyDescent="0.35">
      <c r="A782" s="63"/>
      <c r="B782" s="64"/>
      <c r="C782" s="63"/>
      <c r="D782" s="63"/>
      <c r="E782" s="65"/>
      <c r="F782" s="65"/>
      <c r="G782" s="65"/>
      <c r="H782" s="65"/>
      <c r="I782" s="65"/>
      <c r="J782" s="65"/>
      <c r="K782" s="65"/>
      <c r="L782" s="34"/>
      <c r="M782" s="34"/>
      <c r="N782" s="66"/>
      <c r="O782" s="65"/>
      <c r="P782" s="65"/>
      <c r="Q782" s="65"/>
      <c r="T782" s="20"/>
      <c r="U782" s="21"/>
      <c r="V782" s="37"/>
      <c r="W782" s="63"/>
    </row>
    <row r="783" spans="1:23" x14ac:dyDescent="0.35">
      <c r="A783" s="63"/>
      <c r="B783" s="64"/>
      <c r="C783" s="63"/>
      <c r="D783" s="63"/>
      <c r="E783" s="65"/>
      <c r="F783" s="65"/>
      <c r="G783" s="65"/>
      <c r="H783" s="65"/>
      <c r="I783" s="65"/>
      <c r="J783" s="65"/>
      <c r="K783" s="65"/>
      <c r="L783" s="34"/>
      <c r="M783" s="34"/>
      <c r="N783" s="66"/>
      <c r="O783" s="65"/>
      <c r="P783" s="65"/>
      <c r="Q783" s="65"/>
      <c r="T783" s="20"/>
      <c r="U783" s="21"/>
      <c r="V783" s="37"/>
      <c r="W783" s="63"/>
    </row>
    <row r="784" spans="1:23" x14ac:dyDescent="0.35">
      <c r="A784" s="63"/>
      <c r="B784" s="64"/>
      <c r="C784" s="63"/>
      <c r="D784" s="63"/>
      <c r="E784" s="65"/>
      <c r="F784" s="65"/>
      <c r="G784" s="65"/>
      <c r="H784" s="65"/>
      <c r="I784" s="65"/>
      <c r="J784" s="65"/>
      <c r="K784" s="65"/>
      <c r="L784" s="34"/>
      <c r="M784" s="34"/>
      <c r="N784" s="66"/>
      <c r="O784" s="65"/>
      <c r="P784" s="65"/>
      <c r="Q784" s="65"/>
      <c r="T784" s="20"/>
      <c r="U784" s="21"/>
      <c r="V784" s="37"/>
      <c r="W784" s="63"/>
    </row>
    <row r="785" spans="1:23" x14ac:dyDescent="0.35">
      <c r="A785" s="63"/>
      <c r="B785" s="64"/>
      <c r="C785" s="63"/>
      <c r="D785" s="63"/>
      <c r="E785" s="65"/>
      <c r="F785" s="65"/>
      <c r="G785" s="65"/>
      <c r="H785" s="65"/>
      <c r="I785" s="65"/>
      <c r="J785" s="65"/>
      <c r="K785" s="65"/>
      <c r="L785" s="34"/>
      <c r="M785" s="34"/>
      <c r="N785" s="66"/>
      <c r="O785" s="65"/>
      <c r="P785" s="65"/>
      <c r="Q785" s="65"/>
      <c r="T785" s="20"/>
      <c r="U785" s="21"/>
      <c r="V785" s="37"/>
      <c r="W785" s="63"/>
    </row>
    <row r="786" spans="1:23" x14ac:dyDescent="0.35">
      <c r="A786" s="63"/>
      <c r="B786" s="64"/>
      <c r="C786" s="63"/>
      <c r="D786" s="63"/>
      <c r="E786" s="65"/>
      <c r="F786" s="65"/>
      <c r="G786" s="65"/>
      <c r="H786" s="65"/>
      <c r="I786" s="65"/>
      <c r="J786" s="65"/>
      <c r="K786" s="65"/>
      <c r="L786" s="34"/>
      <c r="M786" s="34"/>
      <c r="N786" s="66"/>
      <c r="O786" s="65"/>
      <c r="P786" s="65"/>
      <c r="Q786" s="65"/>
      <c r="T786" s="20"/>
      <c r="U786" s="21"/>
      <c r="V786" s="37"/>
      <c r="W786" s="63"/>
    </row>
    <row r="787" spans="1:23" x14ac:dyDescent="0.35">
      <c r="A787" s="63"/>
      <c r="B787" s="64"/>
      <c r="C787" s="63"/>
      <c r="D787" s="63"/>
      <c r="E787" s="65"/>
      <c r="F787" s="65"/>
      <c r="G787" s="65"/>
      <c r="H787" s="65"/>
      <c r="I787" s="65"/>
      <c r="J787" s="65"/>
      <c r="K787" s="65"/>
      <c r="L787" s="34"/>
      <c r="M787" s="34"/>
      <c r="N787" s="66"/>
      <c r="O787" s="65"/>
      <c r="P787" s="65"/>
      <c r="Q787" s="65"/>
      <c r="T787" s="20"/>
      <c r="U787" s="21"/>
      <c r="V787" s="37"/>
      <c r="W787" s="63"/>
    </row>
    <row r="788" spans="1:23" x14ac:dyDescent="0.35">
      <c r="A788" s="63"/>
      <c r="B788" s="64"/>
      <c r="C788" s="63"/>
      <c r="D788" s="63"/>
      <c r="E788" s="65"/>
      <c r="F788" s="65"/>
      <c r="G788" s="65"/>
      <c r="H788" s="65"/>
      <c r="I788" s="65"/>
      <c r="J788" s="65"/>
      <c r="K788" s="65"/>
      <c r="L788" s="34"/>
      <c r="M788" s="34"/>
      <c r="N788" s="66"/>
      <c r="O788" s="65"/>
      <c r="P788" s="65"/>
      <c r="Q788" s="65"/>
      <c r="T788" s="20"/>
      <c r="U788" s="21"/>
      <c r="V788" s="37"/>
      <c r="W788" s="63"/>
    </row>
    <row r="789" spans="1:23" x14ac:dyDescent="0.35">
      <c r="A789" s="63"/>
      <c r="B789" s="64"/>
      <c r="C789" s="63"/>
      <c r="D789" s="63"/>
      <c r="E789" s="65"/>
      <c r="F789" s="65"/>
      <c r="G789" s="65"/>
      <c r="H789" s="65"/>
      <c r="I789" s="65"/>
      <c r="J789" s="65"/>
      <c r="K789" s="65"/>
      <c r="L789" s="34"/>
      <c r="M789" s="34"/>
      <c r="N789" s="66"/>
      <c r="O789" s="65"/>
      <c r="P789" s="65"/>
      <c r="Q789" s="65"/>
      <c r="T789" s="20"/>
      <c r="U789" s="21"/>
      <c r="V789" s="37"/>
      <c r="W789" s="63"/>
    </row>
    <row r="790" spans="1:23" x14ac:dyDescent="0.35">
      <c r="A790" s="63"/>
      <c r="B790" s="64"/>
      <c r="C790" s="63"/>
      <c r="D790" s="63"/>
      <c r="E790" s="65"/>
      <c r="F790" s="65"/>
      <c r="G790" s="65"/>
      <c r="H790" s="65"/>
      <c r="I790" s="65"/>
      <c r="J790" s="65"/>
      <c r="K790" s="65"/>
      <c r="L790" s="34"/>
      <c r="M790" s="34"/>
      <c r="N790" s="66"/>
      <c r="O790" s="65"/>
      <c r="P790" s="65"/>
      <c r="Q790" s="65"/>
      <c r="T790" s="20"/>
      <c r="U790" s="21"/>
      <c r="V790" s="37"/>
      <c r="W790" s="63"/>
    </row>
    <row r="791" spans="1:23" x14ac:dyDescent="0.35">
      <c r="A791" s="63"/>
      <c r="B791" s="64"/>
      <c r="C791" s="63"/>
      <c r="D791" s="63"/>
      <c r="E791" s="65"/>
      <c r="F791" s="65"/>
      <c r="G791" s="65"/>
      <c r="H791" s="65"/>
      <c r="I791" s="65"/>
      <c r="J791" s="65"/>
      <c r="K791" s="65"/>
      <c r="L791" s="34"/>
      <c r="M791" s="34"/>
      <c r="N791" s="66"/>
      <c r="O791" s="65"/>
      <c r="P791" s="65"/>
      <c r="Q791" s="65"/>
      <c r="T791" s="20"/>
      <c r="U791" s="21"/>
      <c r="V791" s="37"/>
      <c r="W791" s="63"/>
    </row>
    <row r="792" spans="1:23" x14ac:dyDescent="0.35">
      <c r="A792" s="63"/>
      <c r="B792" s="64"/>
      <c r="C792" s="63"/>
      <c r="D792" s="63"/>
      <c r="E792" s="65"/>
      <c r="F792" s="65"/>
      <c r="G792" s="65"/>
      <c r="H792" s="65"/>
      <c r="I792" s="65"/>
      <c r="J792" s="65"/>
      <c r="K792" s="65"/>
      <c r="L792" s="34"/>
      <c r="M792" s="34"/>
      <c r="N792" s="66"/>
      <c r="O792" s="65"/>
      <c r="P792" s="65"/>
      <c r="Q792" s="65"/>
      <c r="T792" s="20"/>
      <c r="U792" s="21"/>
      <c r="V792" s="37"/>
      <c r="W792" s="63"/>
    </row>
    <row r="793" spans="1:23" x14ac:dyDescent="0.35">
      <c r="A793" s="63"/>
      <c r="B793" s="64"/>
      <c r="C793" s="63"/>
      <c r="D793" s="63"/>
      <c r="E793" s="65"/>
      <c r="F793" s="65"/>
      <c r="G793" s="65"/>
      <c r="H793" s="65"/>
      <c r="I793" s="65"/>
      <c r="J793" s="65"/>
      <c r="K793" s="65"/>
      <c r="L793" s="34"/>
      <c r="M793" s="34"/>
      <c r="N793" s="66"/>
      <c r="O793" s="65"/>
      <c r="P793" s="65"/>
      <c r="Q793" s="65"/>
      <c r="T793" s="20"/>
      <c r="U793" s="21"/>
      <c r="V793" s="37"/>
      <c r="W793" s="63"/>
    </row>
    <row r="794" spans="1:23" x14ac:dyDescent="0.35">
      <c r="A794" s="63"/>
      <c r="B794" s="64"/>
      <c r="C794" s="63"/>
      <c r="D794" s="63"/>
      <c r="E794" s="65"/>
      <c r="F794" s="65"/>
      <c r="G794" s="65"/>
      <c r="H794" s="65"/>
      <c r="I794" s="65"/>
      <c r="J794" s="65"/>
      <c r="K794" s="65"/>
      <c r="L794" s="34"/>
      <c r="M794" s="34"/>
      <c r="N794" s="66"/>
      <c r="O794" s="65"/>
      <c r="P794" s="65"/>
      <c r="Q794" s="65"/>
      <c r="T794" s="20"/>
      <c r="U794" s="21"/>
      <c r="V794" s="37"/>
      <c r="W794" s="63"/>
    </row>
    <row r="795" spans="1:23" x14ac:dyDescent="0.35">
      <c r="A795" s="63"/>
      <c r="B795" s="64"/>
      <c r="C795" s="63"/>
      <c r="D795" s="63"/>
      <c r="E795" s="65"/>
      <c r="F795" s="65"/>
      <c r="G795" s="65"/>
      <c r="H795" s="65"/>
      <c r="I795" s="65"/>
      <c r="J795" s="65"/>
      <c r="K795" s="65"/>
      <c r="L795" s="34"/>
      <c r="M795" s="34"/>
      <c r="N795" s="66"/>
      <c r="O795" s="65"/>
      <c r="P795" s="65"/>
      <c r="Q795" s="65"/>
      <c r="T795" s="20"/>
      <c r="U795" s="21"/>
      <c r="V795" s="37"/>
      <c r="W795" s="63"/>
    </row>
    <row r="796" spans="1:23" x14ac:dyDescent="0.35">
      <c r="A796" s="63"/>
      <c r="B796" s="64"/>
      <c r="C796" s="63"/>
      <c r="D796" s="63"/>
      <c r="E796" s="65"/>
      <c r="F796" s="65"/>
      <c r="G796" s="65"/>
      <c r="H796" s="65"/>
      <c r="I796" s="65"/>
      <c r="J796" s="65"/>
      <c r="K796" s="65"/>
      <c r="L796" s="34"/>
      <c r="M796" s="34"/>
      <c r="N796" s="66"/>
      <c r="O796" s="65"/>
      <c r="P796" s="65"/>
      <c r="Q796" s="65"/>
      <c r="T796" s="20"/>
      <c r="U796" s="21"/>
      <c r="V796" s="37"/>
      <c r="W796" s="63"/>
    </row>
    <row r="797" spans="1:23" x14ac:dyDescent="0.35">
      <c r="A797" s="63"/>
      <c r="B797" s="64"/>
      <c r="C797" s="63"/>
      <c r="D797" s="63"/>
      <c r="E797" s="65"/>
      <c r="F797" s="65"/>
      <c r="G797" s="65"/>
      <c r="H797" s="65"/>
      <c r="I797" s="65"/>
      <c r="J797" s="65"/>
      <c r="K797" s="65"/>
      <c r="L797" s="34"/>
      <c r="M797" s="34"/>
      <c r="N797" s="66"/>
      <c r="O797" s="65"/>
      <c r="P797" s="65"/>
      <c r="Q797" s="65"/>
      <c r="T797" s="20"/>
      <c r="U797" s="21"/>
      <c r="V797" s="37"/>
      <c r="W797" s="63"/>
    </row>
    <row r="798" spans="1:23" x14ac:dyDescent="0.35">
      <c r="A798" s="63"/>
      <c r="B798" s="64"/>
      <c r="C798" s="63"/>
      <c r="D798" s="63"/>
      <c r="E798" s="65"/>
      <c r="F798" s="65"/>
      <c r="G798" s="65"/>
      <c r="H798" s="65"/>
      <c r="I798" s="65"/>
      <c r="J798" s="65"/>
      <c r="K798" s="65"/>
      <c r="L798" s="34"/>
      <c r="M798" s="34"/>
      <c r="N798" s="66"/>
      <c r="O798" s="65"/>
      <c r="P798" s="65"/>
      <c r="Q798" s="65"/>
      <c r="T798" s="20"/>
      <c r="U798" s="21"/>
      <c r="V798" s="37"/>
      <c r="W798" s="63"/>
    </row>
    <row r="799" spans="1:23" x14ac:dyDescent="0.35">
      <c r="A799" s="63"/>
      <c r="B799" s="64"/>
      <c r="C799" s="63"/>
      <c r="D799" s="63"/>
      <c r="E799" s="65"/>
      <c r="F799" s="65"/>
      <c r="G799" s="65"/>
      <c r="H799" s="65"/>
      <c r="I799" s="65"/>
      <c r="J799" s="65"/>
      <c r="K799" s="65"/>
      <c r="L799" s="34"/>
      <c r="M799" s="34"/>
      <c r="N799" s="66"/>
      <c r="O799" s="65"/>
      <c r="P799" s="65"/>
      <c r="Q799" s="65"/>
      <c r="T799" s="20"/>
      <c r="U799" s="21"/>
      <c r="V799" s="37"/>
      <c r="W799" s="63"/>
    </row>
    <row r="800" spans="1:23" x14ac:dyDescent="0.35">
      <c r="A800" s="63"/>
      <c r="B800" s="64"/>
      <c r="C800" s="63"/>
      <c r="D800" s="63"/>
      <c r="E800" s="65"/>
      <c r="F800" s="65"/>
      <c r="G800" s="65"/>
      <c r="H800" s="65"/>
      <c r="I800" s="65"/>
      <c r="J800" s="65"/>
      <c r="K800" s="65"/>
      <c r="L800" s="34"/>
      <c r="M800" s="34"/>
      <c r="N800" s="66"/>
      <c r="O800" s="65"/>
      <c r="P800" s="65"/>
      <c r="Q800" s="65"/>
      <c r="T800" s="20"/>
      <c r="U800" s="21"/>
      <c r="V800" s="37"/>
      <c r="W800" s="63"/>
    </row>
    <row r="801" spans="1:23" x14ac:dyDescent="0.35">
      <c r="A801" s="63"/>
      <c r="B801" s="64"/>
      <c r="C801" s="63"/>
      <c r="D801" s="63"/>
      <c r="E801" s="65"/>
      <c r="F801" s="65"/>
      <c r="G801" s="65"/>
      <c r="H801" s="65"/>
      <c r="I801" s="65"/>
      <c r="J801" s="65"/>
      <c r="K801" s="65"/>
      <c r="L801" s="34"/>
      <c r="M801" s="34"/>
      <c r="N801" s="66"/>
      <c r="O801" s="65"/>
      <c r="P801" s="65"/>
      <c r="Q801" s="65"/>
      <c r="T801" s="20"/>
      <c r="U801" s="21"/>
      <c r="V801" s="37"/>
      <c r="W801" s="63"/>
    </row>
    <row r="802" spans="1:23" x14ac:dyDescent="0.35">
      <c r="A802" s="63"/>
      <c r="B802" s="64"/>
      <c r="C802" s="63"/>
      <c r="D802" s="63"/>
      <c r="E802" s="65"/>
      <c r="F802" s="65"/>
      <c r="G802" s="65"/>
      <c r="H802" s="65"/>
      <c r="I802" s="65"/>
      <c r="J802" s="65"/>
      <c r="K802" s="65"/>
      <c r="L802" s="34"/>
      <c r="M802" s="34"/>
      <c r="N802" s="66"/>
      <c r="O802" s="65"/>
      <c r="P802" s="65"/>
      <c r="Q802" s="65"/>
      <c r="T802" s="20"/>
      <c r="U802" s="21"/>
      <c r="V802" s="37"/>
      <c r="W802" s="63"/>
    </row>
    <row r="803" spans="1:23" x14ac:dyDescent="0.35">
      <c r="A803" s="63"/>
      <c r="B803" s="64"/>
      <c r="C803" s="63"/>
      <c r="D803" s="63"/>
      <c r="E803" s="65"/>
      <c r="F803" s="65"/>
      <c r="G803" s="65"/>
      <c r="H803" s="65"/>
      <c r="I803" s="65"/>
      <c r="J803" s="65"/>
      <c r="K803" s="65"/>
      <c r="L803" s="34"/>
      <c r="M803" s="34"/>
      <c r="N803" s="66"/>
      <c r="O803" s="65"/>
      <c r="P803" s="65"/>
      <c r="Q803" s="65"/>
      <c r="T803" s="20"/>
      <c r="U803" s="21"/>
      <c r="V803" s="37"/>
      <c r="W803" s="63"/>
    </row>
    <row r="804" spans="1:23" x14ac:dyDescent="0.35">
      <c r="A804" s="63"/>
      <c r="B804" s="64"/>
      <c r="C804" s="63"/>
      <c r="D804" s="63"/>
      <c r="E804" s="65"/>
      <c r="F804" s="65"/>
      <c r="G804" s="65"/>
      <c r="H804" s="65"/>
      <c r="I804" s="65"/>
      <c r="J804" s="65"/>
      <c r="K804" s="65"/>
      <c r="L804" s="34"/>
      <c r="M804" s="34"/>
      <c r="N804" s="66"/>
      <c r="O804" s="65"/>
      <c r="P804" s="65"/>
      <c r="Q804" s="65"/>
      <c r="T804" s="20"/>
      <c r="U804" s="21"/>
      <c r="V804" s="37"/>
      <c r="W804" s="63"/>
    </row>
    <row r="805" spans="1:23" x14ac:dyDescent="0.35">
      <c r="A805" s="63"/>
      <c r="B805" s="64"/>
      <c r="C805" s="63"/>
      <c r="D805" s="63"/>
      <c r="E805" s="65"/>
      <c r="F805" s="65"/>
      <c r="G805" s="65"/>
      <c r="H805" s="65"/>
      <c r="I805" s="65"/>
      <c r="J805" s="65"/>
      <c r="K805" s="65"/>
      <c r="L805" s="34"/>
      <c r="M805" s="34"/>
      <c r="N805" s="66"/>
      <c r="O805" s="65"/>
      <c r="P805" s="65"/>
      <c r="Q805" s="65"/>
      <c r="T805" s="20"/>
      <c r="U805" s="21"/>
      <c r="V805" s="37"/>
      <c r="W805" s="63"/>
    </row>
    <row r="806" spans="1:23" x14ac:dyDescent="0.35">
      <c r="A806" s="63"/>
      <c r="B806" s="64"/>
      <c r="C806" s="63"/>
      <c r="D806" s="63"/>
      <c r="E806" s="65"/>
      <c r="F806" s="65"/>
      <c r="G806" s="65"/>
      <c r="H806" s="65"/>
      <c r="I806" s="65"/>
      <c r="J806" s="65"/>
      <c r="K806" s="65"/>
      <c r="L806" s="34"/>
      <c r="M806" s="34"/>
      <c r="N806" s="66"/>
      <c r="O806" s="65"/>
      <c r="P806" s="65"/>
      <c r="Q806" s="65"/>
      <c r="T806" s="20"/>
      <c r="U806" s="21"/>
      <c r="V806" s="37"/>
      <c r="W806" s="63"/>
    </row>
    <row r="807" spans="1:23" x14ac:dyDescent="0.35">
      <c r="A807" s="63"/>
      <c r="B807" s="64"/>
      <c r="C807" s="63"/>
      <c r="D807" s="63"/>
      <c r="E807" s="65"/>
      <c r="F807" s="65"/>
      <c r="G807" s="65"/>
      <c r="H807" s="65"/>
      <c r="I807" s="65"/>
      <c r="J807" s="65"/>
      <c r="K807" s="65"/>
      <c r="L807" s="34"/>
      <c r="M807" s="34"/>
      <c r="N807" s="66"/>
      <c r="O807" s="65"/>
      <c r="P807" s="65"/>
      <c r="Q807" s="65"/>
      <c r="T807" s="20"/>
      <c r="U807" s="21"/>
      <c r="V807" s="37"/>
      <c r="W807" s="63"/>
    </row>
    <row r="808" spans="1:23" x14ac:dyDescent="0.35">
      <c r="A808" s="63"/>
      <c r="B808" s="64"/>
      <c r="C808" s="63"/>
      <c r="D808" s="63"/>
      <c r="E808" s="65"/>
      <c r="F808" s="65"/>
      <c r="G808" s="65"/>
      <c r="H808" s="65"/>
      <c r="I808" s="65"/>
      <c r="J808" s="65"/>
      <c r="K808" s="65"/>
      <c r="L808" s="34"/>
      <c r="M808" s="34"/>
      <c r="N808" s="66"/>
      <c r="O808" s="65"/>
      <c r="P808" s="65"/>
      <c r="Q808" s="65"/>
      <c r="T808" s="20"/>
      <c r="U808" s="21"/>
      <c r="V808" s="37"/>
      <c r="W808" s="63"/>
    </row>
    <row r="809" spans="1:23" x14ac:dyDescent="0.35">
      <c r="A809" s="63"/>
      <c r="B809" s="64"/>
      <c r="C809" s="63"/>
      <c r="D809" s="63"/>
      <c r="E809" s="65"/>
      <c r="F809" s="65"/>
      <c r="G809" s="65"/>
      <c r="H809" s="65"/>
      <c r="I809" s="65"/>
      <c r="J809" s="65"/>
      <c r="K809" s="65"/>
      <c r="L809" s="34"/>
      <c r="M809" s="34"/>
      <c r="N809" s="66"/>
      <c r="O809" s="65"/>
      <c r="P809" s="65"/>
      <c r="Q809" s="65"/>
      <c r="T809" s="20"/>
      <c r="U809" s="21"/>
      <c r="V809" s="37"/>
      <c r="W809" s="63"/>
    </row>
    <row r="810" spans="1:23" x14ac:dyDescent="0.35">
      <c r="A810" s="63"/>
      <c r="B810" s="64"/>
      <c r="C810" s="63"/>
      <c r="D810" s="63"/>
      <c r="E810" s="65"/>
      <c r="F810" s="65"/>
      <c r="G810" s="65"/>
      <c r="H810" s="65"/>
      <c r="I810" s="65"/>
      <c r="J810" s="65"/>
      <c r="K810" s="65"/>
      <c r="L810" s="34"/>
      <c r="M810" s="34"/>
      <c r="N810" s="66"/>
      <c r="O810" s="65"/>
      <c r="P810" s="65"/>
      <c r="Q810" s="65"/>
      <c r="T810" s="20"/>
      <c r="U810" s="21"/>
      <c r="V810" s="37"/>
      <c r="W810" s="63"/>
    </row>
    <row r="811" spans="1:23" x14ac:dyDescent="0.35">
      <c r="A811" s="63"/>
      <c r="B811" s="64"/>
      <c r="C811" s="63"/>
      <c r="D811" s="63"/>
      <c r="E811" s="65"/>
      <c r="F811" s="65"/>
      <c r="G811" s="65"/>
      <c r="H811" s="65"/>
      <c r="I811" s="65"/>
      <c r="J811" s="65"/>
      <c r="K811" s="65"/>
      <c r="L811" s="34"/>
      <c r="M811" s="34"/>
      <c r="N811" s="66"/>
      <c r="O811" s="65"/>
      <c r="P811" s="65"/>
      <c r="Q811" s="65"/>
      <c r="T811" s="20"/>
      <c r="U811" s="21"/>
      <c r="V811" s="37"/>
      <c r="W811" s="63"/>
    </row>
    <row r="812" spans="1:23" x14ac:dyDescent="0.35">
      <c r="A812" s="63"/>
      <c r="B812" s="64"/>
      <c r="C812" s="63"/>
      <c r="D812" s="63"/>
      <c r="E812" s="65"/>
      <c r="F812" s="65"/>
      <c r="G812" s="65"/>
      <c r="H812" s="65"/>
      <c r="I812" s="65"/>
      <c r="J812" s="65"/>
      <c r="K812" s="65"/>
      <c r="L812" s="34"/>
      <c r="M812" s="34"/>
      <c r="N812" s="66"/>
      <c r="O812" s="65"/>
      <c r="P812" s="65"/>
      <c r="Q812" s="65"/>
      <c r="T812" s="20"/>
      <c r="U812" s="21"/>
      <c r="V812" s="37"/>
      <c r="W812" s="63"/>
    </row>
    <row r="813" spans="1:23" x14ac:dyDescent="0.35">
      <c r="A813" s="63"/>
      <c r="B813" s="64"/>
      <c r="C813" s="63"/>
      <c r="D813" s="63"/>
      <c r="E813" s="65"/>
      <c r="F813" s="65"/>
      <c r="G813" s="65"/>
      <c r="H813" s="65"/>
      <c r="I813" s="65"/>
      <c r="J813" s="65"/>
      <c r="K813" s="65"/>
      <c r="L813" s="34"/>
      <c r="M813" s="34"/>
      <c r="N813" s="66"/>
      <c r="O813" s="65"/>
      <c r="P813" s="65"/>
      <c r="Q813" s="65"/>
      <c r="T813" s="20"/>
      <c r="U813" s="21"/>
      <c r="V813" s="37"/>
      <c r="W813" s="63"/>
    </row>
    <row r="814" spans="1:23" x14ac:dyDescent="0.35">
      <c r="A814" s="63"/>
      <c r="B814" s="64"/>
      <c r="C814" s="63"/>
      <c r="D814" s="63"/>
      <c r="E814" s="65"/>
      <c r="F814" s="65"/>
      <c r="G814" s="65"/>
      <c r="H814" s="65"/>
      <c r="I814" s="65"/>
      <c r="J814" s="65"/>
      <c r="K814" s="65"/>
      <c r="L814" s="34"/>
      <c r="M814" s="34"/>
      <c r="N814" s="66"/>
      <c r="O814" s="65"/>
      <c r="P814" s="65"/>
      <c r="Q814" s="65"/>
      <c r="T814" s="20"/>
      <c r="U814" s="21"/>
      <c r="V814" s="37"/>
      <c r="W814" s="63"/>
    </row>
    <row r="815" spans="1:23" x14ac:dyDescent="0.35">
      <c r="A815" s="63"/>
      <c r="B815" s="64"/>
      <c r="C815" s="63"/>
      <c r="D815" s="63"/>
      <c r="E815" s="65"/>
      <c r="F815" s="65"/>
      <c r="G815" s="65"/>
      <c r="H815" s="65"/>
      <c r="I815" s="65"/>
      <c r="J815" s="65"/>
      <c r="K815" s="65"/>
      <c r="L815" s="34"/>
      <c r="M815" s="34"/>
      <c r="N815" s="66"/>
      <c r="O815" s="65"/>
      <c r="P815" s="65"/>
      <c r="Q815" s="65"/>
      <c r="T815" s="20"/>
      <c r="U815" s="21"/>
      <c r="V815" s="37"/>
      <c r="W815" s="63"/>
    </row>
    <row r="816" spans="1:23" x14ac:dyDescent="0.35">
      <c r="A816" s="63"/>
      <c r="B816" s="64"/>
      <c r="C816" s="63"/>
      <c r="D816" s="63"/>
      <c r="E816" s="65"/>
      <c r="F816" s="65"/>
      <c r="G816" s="65"/>
      <c r="H816" s="65"/>
      <c r="I816" s="65"/>
      <c r="J816" s="65"/>
      <c r="K816" s="65"/>
      <c r="L816" s="34"/>
      <c r="M816" s="34"/>
      <c r="N816" s="66"/>
      <c r="O816" s="65"/>
      <c r="P816" s="65"/>
      <c r="Q816" s="65"/>
      <c r="T816" s="20"/>
      <c r="U816" s="21"/>
      <c r="V816" s="37"/>
      <c r="W816" s="63"/>
    </row>
    <row r="817" spans="1:23" x14ac:dyDescent="0.35">
      <c r="A817" s="63"/>
      <c r="B817" s="64"/>
      <c r="C817" s="63"/>
      <c r="D817" s="63"/>
      <c r="E817" s="65"/>
      <c r="F817" s="65"/>
      <c r="G817" s="65"/>
      <c r="H817" s="65"/>
      <c r="I817" s="65"/>
      <c r="J817" s="65"/>
      <c r="K817" s="65"/>
      <c r="L817" s="34"/>
      <c r="M817" s="34"/>
      <c r="N817" s="66"/>
      <c r="O817" s="65"/>
      <c r="P817" s="65"/>
      <c r="Q817" s="65"/>
      <c r="T817" s="20"/>
      <c r="U817" s="21"/>
      <c r="V817" s="37"/>
      <c r="W817" s="63"/>
    </row>
    <row r="818" spans="1:23" x14ac:dyDescent="0.35">
      <c r="A818" s="63"/>
      <c r="B818" s="64"/>
      <c r="C818" s="63"/>
      <c r="D818" s="63"/>
      <c r="E818" s="65"/>
      <c r="F818" s="65"/>
      <c r="G818" s="65"/>
      <c r="H818" s="65"/>
      <c r="I818" s="65"/>
      <c r="J818" s="65"/>
      <c r="K818" s="65"/>
      <c r="L818" s="34"/>
      <c r="M818" s="34"/>
      <c r="N818" s="66"/>
      <c r="O818" s="65"/>
      <c r="P818" s="65"/>
      <c r="Q818" s="65"/>
      <c r="T818" s="20"/>
      <c r="U818" s="21"/>
      <c r="V818" s="37"/>
      <c r="W818" s="63"/>
    </row>
    <row r="819" spans="1:23" x14ac:dyDescent="0.35">
      <c r="A819" s="63"/>
      <c r="B819" s="64"/>
      <c r="C819" s="63"/>
      <c r="D819" s="63"/>
      <c r="E819" s="65"/>
      <c r="F819" s="65"/>
      <c r="G819" s="65"/>
      <c r="H819" s="65"/>
      <c r="I819" s="65"/>
      <c r="J819" s="65"/>
      <c r="K819" s="65"/>
      <c r="L819" s="34"/>
      <c r="M819" s="34"/>
      <c r="N819" s="66"/>
      <c r="O819" s="65"/>
      <c r="P819" s="65"/>
      <c r="Q819" s="65"/>
      <c r="T819" s="20"/>
      <c r="U819" s="21"/>
      <c r="V819" s="37"/>
      <c r="W819" s="63"/>
    </row>
    <row r="820" spans="1:23" x14ac:dyDescent="0.35">
      <c r="A820" s="63"/>
      <c r="B820" s="64"/>
      <c r="C820" s="63"/>
      <c r="D820" s="63"/>
      <c r="E820" s="65"/>
      <c r="F820" s="65"/>
      <c r="G820" s="65"/>
      <c r="H820" s="65"/>
      <c r="I820" s="65"/>
      <c r="J820" s="65"/>
      <c r="K820" s="65"/>
      <c r="L820" s="34"/>
      <c r="M820" s="34"/>
      <c r="N820" s="66"/>
      <c r="O820" s="65"/>
      <c r="P820" s="65"/>
      <c r="Q820" s="65"/>
      <c r="T820" s="20"/>
      <c r="U820" s="21"/>
      <c r="V820" s="37"/>
      <c r="W820" s="63"/>
    </row>
    <row r="821" spans="1:23" x14ac:dyDescent="0.35">
      <c r="A821" s="63"/>
      <c r="B821" s="64"/>
      <c r="C821" s="63"/>
      <c r="D821" s="63"/>
      <c r="E821" s="65"/>
      <c r="F821" s="65"/>
      <c r="G821" s="65"/>
      <c r="H821" s="65"/>
      <c r="I821" s="65"/>
      <c r="J821" s="65"/>
      <c r="K821" s="65"/>
      <c r="L821" s="34"/>
      <c r="M821" s="34"/>
      <c r="N821" s="66"/>
      <c r="O821" s="65"/>
      <c r="P821" s="65"/>
      <c r="Q821" s="65"/>
      <c r="T821" s="20"/>
      <c r="U821" s="21"/>
      <c r="V821" s="37"/>
      <c r="W821" s="63"/>
    </row>
    <row r="822" spans="1:23" x14ac:dyDescent="0.35">
      <c r="A822" s="63"/>
      <c r="B822" s="64"/>
      <c r="C822" s="63"/>
      <c r="D822" s="63"/>
      <c r="E822" s="65"/>
      <c r="F822" s="65"/>
      <c r="G822" s="65"/>
      <c r="H822" s="65"/>
      <c r="I822" s="65"/>
      <c r="J822" s="65"/>
      <c r="K822" s="65"/>
      <c r="L822" s="34"/>
      <c r="M822" s="34"/>
      <c r="N822" s="66"/>
      <c r="O822" s="65"/>
      <c r="P822" s="65"/>
      <c r="Q822" s="65"/>
      <c r="T822" s="20"/>
      <c r="U822" s="21"/>
      <c r="V822" s="37"/>
      <c r="W822" s="63"/>
    </row>
    <row r="823" spans="1:23" x14ac:dyDescent="0.35">
      <c r="A823" s="63"/>
      <c r="B823" s="64"/>
      <c r="C823" s="63"/>
      <c r="D823" s="63"/>
      <c r="E823" s="65"/>
      <c r="F823" s="65"/>
      <c r="G823" s="65"/>
      <c r="H823" s="65"/>
      <c r="I823" s="65"/>
      <c r="J823" s="65"/>
      <c r="K823" s="65"/>
      <c r="L823" s="34"/>
      <c r="M823" s="34"/>
      <c r="N823" s="66"/>
      <c r="O823" s="65"/>
      <c r="P823" s="65"/>
      <c r="Q823" s="65"/>
      <c r="T823" s="20"/>
      <c r="U823" s="21"/>
      <c r="V823" s="37"/>
      <c r="W823" s="63"/>
    </row>
    <row r="824" spans="1:23" x14ac:dyDescent="0.35">
      <c r="A824" s="63"/>
      <c r="B824" s="64"/>
      <c r="C824" s="63"/>
      <c r="D824" s="63"/>
      <c r="E824" s="65"/>
      <c r="F824" s="65"/>
      <c r="G824" s="65"/>
      <c r="H824" s="65"/>
      <c r="I824" s="65"/>
      <c r="J824" s="65"/>
      <c r="K824" s="65"/>
      <c r="L824" s="34"/>
      <c r="M824" s="34"/>
      <c r="N824" s="66"/>
      <c r="O824" s="65"/>
      <c r="P824" s="65"/>
      <c r="Q824" s="65"/>
      <c r="T824" s="20"/>
      <c r="U824" s="21"/>
      <c r="V824" s="37"/>
      <c r="W824" s="63"/>
    </row>
    <row r="825" spans="1:23" x14ac:dyDescent="0.35">
      <c r="A825" s="63"/>
      <c r="B825" s="64"/>
      <c r="C825" s="63"/>
      <c r="D825" s="63"/>
      <c r="E825" s="65"/>
      <c r="F825" s="65"/>
      <c r="G825" s="65"/>
      <c r="H825" s="65"/>
      <c r="I825" s="65"/>
      <c r="J825" s="65"/>
      <c r="K825" s="65"/>
      <c r="L825" s="34"/>
      <c r="M825" s="34"/>
      <c r="N825" s="66"/>
      <c r="O825" s="65"/>
      <c r="P825" s="65"/>
      <c r="Q825" s="65"/>
      <c r="T825" s="20"/>
      <c r="U825" s="21"/>
      <c r="V825" s="37"/>
      <c r="W825" s="63"/>
    </row>
    <row r="826" spans="1:23" x14ac:dyDescent="0.35">
      <c r="A826" s="63"/>
      <c r="B826" s="64"/>
      <c r="C826" s="63"/>
      <c r="D826" s="63"/>
      <c r="E826" s="65"/>
      <c r="F826" s="65"/>
      <c r="G826" s="65"/>
      <c r="H826" s="65"/>
      <c r="I826" s="65"/>
      <c r="J826" s="65"/>
      <c r="K826" s="65"/>
      <c r="L826" s="34"/>
      <c r="M826" s="34"/>
      <c r="N826" s="66"/>
      <c r="O826" s="65"/>
      <c r="P826" s="65"/>
      <c r="Q826" s="65"/>
      <c r="T826" s="20"/>
      <c r="U826" s="21"/>
      <c r="V826" s="37"/>
      <c r="W826" s="63"/>
    </row>
    <row r="827" spans="1:23" x14ac:dyDescent="0.35">
      <c r="A827" s="63"/>
      <c r="B827" s="64"/>
      <c r="C827" s="63"/>
      <c r="D827" s="63"/>
      <c r="E827" s="65"/>
      <c r="F827" s="65"/>
      <c r="G827" s="65"/>
      <c r="H827" s="65"/>
      <c r="I827" s="65"/>
      <c r="J827" s="65"/>
      <c r="K827" s="65"/>
      <c r="L827" s="34"/>
      <c r="M827" s="34"/>
      <c r="N827" s="66"/>
      <c r="O827" s="65"/>
      <c r="P827" s="65"/>
      <c r="Q827" s="65"/>
      <c r="T827" s="20"/>
      <c r="U827" s="21"/>
      <c r="V827" s="37"/>
      <c r="W827" s="63"/>
    </row>
    <row r="828" spans="1:23" x14ac:dyDescent="0.35">
      <c r="A828" s="63"/>
      <c r="B828" s="64"/>
      <c r="C828" s="63"/>
      <c r="D828" s="63"/>
      <c r="E828" s="65"/>
      <c r="F828" s="65"/>
      <c r="G828" s="65"/>
      <c r="H828" s="65"/>
      <c r="I828" s="65"/>
      <c r="J828" s="65"/>
      <c r="K828" s="65"/>
      <c r="L828" s="34"/>
      <c r="M828" s="34"/>
      <c r="N828" s="66"/>
      <c r="O828" s="65"/>
      <c r="P828" s="65"/>
      <c r="Q828" s="65"/>
      <c r="T828" s="20"/>
      <c r="U828" s="21"/>
      <c r="V828" s="37"/>
      <c r="W828" s="63"/>
    </row>
    <row r="829" spans="1:23" x14ac:dyDescent="0.35">
      <c r="A829" s="63"/>
      <c r="B829" s="64"/>
      <c r="C829" s="63"/>
      <c r="D829" s="63"/>
      <c r="E829" s="65"/>
      <c r="F829" s="65"/>
      <c r="G829" s="65"/>
      <c r="H829" s="65"/>
      <c r="I829" s="65"/>
      <c r="J829" s="65"/>
      <c r="K829" s="65"/>
      <c r="L829" s="34"/>
      <c r="M829" s="34"/>
      <c r="N829" s="66"/>
      <c r="O829" s="65"/>
      <c r="P829" s="65"/>
      <c r="Q829" s="65"/>
      <c r="T829" s="20"/>
      <c r="U829" s="21"/>
      <c r="V829" s="37"/>
      <c r="W829" s="63"/>
    </row>
    <row r="830" spans="1:23" x14ac:dyDescent="0.35">
      <c r="A830" s="63"/>
      <c r="B830" s="64"/>
      <c r="C830" s="63"/>
      <c r="D830" s="63"/>
      <c r="E830" s="65"/>
      <c r="F830" s="65"/>
      <c r="G830" s="65"/>
      <c r="H830" s="65"/>
      <c r="I830" s="65"/>
      <c r="J830" s="65"/>
      <c r="K830" s="65"/>
      <c r="L830" s="34"/>
      <c r="M830" s="34"/>
      <c r="N830" s="66"/>
      <c r="O830" s="65"/>
      <c r="P830" s="65"/>
      <c r="Q830" s="65"/>
      <c r="T830" s="20"/>
      <c r="U830" s="21"/>
      <c r="V830" s="37"/>
      <c r="W830" s="63"/>
    </row>
    <row r="831" spans="1:23" x14ac:dyDescent="0.35">
      <c r="A831" s="63"/>
      <c r="B831" s="64"/>
      <c r="C831" s="63"/>
      <c r="D831" s="63"/>
      <c r="E831" s="65"/>
      <c r="F831" s="65"/>
      <c r="G831" s="65"/>
      <c r="H831" s="65"/>
      <c r="I831" s="65"/>
      <c r="J831" s="65"/>
      <c r="K831" s="65"/>
      <c r="L831" s="34"/>
      <c r="M831" s="34"/>
      <c r="N831" s="66"/>
      <c r="O831" s="65"/>
      <c r="P831" s="65"/>
      <c r="Q831" s="65"/>
      <c r="T831" s="20"/>
      <c r="U831" s="21"/>
      <c r="V831" s="37"/>
      <c r="W831" s="63"/>
    </row>
    <row r="832" spans="1:23" x14ac:dyDescent="0.35">
      <c r="A832" s="63"/>
      <c r="B832" s="64"/>
      <c r="C832" s="63"/>
      <c r="D832" s="63"/>
      <c r="E832" s="65"/>
      <c r="F832" s="65"/>
      <c r="G832" s="65"/>
      <c r="H832" s="65"/>
      <c r="I832" s="65"/>
      <c r="J832" s="65"/>
      <c r="K832" s="65"/>
      <c r="L832" s="34"/>
      <c r="M832" s="34"/>
      <c r="N832" s="66"/>
      <c r="O832" s="65"/>
      <c r="P832" s="65"/>
      <c r="Q832" s="65"/>
      <c r="T832" s="20"/>
      <c r="U832" s="21"/>
      <c r="V832" s="37"/>
      <c r="W832" s="63"/>
    </row>
    <row r="833" spans="1:23" x14ac:dyDescent="0.35">
      <c r="A833" s="63"/>
      <c r="B833" s="64"/>
      <c r="C833" s="63"/>
      <c r="D833" s="63"/>
      <c r="E833" s="65"/>
      <c r="F833" s="65"/>
      <c r="G833" s="65"/>
      <c r="H833" s="65"/>
      <c r="I833" s="65"/>
      <c r="J833" s="65"/>
      <c r="K833" s="65"/>
      <c r="L833" s="34"/>
      <c r="M833" s="34"/>
      <c r="N833" s="66"/>
      <c r="O833" s="65"/>
      <c r="P833" s="65"/>
      <c r="Q833" s="65"/>
      <c r="T833" s="20"/>
      <c r="U833" s="21"/>
      <c r="V833" s="37"/>
      <c r="W833" s="63"/>
    </row>
    <row r="834" spans="1:23" x14ac:dyDescent="0.35">
      <c r="A834" s="63"/>
      <c r="B834" s="64"/>
      <c r="C834" s="63"/>
      <c r="D834" s="63"/>
      <c r="E834" s="65"/>
      <c r="F834" s="65"/>
      <c r="G834" s="65"/>
      <c r="H834" s="65"/>
      <c r="I834" s="65"/>
      <c r="J834" s="65"/>
      <c r="K834" s="65"/>
      <c r="L834" s="34"/>
      <c r="M834" s="34"/>
      <c r="N834" s="66"/>
      <c r="O834" s="65"/>
      <c r="P834" s="65"/>
      <c r="Q834" s="65"/>
      <c r="T834" s="20"/>
      <c r="U834" s="21"/>
      <c r="V834" s="37"/>
      <c r="W834" s="63"/>
    </row>
    <row r="835" spans="1:23" x14ac:dyDescent="0.35">
      <c r="A835" s="63"/>
      <c r="B835" s="64"/>
      <c r="C835" s="63"/>
      <c r="D835" s="63"/>
      <c r="E835" s="65"/>
      <c r="F835" s="65"/>
      <c r="G835" s="65"/>
      <c r="H835" s="65"/>
      <c r="I835" s="65"/>
      <c r="J835" s="65"/>
      <c r="K835" s="65"/>
      <c r="L835" s="34"/>
      <c r="M835" s="34"/>
      <c r="N835" s="66"/>
      <c r="O835" s="65"/>
      <c r="P835" s="65"/>
      <c r="Q835" s="65"/>
      <c r="T835" s="20"/>
      <c r="U835" s="21"/>
      <c r="V835" s="37"/>
      <c r="W835" s="63"/>
    </row>
    <row r="836" spans="1:23" x14ac:dyDescent="0.35">
      <c r="A836" s="63"/>
      <c r="B836" s="64"/>
      <c r="C836" s="63"/>
      <c r="D836" s="63"/>
      <c r="E836" s="65"/>
      <c r="F836" s="65"/>
      <c r="G836" s="65"/>
      <c r="H836" s="65"/>
      <c r="I836" s="65"/>
      <c r="J836" s="65"/>
      <c r="K836" s="65"/>
      <c r="L836" s="34"/>
      <c r="M836" s="34"/>
      <c r="N836" s="66"/>
      <c r="O836" s="65"/>
      <c r="P836" s="65"/>
      <c r="Q836" s="65"/>
      <c r="T836" s="20"/>
      <c r="U836" s="21"/>
      <c r="V836" s="37"/>
      <c r="W836" s="63"/>
    </row>
    <row r="837" spans="1:23" x14ac:dyDescent="0.35">
      <c r="A837" s="63"/>
      <c r="B837" s="64"/>
      <c r="C837" s="63"/>
      <c r="D837" s="63"/>
      <c r="E837" s="65"/>
      <c r="F837" s="65"/>
      <c r="G837" s="65"/>
      <c r="H837" s="65"/>
      <c r="I837" s="65"/>
      <c r="J837" s="65"/>
      <c r="K837" s="65"/>
      <c r="L837" s="34"/>
      <c r="M837" s="34"/>
      <c r="N837" s="66"/>
      <c r="O837" s="65"/>
      <c r="P837" s="65"/>
      <c r="Q837" s="65"/>
      <c r="T837" s="20"/>
      <c r="U837" s="21"/>
      <c r="V837" s="37"/>
      <c r="W837" s="63"/>
    </row>
    <row r="838" spans="1:23" x14ac:dyDescent="0.35">
      <c r="A838" s="63"/>
      <c r="B838" s="64"/>
      <c r="C838" s="63"/>
      <c r="D838" s="63"/>
      <c r="E838" s="65"/>
      <c r="F838" s="65"/>
      <c r="G838" s="65"/>
      <c r="H838" s="65"/>
      <c r="I838" s="65"/>
      <c r="J838" s="65"/>
      <c r="K838" s="65"/>
      <c r="L838" s="34"/>
      <c r="M838" s="34"/>
      <c r="N838" s="66"/>
      <c r="O838" s="65"/>
      <c r="P838" s="65"/>
      <c r="Q838" s="65"/>
      <c r="T838" s="20"/>
      <c r="U838" s="21"/>
      <c r="V838" s="37"/>
      <c r="W838" s="63"/>
    </row>
    <row r="839" spans="1:23" x14ac:dyDescent="0.35">
      <c r="A839" s="63"/>
      <c r="B839" s="64"/>
      <c r="C839" s="63"/>
      <c r="D839" s="63"/>
      <c r="E839" s="65"/>
      <c r="F839" s="65"/>
      <c r="G839" s="65"/>
      <c r="H839" s="65"/>
      <c r="I839" s="65"/>
      <c r="J839" s="65"/>
      <c r="K839" s="65"/>
      <c r="L839" s="34"/>
      <c r="M839" s="34"/>
      <c r="N839" s="66"/>
      <c r="O839" s="65"/>
      <c r="P839" s="65"/>
      <c r="Q839" s="65"/>
      <c r="T839" s="20"/>
      <c r="U839" s="21"/>
      <c r="V839" s="37"/>
      <c r="W839" s="63"/>
    </row>
    <row r="840" spans="1:23" x14ac:dyDescent="0.35">
      <c r="A840" s="63"/>
      <c r="B840" s="64"/>
      <c r="C840" s="63"/>
      <c r="D840" s="63"/>
      <c r="E840" s="65"/>
      <c r="F840" s="65"/>
      <c r="G840" s="65"/>
      <c r="H840" s="65"/>
      <c r="I840" s="65"/>
      <c r="J840" s="65"/>
      <c r="K840" s="65"/>
      <c r="L840" s="34"/>
      <c r="M840" s="34"/>
      <c r="N840" s="66"/>
      <c r="O840" s="65"/>
      <c r="P840" s="65"/>
      <c r="Q840" s="65"/>
      <c r="T840" s="20"/>
      <c r="U840" s="21"/>
      <c r="V840" s="37"/>
      <c r="W840" s="63"/>
    </row>
    <row r="841" spans="1:23" x14ac:dyDescent="0.35">
      <c r="A841" s="63"/>
      <c r="B841" s="64"/>
      <c r="C841" s="63"/>
      <c r="D841" s="63"/>
      <c r="E841" s="65"/>
      <c r="F841" s="65"/>
      <c r="G841" s="65"/>
      <c r="H841" s="65"/>
      <c r="I841" s="65"/>
      <c r="J841" s="65"/>
      <c r="K841" s="65"/>
      <c r="L841" s="34"/>
      <c r="M841" s="34"/>
      <c r="N841" s="66"/>
      <c r="O841" s="65"/>
      <c r="P841" s="65"/>
      <c r="Q841" s="65"/>
      <c r="T841" s="20"/>
      <c r="U841" s="21"/>
      <c r="V841" s="37"/>
      <c r="W841" s="63"/>
    </row>
    <row r="842" spans="1:23" x14ac:dyDescent="0.35">
      <c r="A842" s="63"/>
      <c r="B842" s="64"/>
      <c r="C842" s="63"/>
      <c r="D842" s="63"/>
      <c r="E842" s="65"/>
      <c r="F842" s="65"/>
      <c r="G842" s="65"/>
      <c r="H842" s="65"/>
      <c r="I842" s="65"/>
      <c r="J842" s="65"/>
      <c r="K842" s="65"/>
      <c r="L842" s="34"/>
      <c r="M842" s="34"/>
      <c r="N842" s="66"/>
      <c r="O842" s="65"/>
      <c r="P842" s="65"/>
      <c r="Q842" s="65"/>
      <c r="T842" s="20"/>
      <c r="U842" s="21"/>
      <c r="V842" s="37"/>
      <c r="W842" s="63"/>
    </row>
    <row r="843" spans="1:23" x14ac:dyDescent="0.35">
      <c r="A843" s="63"/>
      <c r="B843" s="64"/>
      <c r="C843" s="63"/>
      <c r="D843" s="63"/>
      <c r="E843" s="65"/>
      <c r="F843" s="65"/>
      <c r="G843" s="65"/>
      <c r="H843" s="65"/>
      <c r="I843" s="65"/>
      <c r="J843" s="65"/>
      <c r="K843" s="65"/>
      <c r="L843" s="34"/>
      <c r="M843" s="34"/>
      <c r="N843" s="66"/>
      <c r="O843" s="65"/>
      <c r="P843" s="65"/>
      <c r="Q843" s="65"/>
      <c r="T843" s="20"/>
      <c r="U843" s="21"/>
      <c r="V843" s="37"/>
      <c r="W843" s="63"/>
    </row>
    <row r="844" spans="1:23" x14ac:dyDescent="0.35">
      <c r="A844" s="63"/>
      <c r="B844" s="64"/>
      <c r="C844" s="63"/>
      <c r="D844" s="63"/>
      <c r="E844" s="65"/>
      <c r="F844" s="65"/>
      <c r="G844" s="65"/>
      <c r="H844" s="65"/>
      <c r="I844" s="65"/>
      <c r="J844" s="65"/>
      <c r="K844" s="65"/>
      <c r="L844" s="34"/>
      <c r="M844" s="34"/>
      <c r="N844" s="66"/>
      <c r="O844" s="65"/>
      <c r="P844" s="65"/>
      <c r="Q844" s="65"/>
      <c r="T844" s="20"/>
      <c r="U844" s="21"/>
      <c r="V844" s="37"/>
      <c r="W844" s="63"/>
    </row>
    <row r="845" spans="1:23" x14ac:dyDescent="0.35">
      <c r="A845" s="63"/>
      <c r="B845" s="64"/>
      <c r="C845" s="63"/>
      <c r="D845" s="63"/>
      <c r="E845" s="65"/>
      <c r="F845" s="65"/>
      <c r="G845" s="65"/>
      <c r="H845" s="65"/>
      <c r="I845" s="65"/>
      <c r="J845" s="65"/>
      <c r="K845" s="65"/>
      <c r="L845" s="34"/>
      <c r="M845" s="34"/>
      <c r="N845" s="66"/>
      <c r="O845" s="65"/>
      <c r="P845" s="65"/>
      <c r="Q845" s="65"/>
      <c r="T845" s="20"/>
      <c r="U845" s="21"/>
      <c r="V845" s="37"/>
      <c r="W845" s="63"/>
    </row>
    <row r="846" spans="1:23" x14ac:dyDescent="0.35">
      <c r="A846" s="63"/>
      <c r="B846" s="64"/>
      <c r="C846" s="63"/>
      <c r="D846" s="63"/>
      <c r="E846" s="65"/>
      <c r="F846" s="65"/>
      <c r="G846" s="65"/>
      <c r="H846" s="65"/>
      <c r="I846" s="65"/>
      <c r="J846" s="65"/>
      <c r="K846" s="65"/>
      <c r="L846" s="34"/>
      <c r="M846" s="34"/>
      <c r="N846" s="66"/>
      <c r="O846" s="65"/>
      <c r="P846" s="65"/>
      <c r="Q846" s="65"/>
      <c r="T846" s="20"/>
      <c r="U846" s="21"/>
      <c r="V846" s="37"/>
      <c r="W846" s="63"/>
    </row>
    <row r="847" spans="1:23" x14ac:dyDescent="0.35">
      <c r="A847" s="63"/>
      <c r="B847" s="64"/>
      <c r="C847" s="63"/>
      <c r="D847" s="63"/>
      <c r="E847" s="65"/>
      <c r="F847" s="65"/>
      <c r="G847" s="65"/>
      <c r="H847" s="65"/>
      <c r="I847" s="65"/>
      <c r="J847" s="65"/>
      <c r="K847" s="65"/>
      <c r="L847" s="34"/>
      <c r="M847" s="34"/>
      <c r="N847" s="66"/>
      <c r="O847" s="65"/>
      <c r="P847" s="65"/>
      <c r="Q847" s="65"/>
      <c r="T847" s="20"/>
      <c r="U847" s="21"/>
      <c r="V847" s="37"/>
      <c r="W847" s="63"/>
    </row>
    <row r="848" spans="1:23" x14ac:dyDescent="0.35">
      <c r="A848" s="63"/>
      <c r="B848" s="64"/>
      <c r="C848" s="63"/>
      <c r="D848" s="63"/>
      <c r="E848" s="65"/>
      <c r="F848" s="65"/>
      <c r="G848" s="65"/>
      <c r="H848" s="65"/>
      <c r="I848" s="65"/>
      <c r="J848" s="65"/>
      <c r="K848" s="65"/>
      <c r="L848" s="34"/>
      <c r="M848" s="34"/>
      <c r="N848" s="66"/>
      <c r="O848" s="65"/>
      <c r="P848" s="65"/>
      <c r="Q848" s="65"/>
      <c r="T848" s="20"/>
      <c r="U848" s="21"/>
      <c r="V848" s="37"/>
      <c r="W848" s="63"/>
    </row>
    <row r="849" spans="1:23" x14ac:dyDescent="0.35">
      <c r="A849" s="63"/>
      <c r="B849" s="64"/>
      <c r="C849" s="63"/>
      <c r="D849" s="63"/>
      <c r="E849" s="65"/>
      <c r="F849" s="65"/>
      <c r="G849" s="65"/>
      <c r="H849" s="65"/>
      <c r="I849" s="65"/>
      <c r="J849" s="65"/>
      <c r="K849" s="65"/>
      <c r="L849" s="34"/>
      <c r="M849" s="34"/>
      <c r="N849" s="66"/>
      <c r="O849" s="65"/>
      <c r="P849" s="65"/>
      <c r="Q849" s="65"/>
      <c r="T849" s="20"/>
      <c r="U849" s="21"/>
      <c r="V849" s="37"/>
      <c r="W849" s="63"/>
    </row>
    <row r="850" spans="1:23" x14ac:dyDescent="0.35">
      <c r="A850" s="63"/>
      <c r="B850" s="64"/>
      <c r="C850" s="63"/>
      <c r="D850" s="63"/>
      <c r="E850" s="65"/>
      <c r="F850" s="65"/>
      <c r="G850" s="65"/>
      <c r="H850" s="65"/>
      <c r="I850" s="65"/>
      <c r="J850" s="65"/>
      <c r="K850" s="65"/>
      <c r="L850" s="34"/>
      <c r="M850" s="34"/>
      <c r="N850" s="66"/>
      <c r="O850" s="65"/>
      <c r="P850" s="65"/>
      <c r="Q850" s="65"/>
      <c r="T850" s="20"/>
      <c r="U850" s="21"/>
      <c r="V850" s="37"/>
      <c r="W850" s="63"/>
    </row>
    <row r="851" spans="1:23" x14ac:dyDescent="0.35">
      <c r="A851" s="63"/>
      <c r="B851" s="64"/>
      <c r="C851" s="63"/>
      <c r="D851" s="63"/>
      <c r="E851" s="65"/>
      <c r="F851" s="65"/>
      <c r="G851" s="65"/>
      <c r="H851" s="65"/>
      <c r="I851" s="65"/>
      <c r="J851" s="65"/>
      <c r="K851" s="65"/>
      <c r="L851" s="34"/>
      <c r="M851" s="34"/>
      <c r="N851" s="66"/>
      <c r="O851" s="65"/>
      <c r="P851" s="65"/>
      <c r="Q851" s="65"/>
      <c r="T851" s="20"/>
      <c r="U851" s="21"/>
      <c r="V851" s="37"/>
      <c r="W851" s="63"/>
    </row>
    <row r="852" spans="1:23" x14ac:dyDescent="0.35">
      <c r="A852" s="63"/>
      <c r="B852" s="64"/>
      <c r="C852" s="63"/>
      <c r="D852" s="63"/>
      <c r="E852" s="65"/>
      <c r="F852" s="65"/>
      <c r="G852" s="65"/>
      <c r="H852" s="65"/>
      <c r="I852" s="65"/>
      <c r="J852" s="65"/>
      <c r="K852" s="65"/>
      <c r="L852" s="34"/>
      <c r="M852" s="34"/>
      <c r="N852" s="66"/>
      <c r="O852" s="65"/>
      <c r="P852" s="65"/>
      <c r="Q852" s="65"/>
      <c r="T852" s="20"/>
      <c r="U852" s="21"/>
      <c r="V852" s="37"/>
      <c r="W852" s="63"/>
    </row>
    <row r="853" spans="1:23" x14ac:dyDescent="0.35">
      <c r="A853" s="63"/>
      <c r="B853" s="64"/>
      <c r="C853" s="63"/>
      <c r="D853" s="63"/>
      <c r="E853" s="65"/>
      <c r="F853" s="65"/>
      <c r="G853" s="65"/>
      <c r="H853" s="65"/>
      <c r="I853" s="65"/>
      <c r="J853" s="65"/>
      <c r="K853" s="65"/>
      <c r="L853" s="34"/>
      <c r="M853" s="34"/>
      <c r="N853" s="66"/>
      <c r="O853" s="65"/>
      <c r="P853" s="65"/>
      <c r="Q853" s="65"/>
      <c r="T853" s="20"/>
      <c r="U853" s="21"/>
      <c r="V853" s="37"/>
      <c r="W853" s="63"/>
    </row>
    <row r="854" spans="1:23" x14ac:dyDescent="0.35">
      <c r="A854" s="63"/>
      <c r="B854" s="64"/>
      <c r="C854" s="63"/>
      <c r="D854" s="63"/>
      <c r="E854" s="65"/>
      <c r="F854" s="65"/>
      <c r="G854" s="65"/>
      <c r="H854" s="65"/>
      <c r="I854" s="65"/>
      <c r="J854" s="65"/>
      <c r="K854" s="65"/>
      <c r="L854" s="34"/>
      <c r="M854" s="34"/>
      <c r="N854" s="66"/>
      <c r="O854" s="65"/>
      <c r="P854" s="65"/>
      <c r="Q854" s="65"/>
      <c r="T854" s="20"/>
      <c r="U854" s="21"/>
      <c r="V854" s="37"/>
      <c r="W854" s="63"/>
    </row>
    <row r="855" spans="1:23" x14ac:dyDescent="0.35">
      <c r="A855" s="63"/>
      <c r="B855" s="64"/>
      <c r="C855" s="63"/>
      <c r="D855" s="63"/>
      <c r="E855" s="65"/>
      <c r="F855" s="65"/>
      <c r="G855" s="65"/>
      <c r="H855" s="65"/>
      <c r="I855" s="65"/>
      <c r="J855" s="65"/>
      <c r="K855" s="65"/>
      <c r="L855" s="34"/>
      <c r="M855" s="34"/>
      <c r="N855" s="66"/>
      <c r="O855" s="65"/>
      <c r="P855" s="65"/>
      <c r="Q855" s="65"/>
      <c r="T855" s="20"/>
      <c r="U855" s="21"/>
      <c r="V855" s="37"/>
      <c r="W855" s="63"/>
    </row>
    <row r="856" spans="1:23" x14ac:dyDescent="0.35">
      <c r="A856" s="63"/>
      <c r="B856" s="64"/>
      <c r="C856" s="63"/>
      <c r="D856" s="63"/>
      <c r="E856" s="65"/>
      <c r="F856" s="65"/>
      <c r="G856" s="65"/>
      <c r="H856" s="65"/>
      <c r="I856" s="65"/>
      <c r="J856" s="65"/>
      <c r="K856" s="65"/>
      <c r="L856" s="34"/>
      <c r="M856" s="34"/>
      <c r="N856" s="66"/>
      <c r="O856" s="65"/>
      <c r="P856" s="65"/>
      <c r="Q856" s="65"/>
      <c r="T856" s="20"/>
      <c r="U856" s="21"/>
      <c r="V856" s="37"/>
      <c r="W856" s="63"/>
    </row>
    <row r="857" spans="1:23" x14ac:dyDescent="0.35">
      <c r="A857" s="63"/>
      <c r="B857" s="64"/>
      <c r="C857" s="63"/>
      <c r="D857" s="63"/>
      <c r="E857" s="65"/>
      <c r="F857" s="65"/>
      <c r="G857" s="65"/>
      <c r="H857" s="65"/>
      <c r="I857" s="65"/>
      <c r="J857" s="65"/>
      <c r="K857" s="65"/>
      <c r="L857" s="34"/>
      <c r="M857" s="34"/>
      <c r="N857" s="66"/>
      <c r="O857" s="65"/>
      <c r="P857" s="65"/>
      <c r="Q857" s="65"/>
      <c r="T857" s="20"/>
      <c r="U857" s="21"/>
      <c r="V857" s="37"/>
      <c r="W857" s="63"/>
    </row>
    <row r="858" spans="1:23" x14ac:dyDescent="0.35">
      <c r="A858" s="63"/>
      <c r="B858" s="64"/>
      <c r="C858" s="63"/>
      <c r="D858" s="63"/>
      <c r="E858" s="65"/>
      <c r="F858" s="65"/>
      <c r="G858" s="65"/>
      <c r="H858" s="65"/>
      <c r="I858" s="65"/>
      <c r="J858" s="65"/>
      <c r="K858" s="65"/>
      <c r="L858" s="34"/>
      <c r="M858" s="34"/>
      <c r="N858" s="66"/>
      <c r="O858" s="65"/>
      <c r="P858" s="65"/>
      <c r="Q858" s="65"/>
      <c r="T858" s="20"/>
      <c r="U858" s="21"/>
      <c r="V858" s="37"/>
      <c r="W858" s="63"/>
    </row>
    <row r="859" spans="1:23" x14ac:dyDescent="0.35">
      <c r="A859" s="63"/>
      <c r="B859" s="64"/>
      <c r="C859" s="63"/>
      <c r="D859" s="63"/>
      <c r="E859" s="65"/>
      <c r="F859" s="65"/>
      <c r="G859" s="65"/>
      <c r="H859" s="65"/>
      <c r="I859" s="65"/>
      <c r="J859" s="65"/>
      <c r="K859" s="65"/>
      <c r="L859" s="34"/>
      <c r="M859" s="34"/>
      <c r="N859" s="66"/>
      <c r="O859" s="65"/>
      <c r="P859" s="65"/>
      <c r="Q859" s="65"/>
      <c r="T859" s="20"/>
      <c r="U859" s="21"/>
      <c r="V859" s="37"/>
      <c r="W859" s="63"/>
    </row>
    <row r="860" spans="1:23" x14ac:dyDescent="0.35">
      <c r="A860" s="63"/>
      <c r="B860" s="64"/>
      <c r="C860" s="63"/>
      <c r="D860" s="63"/>
      <c r="E860" s="65"/>
      <c r="F860" s="65"/>
      <c r="G860" s="65"/>
      <c r="H860" s="65"/>
      <c r="I860" s="65"/>
      <c r="J860" s="65"/>
      <c r="K860" s="65"/>
      <c r="L860" s="34"/>
      <c r="M860" s="34"/>
      <c r="N860" s="66"/>
      <c r="O860" s="65"/>
      <c r="P860" s="65"/>
      <c r="Q860" s="65"/>
      <c r="T860" s="20"/>
      <c r="U860" s="21"/>
      <c r="V860" s="37"/>
      <c r="W860" s="63"/>
    </row>
    <row r="861" spans="1:23" x14ac:dyDescent="0.35">
      <c r="A861" s="63"/>
      <c r="B861" s="64"/>
      <c r="C861" s="63"/>
      <c r="D861" s="63"/>
      <c r="E861" s="65"/>
      <c r="F861" s="65"/>
      <c r="G861" s="65"/>
      <c r="H861" s="65"/>
      <c r="I861" s="65"/>
      <c r="J861" s="65"/>
      <c r="K861" s="65"/>
      <c r="L861" s="34"/>
      <c r="M861" s="34"/>
      <c r="N861" s="66"/>
      <c r="O861" s="65"/>
      <c r="P861" s="65"/>
      <c r="Q861" s="65"/>
      <c r="T861" s="20"/>
      <c r="U861" s="21"/>
      <c r="V861" s="37"/>
      <c r="W861" s="63"/>
    </row>
    <row r="862" spans="1:23" x14ac:dyDescent="0.35">
      <c r="A862" s="63"/>
      <c r="B862" s="64"/>
      <c r="C862" s="63"/>
      <c r="D862" s="63"/>
      <c r="E862" s="65"/>
      <c r="F862" s="65"/>
      <c r="G862" s="65"/>
      <c r="H862" s="65"/>
      <c r="I862" s="65"/>
      <c r="J862" s="65"/>
      <c r="K862" s="65"/>
      <c r="L862" s="34"/>
      <c r="M862" s="34"/>
      <c r="N862" s="66"/>
      <c r="O862" s="65"/>
      <c r="P862" s="65"/>
      <c r="Q862" s="65"/>
      <c r="T862" s="20"/>
      <c r="U862" s="21"/>
      <c r="V862" s="37"/>
      <c r="W862" s="63"/>
    </row>
    <row r="863" spans="1:23" x14ac:dyDescent="0.35">
      <c r="A863" s="63"/>
      <c r="B863" s="64"/>
      <c r="C863" s="63"/>
      <c r="D863" s="63"/>
      <c r="E863" s="65"/>
      <c r="F863" s="65"/>
      <c r="G863" s="65"/>
      <c r="H863" s="65"/>
      <c r="I863" s="65"/>
      <c r="J863" s="65"/>
      <c r="K863" s="65"/>
      <c r="L863" s="34"/>
      <c r="M863" s="34"/>
      <c r="N863" s="66"/>
      <c r="O863" s="65"/>
      <c r="P863" s="65"/>
      <c r="Q863" s="65"/>
      <c r="T863" s="20"/>
      <c r="U863" s="21"/>
      <c r="V863" s="37"/>
      <c r="W863" s="63"/>
    </row>
    <row r="864" spans="1:23" x14ac:dyDescent="0.35">
      <c r="A864" s="63"/>
      <c r="B864" s="64"/>
      <c r="C864" s="63"/>
      <c r="D864" s="63"/>
      <c r="E864" s="65"/>
      <c r="F864" s="65"/>
      <c r="G864" s="65"/>
      <c r="H864" s="65"/>
      <c r="I864" s="65"/>
      <c r="J864" s="65"/>
      <c r="K864" s="65"/>
      <c r="L864" s="34"/>
      <c r="M864" s="34"/>
      <c r="N864" s="66"/>
      <c r="O864" s="65"/>
      <c r="P864" s="65"/>
      <c r="Q864" s="65"/>
      <c r="T864" s="20"/>
      <c r="U864" s="21"/>
      <c r="V864" s="37"/>
      <c r="W864" s="63"/>
    </row>
    <row r="865" spans="1:23" x14ac:dyDescent="0.35">
      <c r="A865" s="63"/>
      <c r="B865" s="64"/>
      <c r="C865" s="63"/>
      <c r="D865" s="63"/>
      <c r="E865" s="65"/>
      <c r="F865" s="65"/>
      <c r="G865" s="65"/>
      <c r="H865" s="65"/>
      <c r="I865" s="65"/>
      <c r="J865" s="65"/>
      <c r="K865" s="65"/>
      <c r="L865" s="34"/>
      <c r="M865" s="34"/>
      <c r="N865" s="66"/>
      <c r="O865" s="65"/>
      <c r="P865" s="65"/>
      <c r="Q865" s="65"/>
      <c r="T865" s="20"/>
      <c r="U865" s="21"/>
      <c r="V865" s="37"/>
      <c r="W865" s="63"/>
    </row>
    <row r="866" spans="1:23" x14ac:dyDescent="0.35">
      <c r="A866" s="63"/>
      <c r="B866" s="64"/>
      <c r="C866" s="63"/>
      <c r="D866" s="63"/>
      <c r="E866" s="65"/>
      <c r="F866" s="65"/>
      <c r="G866" s="65"/>
      <c r="H866" s="65"/>
      <c r="I866" s="65"/>
      <c r="J866" s="65"/>
      <c r="K866" s="65"/>
      <c r="L866" s="34"/>
      <c r="M866" s="34"/>
      <c r="N866" s="66"/>
      <c r="O866" s="65"/>
      <c r="P866" s="65"/>
      <c r="Q866" s="65"/>
      <c r="T866" s="20"/>
      <c r="U866" s="21"/>
      <c r="V866" s="37"/>
      <c r="W866" s="63"/>
    </row>
    <row r="867" spans="1:23" x14ac:dyDescent="0.35">
      <c r="A867" s="63"/>
      <c r="B867" s="64"/>
      <c r="C867" s="63"/>
      <c r="D867" s="63"/>
      <c r="E867" s="65"/>
      <c r="F867" s="65"/>
      <c r="G867" s="65"/>
      <c r="H867" s="65"/>
      <c r="I867" s="65"/>
      <c r="J867" s="65"/>
      <c r="K867" s="65"/>
      <c r="L867" s="34"/>
      <c r="M867" s="34"/>
      <c r="N867" s="66"/>
      <c r="O867" s="65"/>
      <c r="P867" s="65"/>
      <c r="Q867" s="65"/>
      <c r="T867" s="20"/>
      <c r="U867" s="21"/>
      <c r="V867" s="37"/>
      <c r="W867" s="63"/>
    </row>
    <row r="868" spans="1:23" x14ac:dyDescent="0.35">
      <c r="A868" s="63"/>
      <c r="B868" s="64"/>
      <c r="C868" s="63"/>
      <c r="D868" s="63"/>
      <c r="E868" s="65"/>
      <c r="F868" s="65"/>
      <c r="G868" s="65"/>
      <c r="H868" s="65"/>
      <c r="I868" s="65"/>
      <c r="J868" s="65"/>
      <c r="K868" s="65"/>
      <c r="L868" s="34"/>
      <c r="M868" s="34"/>
      <c r="N868" s="66"/>
      <c r="O868" s="65"/>
      <c r="P868" s="65"/>
      <c r="Q868" s="65"/>
      <c r="T868" s="20"/>
      <c r="U868" s="21"/>
      <c r="V868" s="37"/>
      <c r="W868" s="63"/>
    </row>
    <row r="869" spans="1:23" x14ac:dyDescent="0.35">
      <c r="A869" s="63"/>
      <c r="B869" s="64"/>
      <c r="C869" s="63"/>
      <c r="D869" s="63"/>
      <c r="E869" s="65"/>
      <c r="F869" s="65"/>
      <c r="G869" s="65"/>
      <c r="H869" s="65"/>
      <c r="I869" s="65"/>
      <c r="J869" s="65"/>
      <c r="K869" s="65"/>
      <c r="L869" s="34"/>
      <c r="M869" s="34"/>
      <c r="N869" s="66"/>
      <c r="O869" s="65"/>
      <c r="P869" s="65"/>
      <c r="Q869" s="65"/>
      <c r="T869" s="20"/>
      <c r="U869" s="21"/>
      <c r="V869" s="37"/>
      <c r="W869" s="63"/>
    </row>
    <row r="870" spans="1:23" x14ac:dyDescent="0.35">
      <c r="A870" s="63"/>
      <c r="B870" s="64"/>
      <c r="C870" s="63"/>
      <c r="D870" s="63"/>
      <c r="E870" s="65"/>
      <c r="F870" s="65"/>
      <c r="G870" s="65"/>
      <c r="H870" s="65"/>
      <c r="I870" s="65"/>
      <c r="J870" s="65"/>
      <c r="K870" s="65"/>
      <c r="L870" s="34"/>
      <c r="M870" s="34"/>
      <c r="N870" s="66"/>
      <c r="O870" s="65"/>
      <c r="P870" s="65"/>
      <c r="Q870" s="65"/>
      <c r="T870" s="20"/>
      <c r="U870" s="21"/>
      <c r="V870" s="37"/>
      <c r="W870" s="63"/>
    </row>
    <row r="871" spans="1:23" x14ac:dyDescent="0.35">
      <c r="A871" s="63"/>
      <c r="B871" s="64"/>
      <c r="C871" s="63"/>
      <c r="D871" s="63"/>
      <c r="E871" s="65"/>
      <c r="F871" s="65"/>
      <c r="G871" s="65"/>
      <c r="H871" s="65"/>
      <c r="I871" s="65"/>
      <c r="J871" s="65"/>
      <c r="K871" s="65"/>
      <c r="L871" s="34"/>
      <c r="M871" s="34"/>
      <c r="N871" s="66"/>
      <c r="O871" s="65"/>
      <c r="P871" s="65"/>
      <c r="Q871" s="65"/>
      <c r="T871" s="20"/>
      <c r="U871" s="21"/>
      <c r="V871" s="37"/>
      <c r="W871" s="63"/>
    </row>
    <row r="872" spans="1:23" x14ac:dyDescent="0.35">
      <c r="A872" s="63"/>
      <c r="B872" s="64"/>
      <c r="C872" s="63"/>
      <c r="D872" s="63"/>
      <c r="E872" s="65"/>
      <c r="F872" s="65"/>
      <c r="G872" s="65"/>
      <c r="H872" s="65"/>
      <c r="I872" s="65"/>
      <c r="J872" s="65"/>
      <c r="K872" s="65"/>
      <c r="L872" s="34"/>
      <c r="M872" s="34"/>
      <c r="N872" s="66"/>
      <c r="O872" s="65"/>
      <c r="P872" s="65"/>
      <c r="Q872" s="65"/>
      <c r="T872" s="20"/>
      <c r="U872" s="21"/>
      <c r="V872" s="37"/>
      <c r="W872" s="63"/>
    </row>
    <row r="873" spans="1:23" x14ac:dyDescent="0.35">
      <c r="A873" s="63"/>
      <c r="B873" s="64"/>
      <c r="C873" s="63"/>
      <c r="D873" s="63"/>
      <c r="E873" s="65"/>
      <c r="F873" s="65"/>
      <c r="G873" s="65"/>
      <c r="H873" s="65"/>
      <c r="I873" s="65"/>
      <c r="J873" s="65"/>
      <c r="K873" s="65"/>
      <c r="L873" s="34"/>
      <c r="M873" s="34"/>
      <c r="N873" s="66"/>
      <c r="O873" s="65"/>
      <c r="P873" s="65"/>
      <c r="Q873" s="65"/>
      <c r="T873" s="20"/>
      <c r="U873" s="21"/>
      <c r="V873" s="37"/>
      <c r="W873" s="63"/>
    </row>
    <row r="874" spans="1:23" x14ac:dyDescent="0.35">
      <c r="A874" s="63"/>
      <c r="B874" s="64"/>
      <c r="C874" s="63"/>
      <c r="D874" s="63"/>
      <c r="E874" s="65"/>
      <c r="F874" s="65"/>
      <c r="G874" s="65"/>
      <c r="H874" s="65"/>
      <c r="I874" s="65"/>
      <c r="J874" s="65"/>
      <c r="K874" s="65"/>
      <c r="L874" s="34"/>
      <c r="M874" s="34"/>
      <c r="N874" s="66"/>
      <c r="O874" s="65"/>
      <c r="P874" s="65"/>
      <c r="Q874" s="65"/>
      <c r="T874" s="20"/>
      <c r="U874" s="21"/>
      <c r="V874" s="37"/>
      <c r="W874" s="63"/>
    </row>
    <row r="875" spans="1:23" x14ac:dyDescent="0.35">
      <c r="A875" s="63"/>
      <c r="B875" s="64"/>
      <c r="C875" s="63"/>
      <c r="D875" s="63"/>
      <c r="E875" s="65"/>
      <c r="F875" s="65"/>
      <c r="G875" s="65"/>
      <c r="H875" s="65"/>
      <c r="I875" s="65"/>
      <c r="J875" s="65"/>
      <c r="K875" s="65"/>
      <c r="L875" s="34"/>
      <c r="M875" s="34"/>
      <c r="N875" s="66"/>
      <c r="O875" s="65"/>
      <c r="P875" s="65"/>
      <c r="Q875" s="65"/>
      <c r="T875" s="20"/>
      <c r="U875" s="21"/>
      <c r="V875" s="37"/>
      <c r="W875" s="63"/>
    </row>
    <row r="876" spans="1:23" x14ac:dyDescent="0.35">
      <c r="A876" s="63"/>
      <c r="B876" s="64"/>
      <c r="C876" s="63"/>
      <c r="D876" s="63"/>
      <c r="E876" s="65"/>
      <c r="F876" s="65"/>
      <c r="G876" s="65"/>
      <c r="H876" s="65"/>
      <c r="I876" s="65"/>
      <c r="J876" s="65"/>
      <c r="K876" s="65"/>
      <c r="L876" s="34"/>
      <c r="M876" s="34"/>
      <c r="N876" s="66"/>
      <c r="O876" s="65"/>
      <c r="P876" s="65"/>
      <c r="Q876" s="65"/>
      <c r="T876" s="20"/>
      <c r="U876" s="21"/>
      <c r="V876" s="37"/>
      <c r="W876" s="63"/>
    </row>
    <row r="877" spans="1:23" x14ac:dyDescent="0.35">
      <c r="A877" s="63"/>
      <c r="B877" s="64"/>
      <c r="C877" s="63"/>
      <c r="D877" s="63"/>
      <c r="E877" s="65"/>
      <c r="F877" s="65"/>
      <c r="G877" s="65"/>
      <c r="H877" s="65"/>
      <c r="I877" s="65"/>
      <c r="J877" s="65"/>
      <c r="K877" s="65"/>
      <c r="L877" s="34"/>
      <c r="M877" s="34"/>
      <c r="N877" s="66"/>
      <c r="O877" s="65"/>
      <c r="P877" s="65"/>
      <c r="Q877" s="65"/>
      <c r="T877" s="20"/>
      <c r="U877" s="21"/>
      <c r="V877" s="37"/>
      <c r="W877" s="63"/>
    </row>
    <row r="878" spans="1:23" x14ac:dyDescent="0.35">
      <c r="A878" s="63"/>
      <c r="B878" s="64"/>
      <c r="C878" s="63"/>
      <c r="D878" s="63"/>
      <c r="E878" s="65"/>
      <c r="F878" s="65"/>
      <c r="G878" s="65"/>
      <c r="H878" s="65"/>
      <c r="I878" s="65"/>
      <c r="J878" s="65"/>
      <c r="K878" s="65"/>
      <c r="L878" s="34"/>
      <c r="M878" s="34"/>
      <c r="N878" s="66"/>
      <c r="O878" s="65"/>
      <c r="P878" s="65"/>
      <c r="Q878" s="65"/>
      <c r="T878" s="20"/>
      <c r="U878" s="21"/>
      <c r="V878" s="37"/>
      <c r="W878" s="63"/>
    </row>
    <row r="879" spans="1:23" x14ac:dyDescent="0.35">
      <c r="A879" s="63"/>
      <c r="B879" s="64"/>
      <c r="C879" s="63"/>
      <c r="D879" s="63"/>
      <c r="E879" s="65"/>
      <c r="F879" s="65"/>
      <c r="G879" s="65"/>
      <c r="H879" s="65"/>
      <c r="I879" s="65"/>
      <c r="J879" s="65"/>
      <c r="K879" s="65"/>
      <c r="L879" s="34"/>
      <c r="M879" s="34"/>
      <c r="N879" s="66"/>
      <c r="O879" s="65"/>
      <c r="P879" s="65"/>
      <c r="Q879" s="65"/>
      <c r="T879" s="20"/>
      <c r="U879" s="21"/>
      <c r="V879" s="37"/>
      <c r="W879" s="63"/>
    </row>
    <row r="880" spans="1:23" x14ac:dyDescent="0.35">
      <c r="A880" s="63"/>
      <c r="B880" s="64"/>
      <c r="C880" s="63"/>
      <c r="D880" s="63"/>
      <c r="E880" s="65"/>
      <c r="F880" s="65"/>
      <c r="G880" s="65"/>
      <c r="H880" s="65"/>
      <c r="I880" s="65"/>
      <c r="J880" s="65"/>
      <c r="K880" s="65"/>
      <c r="L880" s="34"/>
      <c r="M880" s="34"/>
      <c r="N880" s="66"/>
      <c r="O880" s="65"/>
      <c r="P880" s="65"/>
      <c r="Q880" s="65"/>
      <c r="T880" s="20"/>
      <c r="U880" s="21"/>
      <c r="V880" s="37"/>
      <c r="W880" s="63"/>
    </row>
    <row r="881" spans="1:23" x14ac:dyDescent="0.35">
      <c r="A881" s="63"/>
      <c r="B881" s="64"/>
      <c r="C881" s="63"/>
      <c r="D881" s="63"/>
      <c r="E881" s="65"/>
      <c r="F881" s="65"/>
      <c r="G881" s="65"/>
      <c r="H881" s="65"/>
      <c r="I881" s="65"/>
      <c r="J881" s="65"/>
      <c r="K881" s="65"/>
      <c r="L881" s="34"/>
      <c r="M881" s="34"/>
      <c r="N881" s="66"/>
      <c r="O881" s="65"/>
      <c r="P881" s="65"/>
      <c r="Q881" s="65"/>
      <c r="T881" s="20"/>
      <c r="U881" s="21"/>
      <c r="V881" s="37"/>
      <c r="W881" s="63"/>
    </row>
    <row r="882" spans="1:23" x14ac:dyDescent="0.35">
      <c r="A882" s="63"/>
      <c r="B882" s="64"/>
      <c r="C882" s="63"/>
      <c r="D882" s="63"/>
      <c r="E882" s="65"/>
      <c r="F882" s="65"/>
      <c r="G882" s="65"/>
      <c r="H882" s="65"/>
      <c r="I882" s="65"/>
      <c r="J882" s="65"/>
      <c r="K882" s="65"/>
      <c r="L882" s="34"/>
      <c r="M882" s="34"/>
      <c r="N882" s="66"/>
      <c r="O882" s="65"/>
      <c r="P882" s="65"/>
      <c r="Q882" s="65"/>
      <c r="T882" s="20"/>
      <c r="U882" s="21"/>
      <c r="V882" s="37"/>
      <c r="W882" s="63"/>
    </row>
    <row r="883" spans="1:23" x14ac:dyDescent="0.35">
      <c r="A883" s="63"/>
      <c r="B883" s="64"/>
      <c r="C883" s="63"/>
      <c r="D883" s="63"/>
      <c r="E883" s="65"/>
      <c r="F883" s="65"/>
      <c r="G883" s="65"/>
      <c r="H883" s="65"/>
      <c r="I883" s="65"/>
      <c r="J883" s="65"/>
      <c r="K883" s="65"/>
      <c r="L883" s="34"/>
      <c r="M883" s="34"/>
      <c r="N883" s="66"/>
      <c r="O883" s="65"/>
      <c r="P883" s="65"/>
      <c r="Q883" s="65"/>
      <c r="T883" s="20"/>
      <c r="U883" s="21"/>
      <c r="V883" s="37"/>
      <c r="W883" s="63"/>
    </row>
    <row r="884" spans="1:23" x14ac:dyDescent="0.35">
      <c r="A884" s="63"/>
      <c r="B884" s="64"/>
      <c r="C884" s="63"/>
      <c r="D884" s="63"/>
      <c r="E884" s="65"/>
      <c r="F884" s="65"/>
      <c r="G884" s="65"/>
      <c r="H884" s="65"/>
      <c r="I884" s="65"/>
      <c r="J884" s="65"/>
      <c r="K884" s="65"/>
      <c r="L884" s="34"/>
      <c r="M884" s="34"/>
      <c r="N884" s="66"/>
      <c r="O884" s="65"/>
      <c r="P884" s="65"/>
      <c r="Q884" s="65"/>
      <c r="T884" s="20"/>
      <c r="U884" s="21"/>
      <c r="V884" s="37"/>
      <c r="W884" s="63"/>
    </row>
    <row r="885" spans="1:23" x14ac:dyDescent="0.35">
      <c r="A885" s="63"/>
      <c r="B885" s="64"/>
      <c r="C885" s="63"/>
      <c r="D885" s="63"/>
      <c r="E885" s="65"/>
      <c r="F885" s="65"/>
      <c r="G885" s="65"/>
      <c r="H885" s="65"/>
      <c r="I885" s="65"/>
      <c r="J885" s="65"/>
      <c r="K885" s="65"/>
      <c r="L885" s="34"/>
      <c r="M885" s="34"/>
      <c r="N885" s="66"/>
      <c r="O885" s="65"/>
      <c r="P885" s="65"/>
      <c r="Q885" s="65"/>
      <c r="T885" s="20"/>
      <c r="U885" s="21"/>
      <c r="V885" s="37"/>
      <c r="W885" s="63"/>
    </row>
    <row r="886" spans="1:23" x14ac:dyDescent="0.35">
      <c r="A886" s="63"/>
      <c r="B886" s="64"/>
      <c r="C886" s="63"/>
      <c r="D886" s="63"/>
      <c r="E886" s="65"/>
      <c r="F886" s="65"/>
      <c r="G886" s="65"/>
      <c r="H886" s="65"/>
      <c r="I886" s="65"/>
      <c r="J886" s="65"/>
      <c r="K886" s="65"/>
      <c r="L886" s="34"/>
      <c r="M886" s="34"/>
      <c r="N886" s="66"/>
      <c r="O886" s="65"/>
      <c r="P886" s="65"/>
      <c r="Q886" s="65"/>
      <c r="T886" s="20"/>
      <c r="U886" s="21"/>
      <c r="V886" s="37"/>
      <c r="W886" s="63"/>
    </row>
    <row r="887" spans="1:23" x14ac:dyDescent="0.35">
      <c r="A887" s="63"/>
      <c r="B887" s="64"/>
      <c r="C887" s="63"/>
      <c r="D887" s="63"/>
      <c r="E887" s="65"/>
      <c r="F887" s="65"/>
      <c r="G887" s="65"/>
      <c r="H887" s="65"/>
      <c r="I887" s="65"/>
      <c r="J887" s="65"/>
      <c r="K887" s="65"/>
      <c r="L887" s="34"/>
      <c r="M887" s="34"/>
      <c r="N887" s="66"/>
      <c r="O887" s="65"/>
      <c r="P887" s="65"/>
      <c r="Q887" s="65"/>
      <c r="T887" s="20"/>
      <c r="U887" s="21"/>
      <c r="V887" s="37"/>
      <c r="W887" s="63"/>
    </row>
    <row r="888" spans="1:23" x14ac:dyDescent="0.35">
      <c r="A888" s="63"/>
      <c r="B888" s="64"/>
      <c r="C888" s="63"/>
      <c r="D888" s="63"/>
      <c r="E888" s="65"/>
      <c r="F888" s="65"/>
      <c r="G888" s="65"/>
      <c r="H888" s="65"/>
      <c r="I888" s="65"/>
      <c r="J888" s="65"/>
      <c r="K888" s="65"/>
      <c r="L888" s="34"/>
      <c r="M888" s="34"/>
      <c r="N888" s="66"/>
      <c r="O888" s="65"/>
      <c r="P888" s="65"/>
      <c r="Q888" s="65"/>
      <c r="T888" s="20"/>
      <c r="U888" s="21"/>
      <c r="V888" s="37"/>
      <c r="W888" s="63"/>
    </row>
    <row r="889" spans="1:23" x14ac:dyDescent="0.35">
      <c r="A889" s="63"/>
      <c r="B889" s="64"/>
      <c r="C889" s="63"/>
      <c r="D889" s="63"/>
      <c r="E889" s="65"/>
      <c r="F889" s="65"/>
      <c r="G889" s="65"/>
      <c r="H889" s="65"/>
      <c r="I889" s="65"/>
      <c r="J889" s="65"/>
      <c r="K889" s="65"/>
      <c r="L889" s="34"/>
      <c r="M889" s="34"/>
      <c r="N889" s="66"/>
      <c r="O889" s="65"/>
      <c r="P889" s="65"/>
      <c r="Q889" s="65"/>
      <c r="T889" s="20"/>
      <c r="U889" s="21"/>
      <c r="V889" s="37"/>
      <c r="W889" s="63"/>
    </row>
    <row r="890" spans="1:23" x14ac:dyDescent="0.35">
      <c r="A890" s="63"/>
      <c r="B890" s="64"/>
      <c r="C890" s="63"/>
      <c r="D890" s="63"/>
      <c r="E890" s="65"/>
      <c r="F890" s="65"/>
      <c r="G890" s="65"/>
      <c r="H890" s="65"/>
      <c r="I890" s="65"/>
      <c r="J890" s="65"/>
      <c r="K890" s="65"/>
      <c r="L890" s="34"/>
      <c r="M890" s="34"/>
      <c r="N890" s="66"/>
      <c r="O890" s="65"/>
      <c r="P890" s="65"/>
      <c r="Q890" s="65"/>
      <c r="T890" s="20"/>
      <c r="U890" s="21"/>
      <c r="V890" s="37"/>
      <c r="W890" s="63"/>
    </row>
    <row r="891" spans="1:23" x14ac:dyDescent="0.35">
      <c r="A891" s="63"/>
      <c r="B891" s="64"/>
      <c r="C891" s="63"/>
      <c r="D891" s="63"/>
      <c r="E891" s="65"/>
      <c r="F891" s="65"/>
      <c r="G891" s="65"/>
      <c r="H891" s="65"/>
      <c r="I891" s="65"/>
      <c r="J891" s="65"/>
      <c r="K891" s="65"/>
      <c r="L891" s="34"/>
      <c r="M891" s="34"/>
      <c r="N891" s="66"/>
      <c r="O891" s="65"/>
      <c r="P891" s="65"/>
      <c r="Q891" s="65"/>
      <c r="T891" s="20"/>
      <c r="U891" s="21"/>
      <c r="V891" s="37"/>
      <c r="W891" s="63"/>
    </row>
    <row r="892" spans="1:23" x14ac:dyDescent="0.35">
      <c r="A892" s="63"/>
      <c r="B892" s="64"/>
      <c r="C892" s="63"/>
      <c r="D892" s="63"/>
      <c r="E892" s="65"/>
      <c r="F892" s="65"/>
      <c r="G892" s="65"/>
      <c r="H892" s="65"/>
      <c r="I892" s="65"/>
      <c r="J892" s="65"/>
      <c r="K892" s="65"/>
      <c r="L892" s="34"/>
      <c r="M892" s="34"/>
      <c r="N892" s="66"/>
      <c r="O892" s="65"/>
      <c r="P892" s="65"/>
      <c r="Q892" s="65"/>
      <c r="T892" s="20"/>
      <c r="U892" s="21"/>
      <c r="V892" s="37"/>
      <c r="W892" s="63"/>
    </row>
    <row r="893" spans="1:23" x14ac:dyDescent="0.35">
      <c r="A893" s="63"/>
      <c r="B893" s="64"/>
      <c r="C893" s="63"/>
      <c r="D893" s="63"/>
      <c r="E893" s="65"/>
      <c r="F893" s="65"/>
      <c r="G893" s="65"/>
      <c r="H893" s="65"/>
      <c r="I893" s="65"/>
      <c r="J893" s="65"/>
      <c r="K893" s="65"/>
      <c r="L893" s="34"/>
      <c r="M893" s="34"/>
      <c r="N893" s="66"/>
      <c r="O893" s="65"/>
      <c r="P893" s="65"/>
      <c r="Q893" s="65"/>
      <c r="T893" s="20"/>
      <c r="U893" s="21"/>
      <c r="V893" s="37"/>
      <c r="W893" s="63"/>
    </row>
    <row r="894" spans="1:23" x14ac:dyDescent="0.35">
      <c r="A894" s="63"/>
      <c r="B894" s="64"/>
      <c r="C894" s="63"/>
      <c r="D894" s="63"/>
      <c r="E894" s="65"/>
      <c r="F894" s="65"/>
      <c r="G894" s="65"/>
      <c r="H894" s="65"/>
      <c r="I894" s="65"/>
      <c r="J894" s="65"/>
      <c r="K894" s="65"/>
      <c r="L894" s="34"/>
      <c r="M894" s="34"/>
      <c r="N894" s="66"/>
      <c r="O894" s="65"/>
      <c r="P894" s="65"/>
      <c r="Q894" s="65"/>
      <c r="T894" s="20"/>
      <c r="U894" s="21"/>
      <c r="V894" s="37"/>
      <c r="W894" s="63"/>
    </row>
    <row r="895" spans="1:23" x14ac:dyDescent="0.35">
      <c r="A895" s="63"/>
      <c r="B895" s="64"/>
      <c r="C895" s="63"/>
      <c r="D895" s="63"/>
      <c r="E895" s="65"/>
      <c r="F895" s="65"/>
      <c r="G895" s="65"/>
      <c r="H895" s="65"/>
      <c r="I895" s="65"/>
      <c r="J895" s="65"/>
      <c r="K895" s="65"/>
      <c r="L895" s="34"/>
      <c r="M895" s="34"/>
      <c r="N895" s="66"/>
      <c r="O895" s="65"/>
      <c r="P895" s="65"/>
      <c r="Q895" s="65"/>
      <c r="T895" s="20"/>
      <c r="U895" s="21"/>
      <c r="V895" s="37"/>
      <c r="W895" s="63"/>
    </row>
    <row r="896" spans="1:23" x14ac:dyDescent="0.35">
      <c r="A896" s="63"/>
      <c r="B896" s="64"/>
      <c r="C896" s="63"/>
      <c r="D896" s="63"/>
      <c r="E896" s="65"/>
      <c r="F896" s="65"/>
      <c r="G896" s="65"/>
      <c r="H896" s="65"/>
      <c r="I896" s="65"/>
      <c r="J896" s="65"/>
      <c r="K896" s="65"/>
      <c r="L896" s="34"/>
      <c r="M896" s="34"/>
      <c r="N896" s="66"/>
      <c r="O896" s="65"/>
      <c r="P896" s="65"/>
      <c r="Q896" s="65"/>
      <c r="T896" s="20"/>
      <c r="U896" s="21"/>
      <c r="V896" s="37"/>
      <c r="W896" s="63"/>
    </row>
    <row r="897" spans="1:23" x14ac:dyDescent="0.35">
      <c r="A897" s="63"/>
      <c r="B897" s="64"/>
      <c r="C897" s="63"/>
      <c r="D897" s="63"/>
      <c r="E897" s="65"/>
      <c r="F897" s="65"/>
      <c r="G897" s="65"/>
      <c r="H897" s="65"/>
      <c r="I897" s="65"/>
      <c r="J897" s="65"/>
      <c r="K897" s="65"/>
      <c r="L897" s="34"/>
      <c r="M897" s="34"/>
      <c r="N897" s="66"/>
      <c r="O897" s="65"/>
      <c r="P897" s="65"/>
      <c r="Q897" s="65"/>
      <c r="T897" s="20"/>
      <c r="U897" s="21"/>
      <c r="V897" s="37"/>
      <c r="W897" s="63"/>
    </row>
    <row r="898" spans="1:23" x14ac:dyDescent="0.35">
      <c r="A898" s="63"/>
      <c r="B898" s="64"/>
      <c r="C898" s="63"/>
      <c r="D898" s="63"/>
      <c r="E898" s="65"/>
      <c r="F898" s="65"/>
      <c r="G898" s="65"/>
      <c r="H898" s="65"/>
      <c r="I898" s="65"/>
      <c r="J898" s="65"/>
      <c r="K898" s="65"/>
      <c r="L898" s="34"/>
      <c r="M898" s="34"/>
      <c r="N898" s="66"/>
      <c r="O898" s="65"/>
      <c r="P898" s="65"/>
      <c r="Q898" s="65"/>
      <c r="T898" s="20"/>
      <c r="U898" s="21"/>
      <c r="V898" s="37"/>
      <c r="W898" s="63"/>
    </row>
    <row r="899" spans="1:23" x14ac:dyDescent="0.35">
      <c r="A899" s="63"/>
      <c r="B899" s="64"/>
      <c r="C899" s="63"/>
      <c r="D899" s="63"/>
      <c r="E899" s="65"/>
      <c r="F899" s="65"/>
      <c r="G899" s="65"/>
      <c r="H899" s="65"/>
      <c r="I899" s="65"/>
      <c r="J899" s="65"/>
      <c r="K899" s="65"/>
      <c r="L899" s="34"/>
      <c r="M899" s="34"/>
      <c r="N899" s="66"/>
      <c r="O899" s="65"/>
      <c r="P899" s="65"/>
      <c r="Q899" s="65"/>
      <c r="T899" s="20"/>
      <c r="U899" s="21"/>
      <c r="V899" s="37"/>
      <c r="W899" s="63"/>
    </row>
    <row r="900" spans="1:23" x14ac:dyDescent="0.35">
      <c r="A900" s="63"/>
      <c r="B900" s="64"/>
      <c r="C900" s="63"/>
      <c r="D900" s="63"/>
      <c r="E900" s="65"/>
      <c r="F900" s="65"/>
      <c r="G900" s="65"/>
      <c r="H900" s="65"/>
      <c r="I900" s="65"/>
      <c r="J900" s="65"/>
      <c r="K900" s="65"/>
      <c r="L900" s="34"/>
      <c r="M900" s="34"/>
      <c r="N900" s="66"/>
      <c r="O900" s="65"/>
      <c r="P900" s="65"/>
      <c r="Q900" s="65"/>
      <c r="T900" s="20"/>
      <c r="U900" s="21"/>
      <c r="V900" s="37"/>
      <c r="W900" s="63"/>
    </row>
    <row r="901" spans="1:23" x14ac:dyDescent="0.35">
      <c r="A901" s="63"/>
      <c r="B901" s="64"/>
      <c r="C901" s="63"/>
      <c r="D901" s="63"/>
      <c r="E901" s="65"/>
      <c r="F901" s="65"/>
      <c r="G901" s="65"/>
      <c r="H901" s="65"/>
      <c r="I901" s="65"/>
      <c r="J901" s="65"/>
      <c r="K901" s="65"/>
      <c r="L901" s="34"/>
      <c r="M901" s="34"/>
      <c r="N901" s="66"/>
      <c r="O901" s="65"/>
      <c r="P901" s="65"/>
      <c r="Q901" s="65"/>
      <c r="T901" s="20"/>
      <c r="U901" s="21"/>
      <c r="V901" s="37"/>
      <c r="W901" s="63"/>
    </row>
    <row r="902" spans="1:23" x14ac:dyDescent="0.35">
      <c r="A902" s="63"/>
      <c r="B902" s="64"/>
      <c r="C902" s="63"/>
      <c r="D902" s="63"/>
      <c r="E902" s="65"/>
      <c r="F902" s="65"/>
      <c r="G902" s="65"/>
      <c r="H902" s="65"/>
      <c r="I902" s="65"/>
      <c r="J902" s="65"/>
      <c r="K902" s="65"/>
      <c r="L902" s="34"/>
      <c r="M902" s="34"/>
      <c r="N902" s="66"/>
      <c r="O902" s="65"/>
      <c r="P902" s="65"/>
      <c r="Q902" s="65"/>
      <c r="T902" s="20"/>
      <c r="U902" s="21"/>
      <c r="V902" s="37"/>
      <c r="W902" s="63"/>
    </row>
    <row r="903" spans="1:23" x14ac:dyDescent="0.35">
      <c r="A903" s="63"/>
      <c r="B903" s="64"/>
      <c r="C903" s="63"/>
      <c r="D903" s="63"/>
      <c r="E903" s="65"/>
      <c r="F903" s="65"/>
      <c r="G903" s="65"/>
      <c r="H903" s="65"/>
      <c r="I903" s="65"/>
      <c r="J903" s="65"/>
      <c r="K903" s="65"/>
      <c r="L903" s="34"/>
      <c r="M903" s="34"/>
      <c r="N903" s="66"/>
      <c r="O903" s="65"/>
      <c r="P903" s="65"/>
      <c r="Q903" s="65"/>
      <c r="T903" s="20"/>
      <c r="U903" s="21"/>
      <c r="V903" s="37"/>
      <c r="W903" s="63"/>
    </row>
    <row r="904" spans="1:23" x14ac:dyDescent="0.35">
      <c r="A904" s="63"/>
      <c r="B904" s="64"/>
      <c r="C904" s="63"/>
      <c r="D904" s="63"/>
      <c r="E904" s="65"/>
      <c r="F904" s="65"/>
      <c r="G904" s="65"/>
      <c r="H904" s="65"/>
      <c r="I904" s="65"/>
      <c r="J904" s="65"/>
      <c r="K904" s="65"/>
      <c r="L904" s="34"/>
      <c r="M904" s="34"/>
      <c r="N904" s="66"/>
      <c r="O904" s="65"/>
      <c r="P904" s="65"/>
      <c r="Q904" s="65"/>
      <c r="T904" s="20"/>
      <c r="U904" s="21"/>
      <c r="V904" s="37"/>
      <c r="W904" s="63"/>
    </row>
    <row r="905" spans="1:23" x14ac:dyDescent="0.35">
      <c r="A905" s="63"/>
      <c r="B905" s="64"/>
      <c r="C905" s="63"/>
      <c r="D905" s="63"/>
      <c r="E905" s="65"/>
      <c r="F905" s="65"/>
      <c r="G905" s="65"/>
      <c r="H905" s="65"/>
      <c r="I905" s="65"/>
      <c r="J905" s="65"/>
      <c r="K905" s="65"/>
      <c r="L905" s="34"/>
      <c r="M905" s="34"/>
      <c r="N905" s="66"/>
      <c r="O905" s="65"/>
      <c r="P905" s="65"/>
      <c r="Q905" s="65"/>
      <c r="T905" s="20"/>
      <c r="U905" s="21"/>
      <c r="V905" s="37"/>
      <c r="W905" s="63"/>
    </row>
    <row r="906" spans="1:23" x14ac:dyDescent="0.35">
      <c r="A906" s="63"/>
      <c r="B906" s="64"/>
      <c r="C906" s="63"/>
      <c r="D906" s="63"/>
      <c r="E906" s="65"/>
      <c r="F906" s="65"/>
      <c r="G906" s="65"/>
      <c r="H906" s="65"/>
      <c r="I906" s="65"/>
      <c r="J906" s="65"/>
      <c r="K906" s="65"/>
      <c r="L906" s="34"/>
      <c r="M906" s="34"/>
      <c r="N906" s="66"/>
      <c r="O906" s="65"/>
      <c r="P906" s="65"/>
      <c r="Q906" s="65"/>
      <c r="T906" s="20"/>
      <c r="U906" s="21"/>
      <c r="V906" s="37"/>
      <c r="W906" s="63"/>
    </row>
    <row r="907" spans="1:23" x14ac:dyDescent="0.35">
      <c r="A907" s="63"/>
      <c r="B907" s="64"/>
      <c r="C907" s="63"/>
      <c r="D907" s="63"/>
      <c r="E907" s="65"/>
      <c r="F907" s="65"/>
      <c r="G907" s="65"/>
      <c r="H907" s="65"/>
      <c r="I907" s="65"/>
      <c r="J907" s="65"/>
      <c r="K907" s="65"/>
      <c r="L907" s="34"/>
      <c r="M907" s="34"/>
      <c r="N907" s="66"/>
      <c r="O907" s="65"/>
      <c r="P907" s="65"/>
      <c r="Q907" s="65"/>
      <c r="T907" s="20"/>
      <c r="U907" s="21"/>
      <c r="V907" s="37"/>
      <c r="W907" s="63"/>
    </row>
    <row r="908" spans="1:23" x14ac:dyDescent="0.35">
      <c r="A908" s="63"/>
      <c r="B908" s="64"/>
      <c r="C908" s="63"/>
      <c r="D908" s="63"/>
      <c r="E908" s="65"/>
      <c r="F908" s="65"/>
      <c r="G908" s="65"/>
      <c r="H908" s="65"/>
      <c r="I908" s="65"/>
      <c r="J908" s="65"/>
      <c r="K908" s="65"/>
      <c r="L908" s="34"/>
      <c r="M908" s="34"/>
      <c r="N908" s="66"/>
      <c r="O908" s="65"/>
      <c r="P908" s="65"/>
      <c r="Q908" s="65"/>
      <c r="T908" s="20"/>
      <c r="U908" s="21"/>
      <c r="V908" s="37"/>
      <c r="W908" s="63"/>
    </row>
    <row r="909" spans="1:23" x14ac:dyDescent="0.35">
      <c r="A909" s="63"/>
      <c r="B909" s="64"/>
      <c r="C909" s="63"/>
      <c r="D909" s="63"/>
      <c r="E909" s="65"/>
      <c r="F909" s="65"/>
      <c r="G909" s="65"/>
      <c r="H909" s="65"/>
      <c r="I909" s="65"/>
      <c r="J909" s="65"/>
      <c r="K909" s="65"/>
      <c r="L909" s="34"/>
      <c r="M909" s="34"/>
      <c r="N909" s="66"/>
      <c r="O909" s="65"/>
      <c r="P909" s="65"/>
      <c r="Q909" s="65"/>
      <c r="T909" s="20"/>
      <c r="U909" s="21"/>
      <c r="V909" s="37"/>
      <c r="W909" s="63"/>
    </row>
    <row r="910" spans="1:23" x14ac:dyDescent="0.35">
      <c r="A910" s="63"/>
      <c r="B910" s="64"/>
      <c r="C910" s="63"/>
      <c r="D910" s="63"/>
      <c r="E910" s="65"/>
      <c r="F910" s="65"/>
      <c r="G910" s="65"/>
      <c r="H910" s="65"/>
      <c r="I910" s="65"/>
      <c r="J910" s="65"/>
      <c r="K910" s="65"/>
      <c r="L910" s="34"/>
      <c r="M910" s="34"/>
      <c r="N910" s="66"/>
      <c r="O910" s="65"/>
      <c r="P910" s="65"/>
      <c r="Q910" s="65"/>
      <c r="T910" s="20"/>
      <c r="U910" s="21"/>
      <c r="V910" s="37"/>
      <c r="W910" s="63"/>
    </row>
    <row r="911" spans="1:23" x14ac:dyDescent="0.35">
      <c r="A911" s="63"/>
      <c r="B911" s="64"/>
      <c r="C911" s="63"/>
      <c r="D911" s="63"/>
      <c r="E911" s="65"/>
      <c r="F911" s="65"/>
      <c r="G911" s="65"/>
      <c r="H911" s="65"/>
      <c r="I911" s="65"/>
      <c r="J911" s="65"/>
      <c r="K911" s="65"/>
      <c r="L911" s="34"/>
      <c r="M911" s="34"/>
      <c r="N911" s="66"/>
      <c r="O911" s="65"/>
      <c r="P911" s="65"/>
      <c r="Q911" s="65"/>
      <c r="T911" s="20"/>
      <c r="U911" s="21"/>
      <c r="V911" s="37"/>
      <c r="W911" s="63"/>
    </row>
    <row r="912" spans="1:23" x14ac:dyDescent="0.35">
      <c r="A912" s="63"/>
      <c r="B912" s="64"/>
      <c r="C912" s="63"/>
      <c r="D912" s="63"/>
      <c r="E912" s="65"/>
      <c r="F912" s="65"/>
      <c r="G912" s="65"/>
      <c r="H912" s="65"/>
      <c r="I912" s="65"/>
      <c r="J912" s="65"/>
      <c r="K912" s="65"/>
      <c r="L912" s="34"/>
      <c r="M912" s="34"/>
      <c r="N912" s="66"/>
      <c r="O912" s="65"/>
      <c r="P912" s="65"/>
      <c r="Q912" s="65"/>
      <c r="T912" s="20"/>
      <c r="U912" s="21"/>
      <c r="V912" s="37"/>
      <c r="W912" s="63"/>
    </row>
    <row r="913" spans="1:23" x14ac:dyDescent="0.35">
      <c r="A913" s="63"/>
      <c r="B913" s="64"/>
      <c r="C913" s="63"/>
      <c r="D913" s="63"/>
      <c r="E913" s="65"/>
      <c r="F913" s="65"/>
      <c r="G913" s="65"/>
      <c r="H913" s="65"/>
      <c r="I913" s="65"/>
      <c r="J913" s="65"/>
      <c r="K913" s="65"/>
      <c r="L913" s="34"/>
      <c r="M913" s="34"/>
      <c r="N913" s="66"/>
      <c r="O913" s="65"/>
      <c r="P913" s="65"/>
      <c r="Q913" s="65"/>
      <c r="T913" s="20"/>
      <c r="U913" s="21"/>
      <c r="V913" s="37"/>
      <c r="W913" s="63"/>
    </row>
    <row r="914" spans="1:23" x14ac:dyDescent="0.35">
      <c r="A914" s="63"/>
      <c r="B914" s="64"/>
      <c r="C914" s="63"/>
      <c r="D914" s="63"/>
      <c r="E914" s="65"/>
      <c r="F914" s="65"/>
      <c r="G914" s="65"/>
      <c r="H914" s="65"/>
      <c r="I914" s="65"/>
      <c r="J914" s="65"/>
      <c r="K914" s="65"/>
      <c r="L914" s="34"/>
      <c r="M914" s="34"/>
      <c r="N914" s="66"/>
      <c r="O914" s="65"/>
      <c r="P914" s="65"/>
      <c r="Q914" s="65"/>
      <c r="T914" s="20"/>
      <c r="U914" s="21"/>
      <c r="V914" s="37"/>
      <c r="W914" s="63"/>
    </row>
    <row r="915" spans="1:23" x14ac:dyDescent="0.35">
      <c r="A915" s="63"/>
      <c r="B915" s="64"/>
      <c r="C915" s="63"/>
      <c r="D915" s="63"/>
      <c r="E915" s="65"/>
      <c r="F915" s="65"/>
      <c r="G915" s="65"/>
      <c r="H915" s="65"/>
      <c r="I915" s="65"/>
      <c r="J915" s="65"/>
      <c r="K915" s="65"/>
      <c r="L915" s="34"/>
      <c r="M915" s="34"/>
      <c r="N915" s="66"/>
      <c r="O915" s="65"/>
      <c r="P915" s="65"/>
      <c r="Q915" s="65"/>
      <c r="T915" s="20"/>
      <c r="U915" s="21"/>
      <c r="V915" s="37"/>
      <c r="W915" s="63"/>
    </row>
    <row r="916" spans="1:23" x14ac:dyDescent="0.35">
      <c r="A916" s="63"/>
      <c r="B916" s="64"/>
      <c r="C916" s="63"/>
      <c r="D916" s="63"/>
      <c r="E916" s="65"/>
      <c r="F916" s="65"/>
      <c r="G916" s="65"/>
      <c r="H916" s="65"/>
      <c r="I916" s="65"/>
      <c r="J916" s="65"/>
      <c r="K916" s="65"/>
      <c r="L916" s="34"/>
      <c r="M916" s="34"/>
      <c r="N916" s="66"/>
      <c r="O916" s="65"/>
      <c r="P916" s="65"/>
      <c r="Q916" s="65"/>
      <c r="T916" s="20"/>
      <c r="U916" s="21"/>
      <c r="V916" s="37"/>
      <c r="W916" s="63"/>
    </row>
    <row r="917" spans="1:23" x14ac:dyDescent="0.35">
      <c r="A917" s="63"/>
      <c r="B917" s="64"/>
      <c r="C917" s="63"/>
      <c r="D917" s="63"/>
      <c r="E917" s="65"/>
      <c r="F917" s="65"/>
      <c r="G917" s="65"/>
      <c r="H917" s="65"/>
      <c r="I917" s="65"/>
      <c r="J917" s="65"/>
      <c r="K917" s="65"/>
      <c r="L917" s="34"/>
      <c r="M917" s="34"/>
      <c r="N917" s="66"/>
      <c r="O917" s="65"/>
      <c r="P917" s="65"/>
      <c r="Q917" s="65"/>
      <c r="T917" s="20"/>
      <c r="U917" s="21"/>
      <c r="V917" s="37"/>
      <c r="W917" s="63"/>
    </row>
    <row r="918" spans="1:23" x14ac:dyDescent="0.35">
      <c r="A918" s="63"/>
      <c r="B918" s="64"/>
      <c r="C918" s="63"/>
      <c r="D918" s="63"/>
      <c r="E918" s="65"/>
      <c r="F918" s="65"/>
      <c r="G918" s="65"/>
      <c r="H918" s="65"/>
      <c r="I918" s="65"/>
      <c r="J918" s="65"/>
      <c r="K918" s="65"/>
      <c r="L918" s="34"/>
      <c r="M918" s="34"/>
      <c r="N918" s="66"/>
      <c r="O918" s="65"/>
      <c r="P918" s="65"/>
      <c r="Q918" s="65"/>
      <c r="T918" s="20"/>
      <c r="U918" s="21"/>
      <c r="V918" s="37"/>
      <c r="W918" s="63"/>
    </row>
    <row r="919" spans="1:23" x14ac:dyDescent="0.35">
      <c r="A919" s="63"/>
      <c r="B919" s="64"/>
      <c r="C919" s="63"/>
      <c r="D919" s="63"/>
      <c r="E919" s="65"/>
      <c r="F919" s="65"/>
      <c r="G919" s="65"/>
      <c r="H919" s="65"/>
      <c r="I919" s="65"/>
      <c r="J919" s="65"/>
      <c r="K919" s="65"/>
      <c r="L919" s="34"/>
      <c r="M919" s="34"/>
      <c r="N919" s="66"/>
      <c r="O919" s="65"/>
      <c r="P919" s="65"/>
      <c r="Q919" s="65"/>
      <c r="T919" s="20"/>
      <c r="U919" s="21"/>
      <c r="V919" s="37"/>
      <c r="W919" s="63"/>
    </row>
    <row r="920" spans="1:23" x14ac:dyDescent="0.35">
      <c r="A920" s="63"/>
      <c r="B920" s="64"/>
      <c r="C920" s="63"/>
      <c r="D920" s="63"/>
      <c r="E920" s="65"/>
      <c r="F920" s="65"/>
      <c r="G920" s="65"/>
      <c r="H920" s="65"/>
      <c r="I920" s="65"/>
      <c r="J920" s="65"/>
      <c r="K920" s="65"/>
      <c r="L920" s="34"/>
      <c r="M920" s="34"/>
      <c r="N920" s="66"/>
      <c r="O920" s="65"/>
      <c r="P920" s="65"/>
      <c r="Q920" s="65"/>
      <c r="T920" s="20"/>
      <c r="U920" s="21"/>
      <c r="V920" s="37"/>
      <c r="W920" s="63"/>
    </row>
    <row r="921" spans="1:23" x14ac:dyDescent="0.35">
      <c r="A921" s="63"/>
      <c r="B921" s="64"/>
      <c r="C921" s="63"/>
      <c r="D921" s="63"/>
      <c r="E921" s="65"/>
      <c r="F921" s="65"/>
      <c r="G921" s="65"/>
      <c r="H921" s="65"/>
      <c r="I921" s="65"/>
      <c r="J921" s="65"/>
      <c r="K921" s="65"/>
      <c r="L921" s="34"/>
      <c r="M921" s="34"/>
      <c r="N921" s="66"/>
      <c r="O921" s="65"/>
      <c r="P921" s="65"/>
      <c r="Q921" s="65"/>
      <c r="T921" s="20"/>
      <c r="U921" s="21"/>
      <c r="V921" s="37"/>
      <c r="W921" s="63"/>
    </row>
    <row r="922" spans="1:23" x14ac:dyDescent="0.35">
      <c r="A922" s="63"/>
      <c r="B922" s="64"/>
      <c r="C922" s="63"/>
      <c r="D922" s="63"/>
      <c r="E922" s="65"/>
      <c r="F922" s="65"/>
      <c r="G922" s="65"/>
      <c r="H922" s="65"/>
      <c r="I922" s="65"/>
      <c r="J922" s="65"/>
      <c r="K922" s="65"/>
      <c r="L922" s="34"/>
      <c r="M922" s="34"/>
      <c r="N922" s="66"/>
      <c r="O922" s="65"/>
      <c r="P922" s="65"/>
      <c r="Q922" s="65"/>
      <c r="T922" s="20"/>
      <c r="U922" s="21"/>
      <c r="V922" s="37"/>
      <c r="W922" s="63"/>
    </row>
    <row r="923" spans="1:23" x14ac:dyDescent="0.35">
      <c r="A923" s="63"/>
      <c r="B923" s="64"/>
      <c r="C923" s="63"/>
      <c r="D923" s="63"/>
      <c r="E923" s="65"/>
      <c r="F923" s="65"/>
      <c r="G923" s="65"/>
      <c r="H923" s="65"/>
      <c r="I923" s="65"/>
      <c r="J923" s="65"/>
      <c r="K923" s="65"/>
      <c r="L923" s="34"/>
      <c r="M923" s="34"/>
      <c r="N923" s="66"/>
      <c r="O923" s="65"/>
      <c r="P923" s="65"/>
      <c r="Q923" s="65"/>
      <c r="T923" s="20"/>
      <c r="U923" s="21"/>
      <c r="V923" s="37"/>
      <c r="W923" s="63"/>
    </row>
    <row r="924" spans="1:23" x14ac:dyDescent="0.35">
      <c r="A924" s="63"/>
      <c r="B924" s="64"/>
      <c r="C924" s="63"/>
      <c r="D924" s="63"/>
      <c r="E924" s="65"/>
      <c r="F924" s="65"/>
      <c r="G924" s="65"/>
      <c r="H924" s="65"/>
      <c r="I924" s="65"/>
      <c r="J924" s="65"/>
      <c r="K924" s="65"/>
      <c r="L924" s="34"/>
      <c r="M924" s="34"/>
      <c r="N924" s="66"/>
      <c r="O924" s="65"/>
      <c r="P924" s="65"/>
      <c r="Q924" s="65"/>
      <c r="T924" s="20"/>
      <c r="U924" s="21"/>
      <c r="V924" s="37"/>
      <c r="W924" s="63"/>
    </row>
    <row r="925" spans="1:23" x14ac:dyDescent="0.35">
      <c r="A925" s="63"/>
      <c r="B925" s="64"/>
      <c r="C925" s="63"/>
      <c r="D925" s="63"/>
      <c r="E925" s="65"/>
      <c r="F925" s="65"/>
      <c r="G925" s="65"/>
      <c r="H925" s="65"/>
      <c r="I925" s="65"/>
      <c r="J925" s="65"/>
      <c r="K925" s="65"/>
      <c r="L925" s="34"/>
      <c r="M925" s="34"/>
      <c r="N925" s="66"/>
      <c r="O925" s="65"/>
      <c r="P925" s="65"/>
      <c r="Q925" s="65"/>
      <c r="T925" s="20"/>
      <c r="U925" s="21"/>
      <c r="V925" s="37"/>
      <c r="W925" s="63"/>
    </row>
    <row r="926" spans="1:23" x14ac:dyDescent="0.35">
      <c r="A926" s="63"/>
      <c r="B926" s="64"/>
      <c r="C926" s="63"/>
      <c r="D926" s="63"/>
      <c r="E926" s="65"/>
      <c r="F926" s="65"/>
      <c r="G926" s="65"/>
      <c r="H926" s="65"/>
      <c r="I926" s="65"/>
      <c r="J926" s="65"/>
      <c r="K926" s="65"/>
      <c r="L926" s="34"/>
      <c r="M926" s="34"/>
      <c r="N926" s="66"/>
      <c r="O926" s="65"/>
      <c r="P926" s="65"/>
      <c r="Q926" s="65"/>
      <c r="T926" s="20"/>
      <c r="U926" s="21"/>
      <c r="V926" s="37"/>
      <c r="W926" s="63"/>
    </row>
    <row r="927" spans="1:23" x14ac:dyDescent="0.35">
      <c r="A927" s="63"/>
      <c r="B927" s="64"/>
      <c r="C927" s="63"/>
      <c r="D927" s="63"/>
      <c r="E927" s="65"/>
      <c r="F927" s="65"/>
      <c r="G927" s="65"/>
      <c r="H927" s="65"/>
      <c r="I927" s="65"/>
      <c r="J927" s="65"/>
      <c r="K927" s="65"/>
      <c r="L927" s="34"/>
      <c r="M927" s="34"/>
      <c r="N927" s="66"/>
      <c r="O927" s="65"/>
      <c r="P927" s="65"/>
      <c r="Q927" s="65"/>
      <c r="T927" s="20"/>
      <c r="U927" s="21"/>
      <c r="V927" s="37"/>
      <c r="W927" s="63"/>
    </row>
    <row r="928" spans="1:23" x14ac:dyDescent="0.35">
      <c r="A928" s="63"/>
      <c r="B928" s="64"/>
      <c r="C928" s="63"/>
      <c r="D928" s="63"/>
      <c r="E928" s="65"/>
      <c r="F928" s="65"/>
      <c r="G928" s="65"/>
      <c r="H928" s="65"/>
      <c r="I928" s="65"/>
      <c r="J928" s="65"/>
      <c r="K928" s="65"/>
      <c r="L928" s="34"/>
      <c r="M928" s="34"/>
      <c r="N928" s="66"/>
      <c r="O928" s="65"/>
      <c r="P928" s="65"/>
      <c r="Q928" s="65"/>
      <c r="T928" s="20"/>
      <c r="U928" s="21"/>
      <c r="V928" s="37"/>
      <c r="W928" s="63"/>
    </row>
    <row r="929" spans="1:23" x14ac:dyDescent="0.35">
      <c r="A929" s="63"/>
      <c r="B929" s="64"/>
      <c r="C929" s="63"/>
      <c r="D929" s="63"/>
      <c r="E929" s="65"/>
      <c r="F929" s="65"/>
      <c r="G929" s="65"/>
      <c r="H929" s="65"/>
      <c r="I929" s="65"/>
      <c r="J929" s="65"/>
      <c r="K929" s="65"/>
      <c r="L929" s="34"/>
      <c r="M929" s="34"/>
      <c r="N929" s="66"/>
      <c r="O929" s="65"/>
      <c r="P929" s="65"/>
      <c r="Q929" s="65"/>
      <c r="T929" s="20"/>
      <c r="U929" s="21"/>
      <c r="V929" s="37"/>
      <c r="W929" s="63"/>
    </row>
    <row r="930" spans="1:23" x14ac:dyDescent="0.35">
      <c r="A930" s="63"/>
      <c r="B930" s="64"/>
      <c r="C930" s="63"/>
      <c r="D930" s="63"/>
      <c r="E930" s="65"/>
      <c r="F930" s="65"/>
      <c r="G930" s="65"/>
      <c r="H930" s="65"/>
      <c r="I930" s="65"/>
      <c r="J930" s="65"/>
      <c r="K930" s="65"/>
      <c r="L930" s="34"/>
      <c r="M930" s="34"/>
      <c r="N930" s="66"/>
      <c r="O930" s="65"/>
      <c r="P930" s="65"/>
      <c r="Q930" s="65"/>
      <c r="T930" s="20"/>
      <c r="U930" s="21"/>
      <c r="V930" s="37"/>
      <c r="W930" s="63"/>
    </row>
    <row r="931" spans="1:23" x14ac:dyDescent="0.35">
      <c r="A931" s="63"/>
      <c r="B931" s="64"/>
      <c r="C931" s="63"/>
      <c r="D931" s="63"/>
      <c r="E931" s="65"/>
      <c r="F931" s="65"/>
      <c r="G931" s="65"/>
      <c r="H931" s="65"/>
      <c r="I931" s="65"/>
      <c r="J931" s="65"/>
      <c r="K931" s="65"/>
      <c r="L931" s="34"/>
      <c r="M931" s="34"/>
      <c r="N931" s="66"/>
      <c r="O931" s="65"/>
      <c r="P931" s="65"/>
      <c r="Q931" s="65"/>
      <c r="T931" s="20"/>
      <c r="U931" s="21"/>
      <c r="V931" s="37"/>
      <c r="W931" s="63"/>
    </row>
    <row r="932" spans="1:23" x14ac:dyDescent="0.35">
      <c r="A932" s="63"/>
      <c r="B932" s="64"/>
      <c r="C932" s="63"/>
      <c r="D932" s="63"/>
      <c r="E932" s="65"/>
      <c r="F932" s="65"/>
      <c r="G932" s="65"/>
      <c r="H932" s="65"/>
      <c r="I932" s="65"/>
      <c r="J932" s="65"/>
      <c r="K932" s="65"/>
      <c r="L932" s="34"/>
      <c r="M932" s="34"/>
      <c r="N932" s="66"/>
      <c r="O932" s="65"/>
      <c r="P932" s="65"/>
      <c r="Q932" s="65"/>
      <c r="T932" s="20"/>
      <c r="U932" s="21"/>
      <c r="V932" s="37"/>
      <c r="W932" s="63"/>
    </row>
    <row r="933" spans="1:23" x14ac:dyDescent="0.35">
      <c r="A933" s="63"/>
      <c r="B933" s="64"/>
      <c r="C933" s="63"/>
      <c r="D933" s="63"/>
      <c r="E933" s="65"/>
      <c r="F933" s="65"/>
      <c r="G933" s="65"/>
      <c r="H933" s="65"/>
      <c r="I933" s="65"/>
      <c r="J933" s="65"/>
      <c r="K933" s="65"/>
      <c r="L933" s="34"/>
      <c r="M933" s="34"/>
      <c r="N933" s="66"/>
      <c r="O933" s="65"/>
      <c r="P933" s="65"/>
      <c r="Q933" s="65"/>
      <c r="T933" s="20"/>
      <c r="U933" s="21"/>
      <c r="V933" s="37"/>
      <c r="W933" s="63"/>
    </row>
    <row r="934" spans="1:23" x14ac:dyDescent="0.35">
      <c r="A934" s="63"/>
      <c r="B934" s="64"/>
      <c r="C934" s="63"/>
      <c r="D934" s="63"/>
      <c r="E934" s="65"/>
      <c r="F934" s="65"/>
      <c r="G934" s="65"/>
      <c r="H934" s="65"/>
      <c r="I934" s="65"/>
      <c r="J934" s="65"/>
      <c r="K934" s="65"/>
      <c r="L934" s="34"/>
      <c r="M934" s="34"/>
      <c r="N934" s="66"/>
      <c r="O934" s="65"/>
      <c r="P934" s="65"/>
      <c r="Q934" s="65"/>
      <c r="T934" s="20"/>
      <c r="U934" s="21"/>
      <c r="V934" s="37"/>
      <c r="W934" s="63"/>
    </row>
    <row r="935" spans="1:23" x14ac:dyDescent="0.35">
      <c r="A935" s="63"/>
      <c r="B935" s="64"/>
      <c r="C935" s="63"/>
      <c r="D935" s="63"/>
      <c r="E935" s="65"/>
      <c r="F935" s="65"/>
      <c r="G935" s="65"/>
      <c r="H935" s="65"/>
      <c r="I935" s="65"/>
      <c r="J935" s="65"/>
      <c r="K935" s="65"/>
      <c r="L935" s="34"/>
      <c r="M935" s="34"/>
      <c r="N935" s="66"/>
      <c r="O935" s="65"/>
      <c r="P935" s="65"/>
      <c r="Q935" s="65"/>
      <c r="T935" s="20"/>
      <c r="U935" s="21"/>
      <c r="V935" s="37"/>
      <c r="W935" s="63"/>
    </row>
    <row r="936" spans="1:23" x14ac:dyDescent="0.35">
      <c r="A936" s="63"/>
      <c r="B936" s="64"/>
      <c r="C936" s="63"/>
      <c r="D936" s="63"/>
      <c r="E936" s="65"/>
      <c r="F936" s="65"/>
      <c r="G936" s="65"/>
      <c r="H936" s="65"/>
      <c r="I936" s="65"/>
      <c r="J936" s="65"/>
      <c r="K936" s="65"/>
      <c r="L936" s="34"/>
      <c r="M936" s="34"/>
      <c r="N936" s="66"/>
      <c r="O936" s="65"/>
      <c r="P936" s="65"/>
      <c r="Q936" s="65"/>
      <c r="T936" s="20"/>
      <c r="U936" s="21"/>
      <c r="V936" s="37"/>
      <c r="W936" s="63"/>
    </row>
    <row r="937" spans="1:23" x14ac:dyDescent="0.35">
      <c r="A937" s="63"/>
      <c r="B937" s="64"/>
      <c r="C937" s="63"/>
      <c r="D937" s="63"/>
      <c r="E937" s="65"/>
      <c r="F937" s="65"/>
      <c r="G937" s="65"/>
      <c r="H937" s="65"/>
      <c r="I937" s="65"/>
      <c r="J937" s="65"/>
      <c r="K937" s="65"/>
      <c r="L937" s="34"/>
      <c r="M937" s="34"/>
      <c r="N937" s="66"/>
      <c r="O937" s="65"/>
      <c r="P937" s="65"/>
      <c r="Q937" s="65"/>
      <c r="T937" s="20"/>
      <c r="U937" s="21"/>
      <c r="V937" s="37"/>
      <c r="W937" s="63"/>
    </row>
    <row r="938" spans="1:23" x14ac:dyDescent="0.35">
      <c r="A938" s="63"/>
      <c r="B938" s="64"/>
      <c r="C938" s="63"/>
      <c r="D938" s="63"/>
      <c r="E938" s="65"/>
      <c r="F938" s="65"/>
      <c r="G938" s="65"/>
      <c r="H938" s="65"/>
      <c r="I938" s="65"/>
      <c r="J938" s="65"/>
      <c r="K938" s="65"/>
      <c r="L938" s="34"/>
      <c r="M938" s="34"/>
      <c r="N938" s="66"/>
      <c r="O938" s="65"/>
      <c r="P938" s="65"/>
      <c r="Q938" s="65"/>
      <c r="T938" s="20"/>
      <c r="U938" s="21"/>
      <c r="V938" s="37"/>
      <c r="W938" s="63"/>
    </row>
    <row r="939" spans="1:23" x14ac:dyDescent="0.35">
      <c r="A939" s="63"/>
      <c r="B939" s="64"/>
      <c r="C939" s="63"/>
      <c r="D939" s="63"/>
      <c r="E939" s="65"/>
      <c r="F939" s="65"/>
      <c r="G939" s="65"/>
      <c r="H939" s="65"/>
      <c r="I939" s="65"/>
      <c r="J939" s="65"/>
      <c r="K939" s="65"/>
      <c r="L939" s="34"/>
      <c r="M939" s="34"/>
      <c r="N939" s="66"/>
      <c r="O939" s="65"/>
      <c r="P939" s="65"/>
      <c r="Q939" s="65"/>
      <c r="T939" s="20"/>
      <c r="U939" s="21"/>
      <c r="V939" s="37"/>
      <c r="W939" s="63"/>
    </row>
    <row r="940" spans="1:23" x14ac:dyDescent="0.35">
      <c r="A940" s="63"/>
      <c r="B940" s="64"/>
      <c r="C940" s="63"/>
      <c r="D940" s="63"/>
      <c r="E940" s="65"/>
      <c r="F940" s="65"/>
      <c r="G940" s="65"/>
      <c r="H940" s="65"/>
      <c r="I940" s="65"/>
      <c r="J940" s="65"/>
      <c r="K940" s="65"/>
      <c r="L940" s="34"/>
      <c r="M940" s="34"/>
      <c r="N940" s="66"/>
      <c r="O940" s="65"/>
      <c r="P940" s="65"/>
      <c r="Q940" s="65"/>
      <c r="T940" s="20"/>
      <c r="U940" s="21"/>
      <c r="V940" s="37"/>
      <c r="W940" s="63"/>
    </row>
    <row r="941" spans="1:23" x14ac:dyDescent="0.35">
      <c r="A941" s="63"/>
      <c r="B941" s="64"/>
      <c r="C941" s="63"/>
      <c r="D941" s="63"/>
      <c r="E941" s="65"/>
      <c r="F941" s="65"/>
      <c r="G941" s="65"/>
      <c r="H941" s="65"/>
      <c r="I941" s="65"/>
      <c r="J941" s="65"/>
      <c r="K941" s="65"/>
      <c r="L941" s="34"/>
      <c r="M941" s="34"/>
      <c r="N941" s="66"/>
      <c r="O941" s="65"/>
      <c r="P941" s="65"/>
      <c r="Q941" s="65"/>
      <c r="T941" s="20"/>
      <c r="U941" s="21"/>
      <c r="V941" s="37"/>
      <c r="W941" s="63"/>
    </row>
    <row r="942" spans="1:23" x14ac:dyDescent="0.35">
      <c r="A942" s="63"/>
      <c r="B942" s="64"/>
      <c r="C942" s="63"/>
      <c r="D942" s="63"/>
      <c r="E942" s="65"/>
      <c r="F942" s="65"/>
      <c r="G942" s="65"/>
      <c r="H942" s="65"/>
      <c r="I942" s="65"/>
      <c r="J942" s="65"/>
      <c r="K942" s="65"/>
      <c r="L942" s="34"/>
      <c r="M942" s="34"/>
      <c r="N942" s="66"/>
      <c r="O942" s="65"/>
      <c r="P942" s="65"/>
      <c r="Q942" s="65"/>
      <c r="T942" s="20"/>
      <c r="U942" s="21"/>
      <c r="V942" s="37"/>
      <c r="W942" s="63"/>
    </row>
    <row r="943" spans="1:23" x14ac:dyDescent="0.35">
      <c r="A943" s="63"/>
      <c r="B943" s="64"/>
      <c r="C943" s="63"/>
      <c r="D943" s="63"/>
      <c r="E943" s="65"/>
      <c r="F943" s="65"/>
      <c r="G943" s="65"/>
      <c r="H943" s="65"/>
      <c r="I943" s="65"/>
      <c r="J943" s="65"/>
      <c r="K943" s="65"/>
      <c r="L943" s="34"/>
      <c r="M943" s="34"/>
      <c r="N943" s="66"/>
      <c r="O943" s="65"/>
      <c r="P943" s="65"/>
      <c r="Q943" s="65"/>
      <c r="T943" s="20"/>
      <c r="U943" s="21"/>
      <c r="V943" s="37"/>
      <c r="W943" s="63"/>
    </row>
    <row r="944" spans="1:23" x14ac:dyDescent="0.35">
      <c r="A944" s="63"/>
      <c r="B944" s="64"/>
      <c r="C944" s="63"/>
      <c r="D944" s="63"/>
      <c r="E944" s="65"/>
      <c r="F944" s="65"/>
      <c r="G944" s="65"/>
      <c r="H944" s="65"/>
      <c r="I944" s="65"/>
      <c r="J944" s="65"/>
      <c r="K944" s="65"/>
      <c r="L944" s="34"/>
      <c r="M944" s="34"/>
      <c r="N944" s="66"/>
      <c r="O944" s="65"/>
      <c r="P944" s="65"/>
      <c r="Q944" s="65"/>
      <c r="T944" s="20"/>
      <c r="U944" s="21"/>
      <c r="V944" s="37"/>
      <c r="W944" s="63"/>
    </row>
    <row r="945" spans="1:23" x14ac:dyDescent="0.35">
      <c r="A945" s="63"/>
      <c r="B945" s="64"/>
      <c r="C945" s="63"/>
      <c r="D945" s="63"/>
      <c r="E945" s="65"/>
      <c r="F945" s="65"/>
      <c r="G945" s="65"/>
      <c r="H945" s="65"/>
      <c r="I945" s="65"/>
      <c r="J945" s="65"/>
      <c r="K945" s="65"/>
      <c r="L945" s="34"/>
      <c r="M945" s="34"/>
      <c r="N945" s="66"/>
      <c r="O945" s="65"/>
      <c r="P945" s="65"/>
      <c r="Q945" s="65"/>
      <c r="T945" s="20"/>
      <c r="U945" s="21"/>
      <c r="V945" s="37"/>
      <c r="W945" s="63"/>
    </row>
    <row r="946" spans="1:23" x14ac:dyDescent="0.35">
      <c r="A946" s="63"/>
      <c r="B946" s="64"/>
      <c r="C946" s="63"/>
      <c r="D946" s="63"/>
      <c r="E946" s="65"/>
      <c r="F946" s="65"/>
      <c r="G946" s="65"/>
      <c r="H946" s="65"/>
      <c r="I946" s="65"/>
      <c r="J946" s="65"/>
      <c r="K946" s="65"/>
      <c r="L946" s="34"/>
      <c r="M946" s="34"/>
      <c r="N946" s="66"/>
      <c r="O946" s="65"/>
      <c r="P946" s="65"/>
      <c r="Q946" s="65"/>
      <c r="T946" s="20"/>
      <c r="U946" s="21"/>
      <c r="V946" s="37"/>
      <c r="W946" s="63"/>
    </row>
    <row r="947" spans="1:23" x14ac:dyDescent="0.35">
      <c r="A947" s="63"/>
      <c r="B947" s="64"/>
      <c r="C947" s="63"/>
      <c r="D947" s="63"/>
      <c r="E947" s="65"/>
      <c r="F947" s="65"/>
      <c r="G947" s="65"/>
      <c r="H947" s="65"/>
      <c r="I947" s="65"/>
      <c r="J947" s="65"/>
      <c r="K947" s="65"/>
      <c r="L947" s="34"/>
      <c r="M947" s="34"/>
      <c r="N947" s="66"/>
      <c r="O947" s="65"/>
      <c r="P947" s="65"/>
      <c r="Q947" s="65"/>
      <c r="T947" s="20"/>
      <c r="U947" s="21"/>
      <c r="V947" s="37"/>
      <c r="W947" s="63"/>
    </row>
    <row r="948" spans="1:23" x14ac:dyDescent="0.35">
      <c r="A948" s="63"/>
      <c r="B948" s="64"/>
      <c r="C948" s="63"/>
      <c r="D948" s="63"/>
      <c r="E948" s="65"/>
      <c r="F948" s="65"/>
      <c r="G948" s="65"/>
      <c r="H948" s="65"/>
      <c r="I948" s="65"/>
      <c r="J948" s="65"/>
      <c r="K948" s="65"/>
      <c r="L948" s="34"/>
      <c r="M948" s="34"/>
      <c r="N948" s="66"/>
      <c r="O948" s="65"/>
      <c r="P948" s="65"/>
      <c r="Q948" s="65"/>
      <c r="T948" s="20"/>
      <c r="U948" s="21"/>
      <c r="V948" s="37"/>
      <c r="W948" s="63"/>
    </row>
    <row r="949" spans="1:23" x14ac:dyDescent="0.35">
      <c r="A949" s="63"/>
      <c r="B949" s="64"/>
      <c r="C949" s="63"/>
      <c r="D949" s="63"/>
      <c r="E949" s="65"/>
      <c r="F949" s="65"/>
      <c r="G949" s="65"/>
      <c r="H949" s="65"/>
      <c r="I949" s="65"/>
      <c r="J949" s="65"/>
      <c r="K949" s="65"/>
      <c r="L949" s="34"/>
      <c r="M949" s="34"/>
      <c r="N949" s="66"/>
      <c r="O949" s="65"/>
      <c r="P949" s="65"/>
      <c r="Q949" s="65"/>
      <c r="T949" s="20"/>
      <c r="U949" s="21"/>
      <c r="V949" s="37"/>
      <c r="W949" s="63"/>
    </row>
    <row r="950" spans="1:23" x14ac:dyDescent="0.35">
      <c r="A950" s="63"/>
      <c r="B950" s="64"/>
      <c r="C950" s="63"/>
      <c r="D950" s="63"/>
      <c r="E950" s="65"/>
      <c r="F950" s="65"/>
      <c r="G950" s="65"/>
      <c r="H950" s="65"/>
      <c r="I950" s="65"/>
      <c r="J950" s="65"/>
      <c r="K950" s="65"/>
      <c r="L950" s="34"/>
      <c r="M950" s="34"/>
      <c r="N950" s="66"/>
      <c r="O950" s="65"/>
      <c r="P950" s="65"/>
      <c r="Q950" s="65"/>
      <c r="T950" s="20"/>
      <c r="U950" s="21"/>
      <c r="V950" s="37"/>
      <c r="W950" s="63"/>
    </row>
    <row r="951" spans="1:23" x14ac:dyDescent="0.35">
      <c r="A951" s="63"/>
      <c r="B951" s="64"/>
      <c r="C951" s="63"/>
      <c r="D951" s="63"/>
      <c r="E951" s="65"/>
      <c r="F951" s="65"/>
      <c r="G951" s="65"/>
      <c r="H951" s="65"/>
      <c r="I951" s="65"/>
      <c r="J951" s="65"/>
      <c r="K951" s="65"/>
      <c r="L951" s="34"/>
      <c r="M951" s="34"/>
      <c r="N951" s="66"/>
      <c r="O951" s="65"/>
      <c r="P951" s="65"/>
      <c r="Q951" s="65"/>
      <c r="T951" s="20"/>
      <c r="U951" s="21"/>
      <c r="V951" s="37"/>
      <c r="W951" s="63"/>
    </row>
    <row r="952" spans="1:23" x14ac:dyDescent="0.35">
      <c r="A952" s="63"/>
      <c r="B952" s="64"/>
      <c r="C952" s="63"/>
      <c r="D952" s="63"/>
      <c r="E952" s="65"/>
      <c r="F952" s="65"/>
      <c r="G952" s="65"/>
      <c r="H952" s="65"/>
      <c r="I952" s="65"/>
      <c r="J952" s="65"/>
      <c r="K952" s="65"/>
      <c r="L952" s="34"/>
      <c r="M952" s="34"/>
      <c r="N952" s="66"/>
      <c r="O952" s="65"/>
      <c r="P952" s="65"/>
      <c r="Q952" s="65"/>
      <c r="T952" s="20"/>
      <c r="U952" s="21"/>
      <c r="V952" s="37"/>
      <c r="W952" s="63"/>
    </row>
    <row r="953" spans="1:23" x14ac:dyDescent="0.35">
      <c r="A953" s="63"/>
      <c r="B953" s="64"/>
      <c r="C953" s="63"/>
      <c r="D953" s="63"/>
      <c r="E953" s="65"/>
      <c r="F953" s="65"/>
      <c r="G953" s="65"/>
      <c r="H953" s="65"/>
      <c r="I953" s="65"/>
      <c r="J953" s="65"/>
      <c r="K953" s="65"/>
      <c r="L953" s="34"/>
      <c r="M953" s="34"/>
      <c r="N953" s="66"/>
      <c r="O953" s="65"/>
      <c r="P953" s="65"/>
      <c r="Q953" s="65"/>
      <c r="T953" s="20"/>
      <c r="U953" s="21"/>
      <c r="V953" s="37"/>
      <c r="W953" s="63"/>
    </row>
    <row r="954" spans="1:23" x14ac:dyDescent="0.35">
      <c r="A954" s="63"/>
      <c r="B954" s="64"/>
      <c r="C954" s="63"/>
      <c r="D954" s="63"/>
      <c r="E954" s="65"/>
      <c r="F954" s="65"/>
      <c r="G954" s="65"/>
      <c r="H954" s="65"/>
      <c r="I954" s="65"/>
      <c r="J954" s="65"/>
      <c r="K954" s="65"/>
      <c r="L954" s="34"/>
      <c r="M954" s="34"/>
      <c r="N954" s="66"/>
      <c r="O954" s="65"/>
      <c r="P954" s="65"/>
      <c r="Q954" s="65"/>
      <c r="T954" s="20"/>
      <c r="U954" s="21"/>
      <c r="V954" s="37"/>
      <c r="W954" s="63"/>
    </row>
    <row r="955" spans="1:23" x14ac:dyDescent="0.35">
      <c r="A955" s="63"/>
      <c r="B955" s="64"/>
      <c r="C955" s="63"/>
      <c r="D955" s="63"/>
      <c r="E955" s="65"/>
      <c r="F955" s="65"/>
      <c r="G955" s="65"/>
      <c r="H955" s="65"/>
      <c r="I955" s="65"/>
      <c r="J955" s="65"/>
      <c r="K955" s="65"/>
      <c r="L955" s="34"/>
      <c r="M955" s="34"/>
      <c r="N955" s="66"/>
      <c r="O955" s="65"/>
      <c r="P955" s="65"/>
      <c r="Q955" s="65"/>
      <c r="T955" s="20"/>
      <c r="U955" s="21"/>
      <c r="V955" s="37"/>
      <c r="W955" s="63"/>
    </row>
    <row r="956" spans="1:23" x14ac:dyDescent="0.35">
      <c r="A956" s="63"/>
      <c r="B956" s="64"/>
      <c r="C956" s="63"/>
      <c r="D956" s="63"/>
      <c r="E956" s="65"/>
      <c r="F956" s="65"/>
      <c r="G956" s="65"/>
      <c r="H956" s="65"/>
      <c r="I956" s="65"/>
      <c r="J956" s="65"/>
      <c r="K956" s="65"/>
      <c r="L956" s="34"/>
      <c r="M956" s="34"/>
      <c r="N956" s="66"/>
      <c r="O956" s="65"/>
      <c r="P956" s="65"/>
      <c r="Q956" s="65"/>
      <c r="T956" s="20"/>
      <c r="U956" s="21"/>
      <c r="V956" s="37"/>
      <c r="W956" s="63"/>
    </row>
    <row r="957" spans="1:23" x14ac:dyDescent="0.35">
      <c r="A957" s="63"/>
      <c r="B957" s="64"/>
      <c r="C957" s="63"/>
      <c r="D957" s="63"/>
      <c r="E957" s="65"/>
      <c r="F957" s="65"/>
      <c r="G957" s="65"/>
      <c r="H957" s="65"/>
      <c r="I957" s="65"/>
      <c r="J957" s="65"/>
      <c r="K957" s="65"/>
      <c r="L957" s="34"/>
      <c r="M957" s="34"/>
      <c r="N957" s="66"/>
      <c r="O957" s="65"/>
      <c r="P957" s="65"/>
      <c r="Q957" s="65"/>
      <c r="T957" s="20"/>
      <c r="U957" s="21"/>
      <c r="V957" s="37"/>
      <c r="W957" s="63"/>
    </row>
    <row r="958" spans="1:23" x14ac:dyDescent="0.35">
      <c r="A958" s="63"/>
      <c r="B958" s="64"/>
      <c r="C958" s="63"/>
      <c r="D958" s="63"/>
      <c r="E958" s="65"/>
      <c r="F958" s="65"/>
      <c r="G958" s="65"/>
      <c r="H958" s="65"/>
      <c r="I958" s="65"/>
      <c r="J958" s="65"/>
      <c r="K958" s="65"/>
      <c r="L958" s="34"/>
      <c r="M958" s="34"/>
      <c r="N958" s="66"/>
      <c r="O958" s="65"/>
      <c r="P958" s="65"/>
      <c r="Q958" s="65"/>
      <c r="T958" s="20"/>
      <c r="U958" s="21"/>
      <c r="V958" s="37"/>
      <c r="W958" s="63"/>
    </row>
    <row r="959" spans="1:23" x14ac:dyDescent="0.35">
      <c r="A959" s="63"/>
      <c r="B959" s="64"/>
      <c r="C959" s="63"/>
      <c r="D959" s="63"/>
      <c r="E959" s="65"/>
      <c r="F959" s="65"/>
      <c r="G959" s="65"/>
      <c r="H959" s="65"/>
      <c r="I959" s="65"/>
      <c r="J959" s="65"/>
      <c r="K959" s="65"/>
      <c r="L959" s="34"/>
      <c r="M959" s="34"/>
      <c r="N959" s="66"/>
      <c r="O959" s="65"/>
      <c r="P959" s="65"/>
      <c r="Q959" s="65"/>
      <c r="T959" s="20"/>
      <c r="U959" s="21"/>
      <c r="V959" s="37"/>
      <c r="W959" s="63"/>
    </row>
    <row r="960" spans="1:23" x14ac:dyDescent="0.35">
      <c r="A960" s="63"/>
      <c r="B960" s="64"/>
      <c r="C960" s="63"/>
      <c r="D960" s="63"/>
      <c r="E960" s="65"/>
      <c r="F960" s="65"/>
      <c r="G960" s="65"/>
      <c r="H960" s="65"/>
      <c r="I960" s="65"/>
      <c r="J960" s="65"/>
      <c r="K960" s="65"/>
      <c r="L960" s="34"/>
      <c r="M960" s="34"/>
      <c r="N960" s="66"/>
      <c r="O960" s="65"/>
      <c r="P960" s="65"/>
      <c r="Q960" s="65"/>
      <c r="T960" s="20"/>
      <c r="U960" s="21"/>
      <c r="V960" s="37"/>
      <c r="W960" s="63"/>
    </row>
    <row r="961" spans="1:23" x14ac:dyDescent="0.35">
      <c r="A961" s="63"/>
      <c r="B961" s="64"/>
      <c r="C961" s="63"/>
      <c r="D961" s="63"/>
      <c r="E961" s="65"/>
      <c r="F961" s="65"/>
      <c r="G961" s="65"/>
      <c r="H961" s="65"/>
      <c r="I961" s="65"/>
      <c r="J961" s="65"/>
      <c r="K961" s="65"/>
      <c r="L961" s="34"/>
      <c r="M961" s="34"/>
      <c r="N961" s="66"/>
      <c r="O961" s="65"/>
      <c r="P961" s="65"/>
      <c r="Q961" s="65"/>
      <c r="T961" s="20"/>
      <c r="U961" s="21"/>
      <c r="V961" s="37"/>
      <c r="W961" s="63"/>
    </row>
    <row r="962" spans="1:23" x14ac:dyDescent="0.35">
      <c r="A962" s="63"/>
      <c r="B962" s="64"/>
      <c r="C962" s="63"/>
      <c r="D962" s="63"/>
      <c r="E962" s="65"/>
      <c r="F962" s="65"/>
      <c r="G962" s="65"/>
      <c r="H962" s="65"/>
      <c r="I962" s="65"/>
      <c r="J962" s="65"/>
      <c r="K962" s="65"/>
      <c r="L962" s="34"/>
      <c r="M962" s="34"/>
      <c r="N962" s="66"/>
      <c r="O962" s="65"/>
      <c r="P962" s="65"/>
      <c r="Q962" s="65"/>
      <c r="T962" s="20"/>
      <c r="U962" s="21"/>
      <c r="V962" s="37"/>
      <c r="W962" s="63"/>
    </row>
    <row r="963" spans="1:23" x14ac:dyDescent="0.35">
      <c r="A963" s="63"/>
      <c r="B963" s="64"/>
      <c r="C963" s="63"/>
      <c r="D963" s="63"/>
      <c r="E963" s="65"/>
      <c r="F963" s="65"/>
      <c r="G963" s="65"/>
      <c r="H963" s="65"/>
      <c r="I963" s="65"/>
      <c r="J963" s="65"/>
      <c r="K963" s="65"/>
      <c r="L963" s="34"/>
      <c r="M963" s="34"/>
      <c r="N963" s="66"/>
      <c r="O963" s="65"/>
      <c r="P963" s="65"/>
      <c r="Q963" s="65"/>
      <c r="T963" s="20"/>
      <c r="U963" s="21"/>
      <c r="V963" s="37"/>
      <c r="W963" s="63"/>
    </row>
    <row r="964" spans="1:23" x14ac:dyDescent="0.35">
      <c r="A964" s="63"/>
      <c r="B964" s="64"/>
      <c r="C964" s="63"/>
      <c r="D964" s="63"/>
      <c r="E964" s="65"/>
      <c r="F964" s="65"/>
      <c r="G964" s="65"/>
      <c r="H964" s="65"/>
      <c r="I964" s="65"/>
      <c r="J964" s="65"/>
      <c r="K964" s="65"/>
      <c r="L964" s="34"/>
      <c r="M964" s="34"/>
      <c r="N964" s="66"/>
      <c r="O964" s="65"/>
      <c r="P964" s="65"/>
      <c r="Q964" s="65"/>
      <c r="T964" s="20"/>
      <c r="U964" s="21"/>
      <c r="V964" s="37"/>
      <c r="W964" s="63"/>
    </row>
    <row r="965" spans="1:23" x14ac:dyDescent="0.35">
      <c r="A965" s="63"/>
      <c r="B965" s="64"/>
      <c r="C965" s="63"/>
      <c r="D965" s="63"/>
      <c r="E965" s="65"/>
      <c r="F965" s="65"/>
      <c r="G965" s="65"/>
      <c r="H965" s="65"/>
      <c r="I965" s="65"/>
      <c r="J965" s="65"/>
      <c r="K965" s="65"/>
      <c r="L965" s="34"/>
      <c r="M965" s="34"/>
      <c r="N965" s="66"/>
      <c r="O965" s="65"/>
      <c r="P965" s="65"/>
      <c r="Q965" s="65"/>
      <c r="T965" s="20"/>
      <c r="U965" s="21"/>
      <c r="V965" s="37"/>
      <c r="W965" s="63"/>
    </row>
    <row r="966" spans="1:23" x14ac:dyDescent="0.35">
      <c r="A966" s="63"/>
      <c r="B966" s="64"/>
      <c r="C966" s="63"/>
      <c r="D966" s="63"/>
      <c r="E966" s="65"/>
      <c r="F966" s="65"/>
      <c r="G966" s="65"/>
      <c r="H966" s="65"/>
      <c r="I966" s="65"/>
      <c r="J966" s="65"/>
      <c r="K966" s="65"/>
      <c r="L966" s="34"/>
      <c r="M966" s="34"/>
      <c r="N966" s="66"/>
      <c r="O966" s="65"/>
      <c r="P966" s="65"/>
      <c r="Q966" s="65"/>
      <c r="T966" s="20"/>
      <c r="U966" s="21"/>
      <c r="V966" s="37"/>
      <c r="W966" s="63"/>
    </row>
    <row r="967" spans="1:23" x14ac:dyDescent="0.35">
      <c r="A967" s="63"/>
      <c r="B967" s="64"/>
      <c r="C967" s="63"/>
      <c r="D967" s="63"/>
      <c r="E967" s="65"/>
      <c r="F967" s="65"/>
      <c r="G967" s="65"/>
      <c r="H967" s="65"/>
      <c r="I967" s="65"/>
      <c r="J967" s="65"/>
      <c r="K967" s="65"/>
      <c r="L967" s="34"/>
      <c r="M967" s="34"/>
      <c r="N967" s="66"/>
      <c r="O967" s="65"/>
      <c r="P967" s="65"/>
      <c r="Q967" s="65"/>
      <c r="T967" s="20"/>
      <c r="U967" s="21"/>
      <c r="V967" s="37"/>
      <c r="W967" s="63"/>
    </row>
    <row r="968" spans="1:23" x14ac:dyDescent="0.35">
      <c r="A968" s="63"/>
      <c r="B968" s="64"/>
      <c r="C968" s="63"/>
      <c r="D968" s="63"/>
      <c r="E968" s="65"/>
      <c r="F968" s="65"/>
      <c r="G968" s="65"/>
      <c r="H968" s="65"/>
      <c r="I968" s="65"/>
      <c r="J968" s="65"/>
      <c r="K968" s="65"/>
      <c r="L968" s="34"/>
      <c r="M968" s="34"/>
      <c r="N968" s="66"/>
      <c r="O968" s="65"/>
      <c r="P968" s="65"/>
      <c r="Q968" s="65"/>
      <c r="T968" s="20"/>
      <c r="U968" s="21"/>
      <c r="V968" s="37"/>
      <c r="W968" s="63"/>
    </row>
    <row r="969" spans="1:23" x14ac:dyDescent="0.35">
      <c r="A969" s="63"/>
      <c r="B969" s="64"/>
      <c r="C969" s="63"/>
      <c r="D969" s="63"/>
      <c r="E969" s="65"/>
      <c r="F969" s="65"/>
      <c r="G969" s="65"/>
      <c r="H969" s="65"/>
      <c r="I969" s="65"/>
      <c r="J969" s="65"/>
      <c r="K969" s="65"/>
      <c r="L969" s="34"/>
      <c r="M969" s="34"/>
      <c r="N969" s="66"/>
      <c r="O969" s="65"/>
      <c r="P969" s="65"/>
      <c r="Q969" s="65"/>
      <c r="T969" s="20"/>
      <c r="U969" s="21"/>
      <c r="V969" s="37"/>
      <c r="W969" s="63"/>
    </row>
    <row r="970" spans="1:23" x14ac:dyDescent="0.35">
      <c r="A970" s="63"/>
      <c r="B970" s="64"/>
      <c r="C970" s="63"/>
      <c r="D970" s="63"/>
      <c r="E970" s="65"/>
      <c r="F970" s="65"/>
      <c r="G970" s="65"/>
      <c r="H970" s="65"/>
      <c r="I970" s="65"/>
      <c r="J970" s="65"/>
      <c r="K970" s="65"/>
      <c r="L970" s="34"/>
      <c r="M970" s="34"/>
      <c r="N970" s="66"/>
      <c r="O970" s="65"/>
      <c r="P970" s="65"/>
      <c r="Q970" s="65"/>
      <c r="T970" s="20"/>
      <c r="U970" s="21"/>
      <c r="V970" s="37"/>
      <c r="W970" s="63"/>
    </row>
    <row r="971" spans="1:23" x14ac:dyDescent="0.35">
      <c r="A971" s="63"/>
      <c r="B971" s="64"/>
      <c r="C971" s="63"/>
      <c r="D971" s="63"/>
      <c r="E971" s="65"/>
      <c r="F971" s="65"/>
      <c r="G971" s="65"/>
      <c r="H971" s="65"/>
      <c r="I971" s="65"/>
      <c r="J971" s="65"/>
      <c r="K971" s="65"/>
      <c r="L971" s="34"/>
      <c r="M971" s="34"/>
      <c r="N971" s="66"/>
      <c r="O971" s="65"/>
      <c r="P971" s="65"/>
      <c r="Q971" s="65"/>
      <c r="T971" s="20"/>
      <c r="U971" s="21"/>
      <c r="V971" s="37"/>
      <c r="W971" s="63"/>
    </row>
    <row r="972" spans="1:23" x14ac:dyDescent="0.35">
      <c r="A972" s="63"/>
      <c r="B972" s="64"/>
      <c r="C972" s="63"/>
      <c r="D972" s="63"/>
      <c r="E972" s="65"/>
      <c r="F972" s="65"/>
      <c r="G972" s="65"/>
      <c r="H972" s="65"/>
      <c r="I972" s="65"/>
      <c r="J972" s="65"/>
      <c r="K972" s="65"/>
      <c r="L972" s="34"/>
      <c r="M972" s="34"/>
      <c r="N972" s="66"/>
      <c r="O972" s="65"/>
      <c r="P972" s="65"/>
      <c r="Q972" s="65"/>
      <c r="T972" s="20"/>
      <c r="U972" s="21"/>
      <c r="W972" s="36"/>
    </row>
    <row r="973" spans="1:23" x14ac:dyDescent="0.35">
      <c r="A973" s="63"/>
      <c r="B973" s="64"/>
      <c r="C973" s="63"/>
      <c r="D973" s="63"/>
      <c r="E973" s="65"/>
      <c r="F973" s="65"/>
      <c r="G973" s="65"/>
      <c r="H973" s="65"/>
      <c r="I973" s="65"/>
      <c r="J973" s="65"/>
      <c r="K973" s="65"/>
      <c r="L973" s="34"/>
      <c r="M973" s="34"/>
      <c r="N973" s="66"/>
      <c r="O973" s="65"/>
      <c r="P973" s="65"/>
      <c r="Q973" s="65"/>
      <c r="T973" s="20"/>
      <c r="U973" s="21"/>
      <c r="W973" s="36"/>
    </row>
    <row r="974" spans="1:23" x14ac:dyDescent="0.35">
      <c r="A974" s="14"/>
      <c r="B974" s="13"/>
      <c r="C974" s="14"/>
      <c r="D974" s="14"/>
      <c r="E974" s="15"/>
      <c r="F974" s="15"/>
      <c r="G974" s="15"/>
      <c r="H974" s="15"/>
      <c r="I974" s="15"/>
      <c r="J974" s="15"/>
      <c r="K974" s="15"/>
      <c r="L974" s="16"/>
      <c r="M974" s="16"/>
      <c r="N974" s="17"/>
      <c r="O974" s="15"/>
      <c r="P974" s="15"/>
      <c r="Q974" s="15"/>
      <c r="W974" s="36"/>
    </row>
    <row r="975" spans="1:23" x14ac:dyDescent="0.35">
      <c r="W975" s="36"/>
    </row>
    <row r="976" spans="1:23" x14ac:dyDescent="0.35">
      <c r="W976" s="36"/>
    </row>
    <row r="977" spans="23:23" x14ac:dyDescent="0.35">
      <c r="W977" s="36"/>
    </row>
    <row r="978" spans="23:23" x14ac:dyDescent="0.35">
      <c r="W978" s="36"/>
    </row>
    <row r="979" spans="23:23" x14ac:dyDescent="0.35">
      <c r="W979" s="36"/>
    </row>
    <row r="980" spans="23:23" x14ac:dyDescent="0.35">
      <c r="W980" s="36"/>
    </row>
  </sheetData>
  <mergeCells count="2">
    <mergeCell ref="AJ576:AK576"/>
    <mergeCell ref="AL576:AM576"/>
  </mergeCells>
  <conditionalFormatting sqref="D1:D973">
    <cfRule type="cellIs" dxfId="8" priority="1" operator="equal">
      <formula>"WED"</formula>
    </cfRule>
  </conditionalFormatting>
  <pageMargins left="0.7" right="0.7" top="0.75" bottom="0.75" header="0.3" footer="0.3"/>
  <customProperties>
    <customPr name="LastActive" r:id="rId1"/>
  </customPropertie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B7208-A4D1-42D4-B6D0-C1260ACA849D}">
  <sheetPr codeName="Sheet6"/>
  <dimension ref="B1:AE344"/>
  <sheetViews>
    <sheetView topLeftCell="A35" workbookViewId="0">
      <selection activeCell="J54" sqref="J54"/>
    </sheetView>
  </sheetViews>
  <sheetFormatPr defaultRowHeight="14.5" x14ac:dyDescent="0.35"/>
  <cols>
    <col min="1" max="1" width="5.54296875" customWidth="1"/>
    <col min="2" max="2" width="19" customWidth="1"/>
    <col min="3" max="3" width="12.08984375" style="36" customWidth="1"/>
    <col min="4" max="4" width="13.08984375" bestFit="1" customWidth="1"/>
    <col min="5" max="5" width="11.81640625" bestFit="1" customWidth="1"/>
    <col min="6" max="6" width="12.81640625" bestFit="1" customWidth="1"/>
    <col min="7" max="7" width="12.54296875" bestFit="1" customWidth="1"/>
    <col min="8" max="8" width="16.6328125" customWidth="1"/>
    <col min="9" max="9" width="18.08984375" bestFit="1" customWidth="1"/>
    <col min="10" max="10" width="19.81640625" customWidth="1"/>
    <col min="11" max="11" width="18.08984375" style="22" bestFit="1" customWidth="1"/>
    <col min="12" max="12" width="11.81640625" bestFit="1" customWidth="1"/>
    <col min="13" max="13" width="13.08984375" bestFit="1" customWidth="1"/>
    <col min="14" max="14" width="11.81640625" customWidth="1"/>
    <col min="15" max="15" width="13.453125" bestFit="1" customWidth="1"/>
    <col min="16" max="16" width="14.453125" bestFit="1" customWidth="1"/>
    <col min="17" max="17" width="12.90625" bestFit="1" customWidth="1"/>
    <col min="18" max="18" width="10.90625" style="113" bestFit="1" customWidth="1"/>
    <col min="19" max="19" width="12.6328125" style="113" customWidth="1"/>
    <col min="20" max="20" width="13.08984375" bestFit="1" customWidth="1"/>
    <col min="21" max="21" width="11.6328125" customWidth="1"/>
  </cols>
  <sheetData>
    <row r="1" spans="2:31" ht="15" thickBot="1" x14ac:dyDescent="0.4"/>
    <row r="2" spans="2:31" x14ac:dyDescent="0.35">
      <c r="B2" s="325" t="s">
        <v>174</v>
      </c>
      <c r="C2" s="326"/>
      <c r="D2" s="326"/>
      <c r="E2" s="326"/>
      <c r="F2" s="326"/>
      <c r="G2" s="326"/>
      <c r="H2" s="326"/>
      <c r="I2" s="326"/>
      <c r="J2" s="326"/>
      <c r="K2" s="326"/>
      <c r="L2" s="326"/>
      <c r="M2" s="326"/>
      <c r="N2" s="326"/>
      <c r="O2" s="326"/>
      <c r="P2" s="326"/>
      <c r="Q2" s="327"/>
    </row>
    <row r="3" spans="2:31" x14ac:dyDescent="0.35">
      <c r="B3" s="328"/>
      <c r="C3" s="329"/>
      <c r="D3" s="329"/>
      <c r="E3" s="329"/>
      <c r="F3" s="329"/>
      <c r="G3" s="329"/>
      <c r="H3" s="329"/>
      <c r="I3" s="329"/>
      <c r="J3" s="329"/>
      <c r="K3" s="329"/>
      <c r="L3" s="329"/>
      <c r="M3" s="329"/>
      <c r="N3" s="329"/>
      <c r="O3" s="329"/>
      <c r="P3" s="329"/>
      <c r="Q3" s="330"/>
      <c r="U3" s="196"/>
      <c r="V3" s="196"/>
      <c r="W3" s="196"/>
      <c r="X3" s="197"/>
      <c r="Y3" s="196"/>
      <c r="Z3" s="196"/>
      <c r="AA3" s="196"/>
      <c r="AB3" s="196"/>
      <c r="AC3" s="196"/>
      <c r="AD3" s="196"/>
      <c r="AE3" s="196"/>
    </row>
    <row r="4" spans="2:31" ht="25.5" customHeight="1" thickBot="1" x14ac:dyDescent="0.4">
      <c r="B4" s="331"/>
      <c r="C4" s="332"/>
      <c r="D4" s="332"/>
      <c r="E4" s="332"/>
      <c r="F4" s="332"/>
      <c r="G4" s="332"/>
      <c r="H4" s="332"/>
      <c r="I4" s="332"/>
      <c r="J4" s="332"/>
      <c r="K4" s="332"/>
      <c r="L4" s="332"/>
      <c r="M4" s="332"/>
      <c r="N4" s="332"/>
      <c r="O4" s="332"/>
      <c r="P4" s="332"/>
      <c r="Q4" s="333"/>
      <c r="U4" s="196"/>
      <c r="V4" s="196"/>
      <c r="W4" s="196"/>
      <c r="X4" s="196"/>
      <c r="Y4" s="196" t="str" cm="1">
        <f t="array" aca="1" ref="Y4:Y15" ca="1">OFFSET('DROPDOWN LISTS'!$A$1,1,MATCH($B$6,'DROPDOWN LISTS'!$B$1:$C$1,0),COUNTA(_xlfn.ANCHORARRAY('DROPDOWN LISTS'!$F$2))-COUNTBLANK(_xlfn.ANCHORARRAY('DROPDOWN LISTS'!$F$2)),1)</f>
        <v>January</v>
      </c>
      <c r="Z4" s="196"/>
      <c r="AA4" s="196"/>
      <c r="AB4" s="196"/>
      <c r="AC4" s="196"/>
      <c r="AD4" s="196"/>
      <c r="AE4" s="196"/>
    </row>
    <row r="5" spans="2:31" ht="15" thickBot="1" x14ac:dyDescent="0.4">
      <c r="B5" s="195" t="s">
        <v>71</v>
      </c>
      <c r="C5" s="334" t="str" cm="1">
        <f t="array" ref="C5">_xlfn.SWITCH($B$6,"Entire Year","Distribution Data for "&amp;$B$6&amp;" "&amp;B9&amp;" Shifts",
"Day of Week","Distribution Data for "&amp;$B$7&amp;"DAY"&amp;" "&amp;$B$9&amp;" Shifts",
"Month of Year","Distribution Data for "&amp;$B$7&amp;" "&amp;$B$9&amp;" Shifts")</f>
        <v>Distribution Data for February PM Shifts</v>
      </c>
      <c r="D5" s="335"/>
      <c r="E5" s="335"/>
      <c r="F5" s="335"/>
      <c r="G5" s="335"/>
      <c r="H5" s="336"/>
      <c r="I5" s="334" t="s">
        <v>120</v>
      </c>
      <c r="J5" s="335"/>
      <c r="K5" s="335"/>
      <c r="L5" s="335"/>
      <c r="M5" s="335"/>
      <c r="N5" s="336"/>
      <c r="O5" s="340" t="s">
        <v>169</v>
      </c>
      <c r="P5" s="341"/>
      <c r="Q5" s="342"/>
      <c r="U5" s="196"/>
      <c r="V5" s="196"/>
      <c r="W5" s="196"/>
      <c r="X5" s="196"/>
      <c r="Y5" s="196" t="str">
        <f ca="1"/>
        <v>February</v>
      </c>
      <c r="Z5" s="196"/>
      <c r="AA5" s="196"/>
      <c r="AB5" s="196"/>
      <c r="AC5" s="196"/>
      <c r="AD5" s="196"/>
      <c r="AE5" s="196"/>
    </row>
    <row r="6" spans="2:31" ht="15" thickBot="1" x14ac:dyDescent="0.4">
      <c r="B6" s="173" t="s">
        <v>67</v>
      </c>
      <c r="C6" s="337"/>
      <c r="D6" s="338"/>
      <c r="E6" s="338"/>
      <c r="F6" s="338"/>
      <c r="G6" s="338"/>
      <c r="H6" s="339"/>
      <c r="I6" s="337"/>
      <c r="J6" s="338"/>
      <c r="K6" s="338"/>
      <c r="L6" s="338"/>
      <c r="M6" s="338"/>
      <c r="N6" s="339"/>
      <c r="O6" s="343"/>
      <c r="P6" s="344"/>
      <c r="Q6" s="345"/>
      <c r="U6" s="196"/>
      <c r="V6" s="196"/>
      <c r="W6" s="196"/>
      <c r="X6" s="196"/>
      <c r="Y6" s="196" t="str">
        <f ca="1"/>
        <v>March</v>
      </c>
      <c r="Z6" s="196"/>
      <c r="AA6" s="196"/>
      <c r="AB6" s="196"/>
      <c r="AC6" s="196"/>
      <c r="AD6" s="196"/>
      <c r="AE6" s="196"/>
    </row>
    <row r="7" spans="2:31" ht="15" thickBot="1" x14ac:dyDescent="0.4">
      <c r="B7" s="173" t="s">
        <v>40</v>
      </c>
      <c r="O7" s="181" t="s">
        <v>172</v>
      </c>
      <c r="P7" s="182" t="s">
        <v>171</v>
      </c>
      <c r="Q7" s="183" t="s">
        <v>170</v>
      </c>
      <c r="R7" s="138"/>
      <c r="S7" s="138"/>
      <c r="T7" s="138"/>
      <c r="U7" s="203"/>
      <c r="V7" s="203"/>
      <c r="W7" s="203"/>
      <c r="X7" s="196"/>
      <c r="Y7" s="196" t="str">
        <f ca="1"/>
        <v>April</v>
      </c>
      <c r="Z7" s="196"/>
      <c r="AA7" s="196"/>
      <c r="AB7" s="196"/>
      <c r="AC7" s="196"/>
      <c r="AD7" s="196"/>
      <c r="AE7" s="196"/>
    </row>
    <row r="8" spans="2:31" ht="15" thickBot="1" x14ac:dyDescent="0.4">
      <c r="B8" s="129" t="s">
        <v>72</v>
      </c>
      <c r="O8" s="178" cm="1">
        <f t="array" ref="O8:O12">SalesNormDIST</f>
        <v>3.7166354608719052</v>
      </c>
      <c r="P8" s="179" cm="1">
        <f t="array" ref="P8:P12">FreqDIST</f>
        <v>9</v>
      </c>
      <c r="Q8" s="180">
        <f>IFERROR((P8-O8)/O8,"")</f>
        <v>1.4215449953998562</v>
      </c>
      <c r="R8" s="138" t="s">
        <v>122</v>
      </c>
      <c r="S8" s="138" t="s">
        <v>123</v>
      </c>
      <c r="T8" s="138"/>
      <c r="U8" s="203"/>
      <c r="V8" s="203"/>
      <c r="W8" s="203"/>
      <c r="X8" s="196"/>
      <c r="Y8" s="196" t="str">
        <f ca="1"/>
        <v>May</v>
      </c>
      <c r="Z8" s="196"/>
      <c r="AA8" s="196"/>
      <c r="AB8" s="196"/>
      <c r="AC8" s="196"/>
      <c r="AD8" s="196"/>
      <c r="AE8" s="196"/>
    </row>
    <row r="9" spans="2:31" ht="16.5" customHeight="1" thickBot="1" x14ac:dyDescent="0.65">
      <c r="B9" s="173" t="s">
        <v>25</v>
      </c>
      <c r="C9" s="91"/>
      <c r="D9" s="91"/>
      <c r="E9" s="91"/>
      <c r="F9" s="91"/>
      <c r="G9" s="91"/>
      <c r="H9" s="91"/>
      <c r="I9" s="91"/>
      <c r="J9" s="91"/>
      <c r="K9" s="91"/>
      <c r="L9" s="91"/>
      <c r="M9" s="91"/>
      <c r="O9" s="175">
        <v>4.5284668901304084</v>
      </c>
      <c r="P9" s="84">
        <v>1</v>
      </c>
      <c r="Q9" s="101">
        <f t="shared" ref="Q9:Q28" si="0">IFERROR((P9-O9)/O9,"")</f>
        <v>-0.77917471315083353</v>
      </c>
      <c r="R9" s="200">
        <f>$B$24</f>
        <v>975</v>
      </c>
      <c r="S9" s="138">
        <v>0</v>
      </c>
      <c r="T9" s="138"/>
      <c r="U9" s="203"/>
      <c r="V9" s="203"/>
      <c r="W9" s="203"/>
      <c r="X9" s="196"/>
      <c r="Y9" s="196" t="str">
        <f ca="1"/>
        <v>June</v>
      </c>
      <c r="Z9" s="196"/>
      <c r="AA9" s="196"/>
      <c r="AB9" s="196"/>
      <c r="AC9" s="196"/>
      <c r="AD9" s="196"/>
      <c r="AE9" s="196"/>
    </row>
    <row r="10" spans="2:31" ht="15" customHeight="1" thickBot="1" x14ac:dyDescent="0.65">
      <c r="B10" s="184"/>
      <c r="C10"/>
      <c r="D10" s="22"/>
      <c r="I10" s="91"/>
      <c r="J10" s="91"/>
      <c r="K10" s="91"/>
      <c r="L10" s="91"/>
      <c r="M10" s="91"/>
      <c r="O10" s="175">
        <v>3.3252091110427235</v>
      </c>
      <c r="P10" s="84">
        <v>4</v>
      </c>
      <c r="Q10" s="101">
        <f t="shared" si="0"/>
        <v>0.20293186576337588</v>
      </c>
      <c r="R10" s="200">
        <f>$B$24</f>
        <v>975</v>
      </c>
      <c r="S10" s="138">
        <v>0</v>
      </c>
      <c r="T10" s="138"/>
      <c r="U10" s="203"/>
      <c r="V10" s="203"/>
      <c r="W10" s="203"/>
      <c r="X10" s="196"/>
      <c r="Y10" s="196" t="str">
        <f ca="1"/>
        <v>July</v>
      </c>
      <c r="Z10" s="196"/>
      <c r="AA10" s="196"/>
      <c r="AB10" s="196"/>
      <c r="AC10" s="196"/>
      <c r="AD10" s="196"/>
      <c r="AE10" s="196"/>
    </row>
    <row r="11" spans="2:31" ht="15" thickBot="1" x14ac:dyDescent="0.4">
      <c r="B11" s="184"/>
      <c r="C11"/>
      <c r="D11" s="22"/>
      <c r="O11" s="175">
        <v>1.4714762652677507</v>
      </c>
      <c r="P11" s="84">
        <v>1</v>
      </c>
      <c r="Q11" s="101">
        <f t="shared" si="0"/>
        <v>-0.32041037724924537</v>
      </c>
      <c r="R11" s="200">
        <f>$B$18</f>
        <v>1293.0625</v>
      </c>
      <c r="S11" s="138">
        <v>0</v>
      </c>
      <c r="T11" s="138"/>
      <c r="U11" s="203"/>
      <c r="V11" s="203"/>
      <c r="W11" s="203"/>
      <c r="X11" s="196"/>
      <c r="Y11" s="196" t="str">
        <f ca="1"/>
        <v>August</v>
      </c>
      <c r="Z11" s="196"/>
      <c r="AA11" s="196"/>
      <c r="AB11" s="196"/>
      <c r="AC11" s="196"/>
      <c r="AD11" s="196"/>
      <c r="AE11" s="196"/>
    </row>
    <row r="12" spans="2:31" ht="29.5" thickBot="1" x14ac:dyDescent="0.4">
      <c r="B12" s="130" t="s">
        <v>73</v>
      </c>
      <c r="C12"/>
      <c r="D12" s="22"/>
      <c r="O12" s="175">
        <v>0.39242267646114681</v>
      </c>
      <c r="P12" s="84">
        <v>1</v>
      </c>
      <c r="Q12" s="101">
        <f t="shared" si="0"/>
        <v>1.5482727171068782</v>
      </c>
      <c r="R12" s="200">
        <f>$B$18</f>
        <v>1293.0625</v>
      </c>
      <c r="S12" s="138">
        <f>MAX(FreqDIST,SalesNormDIST)</f>
        <v>9</v>
      </c>
      <c r="T12" s="138"/>
      <c r="U12" s="203"/>
      <c r="V12" s="203"/>
      <c r="W12" s="203"/>
      <c r="X12" s="196"/>
      <c r="Y12" s="196" t="str">
        <f ca="1"/>
        <v>September</v>
      </c>
      <c r="Z12" s="196"/>
      <c r="AA12" s="196"/>
      <c r="AB12" s="196"/>
      <c r="AC12" s="196"/>
      <c r="AD12" s="196"/>
      <c r="AE12" s="196"/>
    </row>
    <row r="13" spans="2:31" x14ac:dyDescent="0.35">
      <c r="B13" s="141" t="s">
        <v>74</v>
      </c>
      <c r="C13"/>
      <c r="D13" s="22"/>
      <c r="O13" s="175"/>
      <c r="P13" s="84"/>
      <c r="Q13" s="101" t="str">
        <f t="shared" si="0"/>
        <v/>
      </c>
      <c r="R13" s="200">
        <f>$B$27</f>
        <v>2119</v>
      </c>
      <c r="S13" s="138">
        <v>0</v>
      </c>
      <c r="T13" s="138"/>
      <c r="U13" s="203"/>
      <c r="V13" s="203"/>
      <c r="W13" s="203"/>
      <c r="X13" s="196"/>
      <c r="Y13" s="196" t="str">
        <f ca="1"/>
        <v>October</v>
      </c>
      <c r="Z13" s="196"/>
      <c r="AA13" s="196"/>
      <c r="AB13" s="196"/>
      <c r="AC13" s="196"/>
      <c r="AD13" s="196"/>
      <c r="AE13" s="196"/>
    </row>
    <row r="14" spans="2:31" ht="29" x14ac:dyDescent="0.35">
      <c r="B14" s="140">
        <f>COUNTA(_xlfn.CHOOSECOLS(_xlfn.ANCHORARRAY($C$42),2))</f>
        <v>16</v>
      </c>
      <c r="C14"/>
      <c r="D14" s="22"/>
      <c r="O14" s="175"/>
      <c r="P14" s="84"/>
      <c r="Q14" s="101" t="str">
        <f t="shared" si="0"/>
        <v/>
      </c>
      <c r="R14" s="200">
        <f>$B$27</f>
        <v>2119</v>
      </c>
      <c r="S14" s="138">
        <v>0</v>
      </c>
      <c r="T14" s="138"/>
      <c r="U14" s="203"/>
      <c r="V14" s="203"/>
      <c r="W14" s="203"/>
      <c r="X14" s="196"/>
      <c r="Y14" s="196" t="str">
        <f ca="1"/>
        <v>November</v>
      </c>
      <c r="Z14" s="196"/>
      <c r="AA14" s="196"/>
      <c r="AB14" s="196"/>
      <c r="AC14" s="196"/>
      <c r="AD14" s="196"/>
    </row>
    <row r="15" spans="2:31" ht="29" x14ac:dyDescent="0.35">
      <c r="B15" s="140" t="s">
        <v>75</v>
      </c>
      <c r="C15"/>
      <c r="D15" s="22"/>
      <c r="O15" s="175"/>
      <c r="P15" s="84"/>
      <c r="Q15" s="101" t="str">
        <f t="shared" si="0"/>
        <v/>
      </c>
      <c r="R15" s="138"/>
      <c r="S15" s="138"/>
      <c r="T15" s="138"/>
      <c r="U15" s="203"/>
      <c r="V15" s="203"/>
      <c r="W15" s="203"/>
      <c r="X15" s="196"/>
      <c r="Y15" s="196" t="str">
        <f ca="1"/>
        <v>December</v>
      </c>
      <c r="Z15" s="196"/>
      <c r="AA15" s="196"/>
      <c r="AB15" s="196"/>
      <c r="AC15" s="196"/>
      <c r="AD15" s="196"/>
    </row>
    <row r="16" spans="2:31" x14ac:dyDescent="0.35">
      <c r="B16" s="142">
        <f>SUM(_xlfn.CHOOSECOLS(_xlfn.ANCHORARRAY($C$42),5))</f>
        <v>20689</v>
      </c>
      <c r="C16"/>
      <c r="D16" s="22"/>
      <c r="O16" s="175"/>
      <c r="P16" s="84"/>
      <c r="Q16" s="101" t="str">
        <f t="shared" si="0"/>
        <v/>
      </c>
      <c r="R16" s="138">
        <f>MIN(BinMidDIST)</f>
        <v>1089.4000000000001</v>
      </c>
      <c r="S16" s="138"/>
      <c r="T16" s="138"/>
      <c r="U16" s="203"/>
      <c r="V16" s="203"/>
      <c r="W16" s="203"/>
      <c r="X16" s="196"/>
      <c r="Y16" s="196"/>
      <c r="Z16" s="196"/>
      <c r="AA16" s="196"/>
      <c r="AB16" s="196"/>
      <c r="AC16" s="196"/>
      <c r="AD16" s="196"/>
    </row>
    <row r="17" spans="2:30" x14ac:dyDescent="0.35">
      <c r="B17" s="140" t="s">
        <v>76</v>
      </c>
      <c r="C17"/>
      <c r="D17" s="22"/>
      <c r="O17" s="175"/>
      <c r="P17" s="84"/>
      <c r="Q17" s="101" t="str">
        <f t="shared" si="0"/>
        <v/>
      </c>
      <c r="R17" s="138">
        <f>MAX(BinMidDIST)</f>
        <v>2004.6100000000001</v>
      </c>
      <c r="S17" s="138"/>
      <c r="T17" s="138"/>
      <c r="U17" s="203"/>
      <c r="V17" s="203"/>
      <c r="W17" s="203"/>
      <c r="X17" s="196"/>
      <c r="Y17" s="196"/>
      <c r="Z17" s="196"/>
      <c r="AA17" s="196"/>
      <c r="AB17" s="196"/>
      <c r="AC17" s="196"/>
      <c r="AD17" s="196"/>
    </row>
    <row r="18" spans="2:30" x14ac:dyDescent="0.35">
      <c r="B18" s="143">
        <f>AVERAGE(_xlfn.CHOOSECOLS(_xlfn.ANCHORARRAY($C$42),5))</f>
        <v>1293.0625</v>
      </c>
      <c r="C18"/>
      <c r="D18" s="22"/>
      <c r="K18"/>
      <c r="O18" s="176"/>
      <c r="P18" s="80"/>
      <c r="Q18" s="101" t="str">
        <f t="shared" si="0"/>
        <v/>
      </c>
      <c r="R18" s="138" t="s">
        <v>112</v>
      </c>
      <c r="S18" s="138" t="s">
        <v>121</v>
      </c>
      <c r="T18" s="138"/>
      <c r="U18" s="203"/>
      <c r="V18" s="203"/>
      <c r="W18" s="203"/>
      <c r="X18" s="196"/>
      <c r="Y18" s="196"/>
      <c r="Z18" s="196"/>
      <c r="AA18" s="196"/>
      <c r="AB18" s="196"/>
      <c r="AC18" s="196"/>
      <c r="AD18" s="196"/>
    </row>
    <row r="19" spans="2:30" x14ac:dyDescent="0.35">
      <c r="B19" s="140" t="s">
        <v>77</v>
      </c>
      <c r="C19"/>
      <c r="D19" s="22"/>
      <c r="K19"/>
      <c r="O19" s="176"/>
      <c r="P19" s="80"/>
      <c r="Q19" s="101" t="str">
        <f t="shared" si="0"/>
        <v/>
      </c>
      <c r="R19" s="138" cm="1">
        <f t="array" ref="R19:R23">ROUND(BinMidDIST,0)</f>
        <v>1089</v>
      </c>
      <c r="S19" s="138" cm="1">
        <f t="array" ref="S19:S23">IF(IF(ISNA(MATCH($S$12,SalesNormDIST,0))=TRUE,FreqDIST,SalesNormDIST)=$S$12,$S$12,0)</f>
        <v>9</v>
      </c>
      <c r="T19" s="138"/>
      <c r="U19" s="203"/>
      <c r="V19" s="203"/>
      <c r="W19" s="203"/>
      <c r="X19" s="196"/>
      <c r="Y19" s="196"/>
      <c r="Z19" s="196"/>
      <c r="AA19" s="196"/>
      <c r="AB19" s="196"/>
      <c r="AC19" s="196"/>
      <c r="AD19" s="196"/>
    </row>
    <row r="20" spans="2:30" x14ac:dyDescent="0.35">
      <c r="B20" s="142">
        <f>MEDIAN(_xlfn.CHOOSECOLS(_xlfn.ANCHORARRAY($C$42),5))</f>
        <v>1197.5</v>
      </c>
      <c r="C20"/>
      <c r="D20" s="22"/>
      <c r="K20"/>
      <c r="O20" s="176"/>
      <c r="P20" s="80"/>
      <c r="Q20" s="101" t="str">
        <f t="shared" si="0"/>
        <v/>
      </c>
      <c r="R20" s="138">
        <v>1318</v>
      </c>
      <c r="S20" s="138">
        <v>0</v>
      </c>
      <c r="T20" s="138"/>
      <c r="U20" s="203"/>
      <c r="V20" s="203"/>
      <c r="W20" s="203"/>
      <c r="X20" s="196"/>
      <c r="Y20" s="196"/>
      <c r="Z20" s="196"/>
      <c r="AA20" s="196"/>
      <c r="AB20" s="196"/>
      <c r="AC20" s="196"/>
      <c r="AD20" s="196"/>
    </row>
    <row r="21" spans="2:30" x14ac:dyDescent="0.35">
      <c r="B21" s="140" t="s">
        <v>78</v>
      </c>
      <c r="C21"/>
      <c r="D21" s="22"/>
      <c r="K21"/>
      <c r="O21" s="176"/>
      <c r="P21" s="80"/>
      <c r="Q21" s="101" t="str">
        <f t="shared" si="0"/>
        <v/>
      </c>
      <c r="R21" s="138">
        <v>1547</v>
      </c>
      <c r="S21" s="138">
        <v>0</v>
      </c>
      <c r="T21" s="138"/>
      <c r="U21" s="203"/>
      <c r="V21" s="203"/>
      <c r="W21" s="203"/>
      <c r="X21" s="196"/>
      <c r="Y21" s="196"/>
      <c r="Z21" s="196"/>
      <c r="AA21" s="196"/>
      <c r="AB21" s="196"/>
      <c r="AC21" s="196"/>
      <c r="AD21" s="196"/>
    </row>
    <row r="22" spans="2:30" x14ac:dyDescent="0.35">
      <c r="B22" s="144" t="str">
        <f>IFERROR(_xlfn.MODE.SNGL(_xlfn.CHOOSECOLS(_xlfn.ANCHORARRAY(C42),5)),"NON_MODAL")</f>
        <v>NON_MODAL</v>
      </c>
      <c r="C22"/>
      <c r="D22" s="22"/>
      <c r="K22"/>
      <c r="O22" s="176"/>
      <c r="P22" s="80"/>
      <c r="Q22" s="101" t="str">
        <f t="shared" si="0"/>
        <v/>
      </c>
      <c r="R22" s="138">
        <v>1776</v>
      </c>
      <c r="S22" s="138">
        <v>0</v>
      </c>
      <c r="T22" s="138"/>
      <c r="U22" s="203"/>
      <c r="V22" s="203"/>
      <c r="W22" s="203"/>
      <c r="X22" s="196"/>
      <c r="Y22" s="196"/>
      <c r="Z22" s="196"/>
      <c r="AA22" s="196"/>
      <c r="AB22" s="196"/>
      <c r="AC22" s="196"/>
      <c r="AD22" s="196"/>
    </row>
    <row r="23" spans="2:30" x14ac:dyDescent="0.35">
      <c r="B23" s="140" t="s">
        <v>79</v>
      </c>
      <c r="C23"/>
      <c r="D23" s="22"/>
      <c r="K23"/>
      <c r="O23" s="177"/>
      <c r="P23" s="80"/>
      <c r="Q23" s="101" t="str">
        <f t="shared" si="0"/>
        <v/>
      </c>
      <c r="R23" s="138">
        <v>2005</v>
      </c>
      <c r="S23" s="138">
        <v>0</v>
      </c>
      <c r="T23" s="138"/>
      <c r="U23" s="203"/>
      <c r="V23" s="203"/>
      <c r="W23" s="203"/>
      <c r="X23" s="196"/>
      <c r="Y23" s="196"/>
      <c r="Z23" s="196"/>
      <c r="AA23" s="196"/>
      <c r="AB23" s="196"/>
      <c r="AC23" s="196"/>
      <c r="AD23" s="196"/>
    </row>
    <row r="24" spans="2:30" x14ac:dyDescent="0.35">
      <c r="B24" s="145">
        <f>MIN(_xlfn.CHOOSECOLS(_xlfn.ANCHORARRAY($C$42),5))</f>
        <v>975</v>
      </c>
      <c r="C24"/>
      <c r="D24" s="22"/>
      <c r="K24"/>
      <c r="O24" s="176"/>
      <c r="P24" s="80"/>
      <c r="Q24" s="101" t="str">
        <f t="shared" si="0"/>
        <v/>
      </c>
      <c r="R24" s="138"/>
      <c r="S24" s="138"/>
      <c r="T24" s="138"/>
      <c r="U24" s="203"/>
      <c r="V24" s="203"/>
      <c r="W24" s="203"/>
      <c r="X24" s="196"/>
      <c r="Y24" s="196"/>
      <c r="Z24" s="196"/>
      <c r="AA24" s="196"/>
      <c r="AB24" s="196"/>
      <c r="AC24" s="196"/>
      <c r="AD24" s="196"/>
    </row>
    <row r="25" spans="2:30" x14ac:dyDescent="0.35">
      <c r="B25" s="146" cm="1">
        <f t="array" ref="B25">_xlfn.XLOOKUP(MIN(_xlfn.CHOOSECOLS(_xlfn.ANCHORARRAY($C$42),5)),_xlfn.CHOOSECOLS(_xlfn.ANCHORARRAY($C$42),5),_xlfn.CHOOSECOLS(_xlfn.ANCHORARRAY($C$42),1))</f>
        <v>45348</v>
      </c>
      <c r="C25"/>
      <c r="D25" s="22"/>
      <c r="K25"/>
      <c r="O25" s="176"/>
      <c r="P25" s="80"/>
      <c r="Q25" s="101" t="str">
        <f t="shared" si="0"/>
        <v/>
      </c>
      <c r="R25" s="138"/>
      <c r="S25" s="138"/>
      <c r="T25" s="138"/>
      <c r="U25" s="203"/>
      <c r="V25" s="203"/>
      <c r="W25" s="203"/>
      <c r="X25" s="196"/>
      <c r="Y25" s="196"/>
      <c r="Z25" s="196"/>
      <c r="AA25" s="196"/>
      <c r="AB25" s="196"/>
      <c r="AC25" s="196"/>
      <c r="AD25" s="196"/>
    </row>
    <row r="26" spans="2:30" x14ac:dyDescent="0.35">
      <c r="B26" s="140" t="s">
        <v>80</v>
      </c>
      <c r="C26"/>
      <c r="D26" s="22"/>
      <c r="K26"/>
      <c r="O26" s="176"/>
      <c r="P26" s="80"/>
      <c r="Q26" s="101" t="str">
        <f t="shared" si="0"/>
        <v/>
      </c>
      <c r="R26" s="138" cm="1">
        <f t="array" ref="R26:R30">DummyX</f>
        <v>1089</v>
      </c>
      <c r="S26" s="138" cm="1">
        <f t="array" ref="S26:S30">DummyY</f>
        <v>9</v>
      </c>
      <c r="T26" s="138"/>
      <c r="U26" s="138"/>
      <c r="V26" s="138"/>
      <c r="W26" s="138"/>
      <c r="Z26" s="196"/>
      <c r="AA26" s="196"/>
      <c r="AB26" s="196"/>
      <c r="AC26" s="196"/>
      <c r="AD26" s="196"/>
    </row>
    <row r="27" spans="2:30" x14ac:dyDescent="0.35">
      <c r="B27" s="147">
        <f>MAX(_xlfn.CHOOSECOLS(_xlfn.ANCHORARRAY($C$42),5))</f>
        <v>2119</v>
      </c>
      <c r="C27"/>
      <c r="D27" s="22"/>
      <c r="K27"/>
      <c r="O27" s="176"/>
      <c r="P27" s="80"/>
      <c r="Q27" s="101" t="str">
        <f t="shared" si="0"/>
        <v/>
      </c>
      <c r="R27" s="138">
        <v>1318</v>
      </c>
      <c r="S27" s="138">
        <v>0</v>
      </c>
      <c r="T27" s="138"/>
      <c r="U27" s="138"/>
      <c r="V27" s="138"/>
      <c r="W27" s="138"/>
      <c r="Z27" s="196"/>
      <c r="AA27" s="196"/>
      <c r="AB27" s="196"/>
      <c r="AC27" s="196"/>
      <c r="AD27" s="196"/>
    </row>
    <row r="28" spans="2:30" ht="15" thickBot="1" x14ac:dyDescent="0.4">
      <c r="B28" s="146" cm="1">
        <f t="array" ref="B28">_xlfn.XLOOKUP(MAX(_xlfn.CHOOSECOLS(_xlfn.ANCHORARRAY($C$42),5)),_xlfn.CHOOSECOLS(_xlfn.ANCHORARRAY($C$42),5),_xlfn.CHOOSECOLS(_xlfn.ANCHORARRAY($C$42),1))</f>
        <v>45336</v>
      </c>
      <c r="C28"/>
      <c r="D28" s="22"/>
      <c r="K28"/>
      <c r="O28" s="107"/>
      <c r="P28" s="109"/>
      <c r="Q28" s="112" t="str">
        <f t="shared" si="0"/>
        <v/>
      </c>
      <c r="R28" s="113">
        <v>1547</v>
      </c>
      <c r="S28" s="113">
        <v>0</v>
      </c>
    </row>
    <row r="29" spans="2:30" ht="15" thickBot="1" x14ac:dyDescent="0.4">
      <c r="B29" s="140" t="s">
        <v>81</v>
      </c>
      <c r="C29" s="346" t="s">
        <v>110</v>
      </c>
      <c r="D29" s="347"/>
      <c r="E29" s="347"/>
      <c r="F29" s="348"/>
      <c r="G29" s="103" t="s">
        <v>74</v>
      </c>
      <c r="H29" s="105">
        <f>$B$14</f>
        <v>16</v>
      </c>
      <c r="I29" s="116"/>
      <c r="J29" s="117" t="s">
        <v>96</v>
      </c>
      <c r="K29" s="117" t="s">
        <v>97</v>
      </c>
      <c r="L29" s="117" t="s">
        <v>99</v>
      </c>
      <c r="M29" s="117" t="s">
        <v>98</v>
      </c>
      <c r="N29" s="117" t="s">
        <v>109</v>
      </c>
      <c r="O29" s="174" t="s">
        <v>114</v>
      </c>
      <c r="P29" s="174" t="s">
        <v>115</v>
      </c>
      <c r="Q29" s="174" t="s">
        <v>116</v>
      </c>
      <c r="R29" s="113">
        <v>1776</v>
      </c>
      <c r="S29" s="113">
        <v>0</v>
      </c>
    </row>
    <row r="30" spans="2:30" ht="15" thickBot="1" x14ac:dyDescent="0.4">
      <c r="B30" s="142">
        <f>B27-B24</f>
        <v>1144</v>
      </c>
      <c r="C30" s="349"/>
      <c r="D30" s="350"/>
      <c r="E30" s="350"/>
      <c r="F30" s="351"/>
      <c r="G30" s="94" t="s">
        <v>92</v>
      </c>
      <c r="H30" s="88">
        <f>ROUNDUP(1+(3.3*(LOG10($H$29))),0)</f>
        <v>5</v>
      </c>
      <c r="I30" s="118">
        <v>1</v>
      </c>
      <c r="J30" s="119">
        <f>$H$31</f>
        <v>975</v>
      </c>
      <c r="K30" s="119">
        <f>$J$30+$H$34</f>
        <v>1203.8</v>
      </c>
      <c r="L30" s="120" t="str">
        <f>IF(_xlfn.CONCAT(J30," - ",K30)="X - X",0,_xlfn.CONCAT(ROUND(J30,0)," - ",ROUND(K30,0)))</f>
        <v>975 - 1204</v>
      </c>
      <c r="M30" s="120" cm="1">
        <f t="array" ref="M30:M35">IF(AND(FREQUENCY(SalesDIST,BinArrDIST)=0,"&gt;"&amp;$H$32),"X",FREQUENCY(SalesDIST,BinArrDIST))</f>
        <v>9</v>
      </c>
      <c r="N30" s="121">
        <f t="shared" ref="N30:N48" si="1">IF(($L30)=0,"X",($M30/$B$14))</f>
        <v>0.5625</v>
      </c>
      <c r="O30" s="119">
        <f>IFERROR((J30+K30)/2,"X")</f>
        <v>1089.4000000000001</v>
      </c>
      <c r="P30" s="122">
        <f>IFERROR(_xlfn.NORM.DIST(O30,$B$18,$B$34,FALSE)*$H$34*COUNT(SalesDIST),"X")</f>
        <v>3.7166354608719052</v>
      </c>
      <c r="Q30" s="123">
        <f t="shared" ref="Q30:Q48" si="2">IFERROR(P30/$B$14,"X")</f>
        <v>0.23228971630449408</v>
      </c>
      <c r="R30" s="113">
        <v>2005</v>
      </c>
      <c r="S30" s="113">
        <v>0</v>
      </c>
    </row>
    <row r="31" spans="2:30" x14ac:dyDescent="0.35">
      <c r="B31" s="140" t="s">
        <v>82</v>
      </c>
      <c r="C31" s="128"/>
      <c r="D31" s="322" t="s">
        <v>106</v>
      </c>
      <c r="E31" s="323"/>
      <c r="F31" s="324"/>
      <c r="G31" s="94" t="s">
        <v>79</v>
      </c>
      <c r="H31" s="89">
        <f>$B$24</f>
        <v>975</v>
      </c>
      <c r="I31" s="95">
        <v>2</v>
      </c>
      <c r="J31" s="81">
        <f t="shared" ref="J31:J48" si="3">IFERROR(IF(J30+$H$34&gt;$H$32-1,"X",J30+$H$34),"X")</f>
        <v>1203.8</v>
      </c>
      <c r="K31" s="81">
        <f t="shared" ref="K31:K48" si="4">IFERROR(IF(K30+$H$34&gt;$H$32+0.1,"X",K30+$H$34+0.005),"X")</f>
        <v>1432.605</v>
      </c>
      <c r="L31" s="80" t="str">
        <f t="shared" ref="L31:L48" si="5">IF(_xlfn.CONCAT(J31," - ",K31)="X - X",0,_xlfn.CONCAT(ROUND(J31,0)," - ",ROUND(K31,0)))</f>
        <v>1204 - 1433</v>
      </c>
      <c r="M31" s="80">
        <v>1</v>
      </c>
      <c r="N31" s="86">
        <f t="shared" si="1"/>
        <v>6.25E-2</v>
      </c>
      <c r="O31" s="81">
        <f t="shared" ref="O31:O48" si="6">IFERROR((J31+K31)/2,"X")</f>
        <v>1318.2024999999999</v>
      </c>
      <c r="P31" s="83">
        <f>IFERROR(_xlfn.NORM.DIST(O31,$B$18,$B$34,FALSE)*$H$34*COUNT(SalesDIST),"X")</f>
        <v>4.5284668901304084</v>
      </c>
      <c r="Q31" s="106">
        <f t="shared" si="2"/>
        <v>0.28302918063315052</v>
      </c>
    </row>
    <row r="32" spans="2:30" x14ac:dyDescent="0.35">
      <c r="B32" s="142">
        <f>IF($B$6="Entire Year",_xlfn.VAR.P(_xlfn.CHOOSECOLS(_xlfn.ANCHORARRAY($C$42),5)),_xlfn.VAR.S(_xlfn.CHOOSECOLS(_xlfn.ANCHORARRAY($C$42),5)))</f>
        <v>103374.7625</v>
      </c>
      <c r="C32" s="95"/>
      <c r="D32" s="80">
        <v>1</v>
      </c>
      <c r="E32" s="80">
        <v>2</v>
      </c>
      <c r="F32" s="96">
        <v>3</v>
      </c>
      <c r="G32" s="94" t="s">
        <v>80</v>
      </c>
      <c r="H32" s="89">
        <f>$B$27</f>
        <v>2119</v>
      </c>
      <c r="I32" s="95">
        <v>3</v>
      </c>
      <c r="J32" s="81">
        <f t="shared" si="3"/>
        <v>1432.6</v>
      </c>
      <c r="K32" s="81">
        <f t="shared" si="4"/>
        <v>1661.41</v>
      </c>
      <c r="L32" s="80" t="str">
        <f t="shared" si="5"/>
        <v>1433 - 1661</v>
      </c>
      <c r="M32" s="80">
        <v>4</v>
      </c>
      <c r="N32" s="86">
        <f t="shared" si="1"/>
        <v>0.25</v>
      </c>
      <c r="O32" s="81">
        <f t="shared" si="6"/>
        <v>1547.0050000000001</v>
      </c>
      <c r="P32" s="83">
        <f>IFERROR(_xlfn.NORM.DIST(O32,$B$18,$B$34,FALSE)*$H$34*COUNT(SalesDIST),"X")</f>
        <v>3.3252091110427235</v>
      </c>
      <c r="Q32" s="106">
        <f t="shared" si="2"/>
        <v>0.20782556944017022</v>
      </c>
    </row>
    <row r="33" spans="2:19" x14ac:dyDescent="0.35">
      <c r="B33" s="140" t="s">
        <v>83</v>
      </c>
      <c r="C33" s="97" t="s">
        <v>104</v>
      </c>
      <c r="D33" s="81">
        <f>$B$18-(D32*$B$34)</f>
        <v>971.54304102434173</v>
      </c>
      <c r="E33" s="81">
        <f>$B$18-(E32*$B$34)</f>
        <v>650.02358204868347</v>
      </c>
      <c r="F33" s="98">
        <f>$B$18-(F32*$B$34)</f>
        <v>328.5041230730252</v>
      </c>
      <c r="G33" s="94" t="s">
        <v>81</v>
      </c>
      <c r="H33" s="89">
        <f>$B$30</f>
        <v>1144</v>
      </c>
      <c r="I33" s="95">
        <v>4</v>
      </c>
      <c r="J33" s="81">
        <f t="shared" si="3"/>
        <v>1661.3999999999999</v>
      </c>
      <c r="K33" s="81">
        <f t="shared" si="4"/>
        <v>1890.2150000000001</v>
      </c>
      <c r="L33" s="80" t="str">
        <f t="shared" si="5"/>
        <v>1661 - 1890</v>
      </c>
      <c r="M33" s="80">
        <v>1</v>
      </c>
      <c r="N33" s="86">
        <f t="shared" si="1"/>
        <v>6.25E-2</v>
      </c>
      <c r="O33" s="81">
        <f t="shared" si="6"/>
        <v>1775.8074999999999</v>
      </c>
      <c r="P33" s="83">
        <f>IFERROR(_xlfn.NORM.DIST(O33,$B$18,$B$34,FALSE)*$H$34*COUNT(SalesDIST),"X")</f>
        <v>1.4714762652677507</v>
      </c>
      <c r="Q33" s="106">
        <f t="shared" si="2"/>
        <v>9.1967266579234416E-2</v>
      </c>
    </row>
    <row r="34" spans="2:19" ht="15" thickBot="1" x14ac:dyDescent="0.4">
      <c r="B34" s="148">
        <f>IF($B$6="Entire Year",_xlfn.STDEV.P(_xlfn.CHOOSECOLS(_xlfn.ANCHORARRAY($C$42),5)),_xlfn.STDEV.S(_xlfn.CHOOSECOLS(_xlfn.ANCHORARRAY($C$42),5)))</f>
        <v>321.51945897565827</v>
      </c>
      <c r="C34" s="97" t="s">
        <v>105</v>
      </c>
      <c r="D34" s="81">
        <f>$B$18+(D32*$B$34)</f>
        <v>1614.5819589756584</v>
      </c>
      <c r="E34" s="81">
        <f>$B$18+(E32*$B$34)</f>
        <v>1936.1014179513165</v>
      </c>
      <c r="F34" s="98">
        <f>$B$18+(F32*$B$34)</f>
        <v>2257.6208769269747</v>
      </c>
      <c r="G34" s="94" t="s">
        <v>93</v>
      </c>
      <c r="H34" s="164">
        <f>$H$33/$H$36</f>
        <v>228.8</v>
      </c>
      <c r="I34" s="95">
        <v>5</v>
      </c>
      <c r="J34" s="81">
        <f t="shared" si="3"/>
        <v>1890.1999999999998</v>
      </c>
      <c r="K34" s="81">
        <f t="shared" si="4"/>
        <v>2119.0200000000004</v>
      </c>
      <c r="L34" s="80" t="str">
        <f t="shared" si="5"/>
        <v>1890 - 2119</v>
      </c>
      <c r="M34" s="80">
        <v>1</v>
      </c>
      <c r="N34" s="86">
        <f t="shared" si="1"/>
        <v>6.25E-2</v>
      </c>
      <c r="O34" s="81">
        <f t="shared" si="6"/>
        <v>2004.6100000000001</v>
      </c>
      <c r="P34" s="83">
        <f>IFERROR(_xlfn.NORM.DIST(O34,$B$18,$B$34,FALSE)*$H$34*COUNT(SalesDIST),"X")</f>
        <v>0.39242267646114681</v>
      </c>
      <c r="Q34" s="106">
        <f t="shared" si="2"/>
        <v>2.4526417278821676E-2</v>
      </c>
    </row>
    <row r="35" spans="2:19" ht="15" thickBot="1" x14ac:dyDescent="0.4">
      <c r="B35" s="140" t="s">
        <v>84</v>
      </c>
      <c r="C35" s="97" t="s">
        <v>107</v>
      </c>
      <c r="D35" s="87">
        <v>0.68</v>
      </c>
      <c r="E35" s="87">
        <v>0.95</v>
      </c>
      <c r="F35" s="99">
        <v>0.997</v>
      </c>
      <c r="G35" s="163" t="s">
        <v>94</v>
      </c>
      <c r="H35" s="166">
        <v>0</v>
      </c>
      <c r="I35" s="95">
        <v>6</v>
      </c>
      <c r="J35" s="81" t="str">
        <f t="shared" si="3"/>
        <v>X</v>
      </c>
      <c r="K35" s="81" t="str">
        <f t="shared" si="4"/>
        <v>X</v>
      </c>
      <c r="L35" s="80">
        <f t="shared" si="5"/>
        <v>0</v>
      </c>
      <c r="M35" s="80">
        <v>0</v>
      </c>
      <c r="N35" s="86" t="str">
        <f t="shared" si="1"/>
        <v>X</v>
      </c>
      <c r="O35" s="81" t="str">
        <f t="shared" si="6"/>
        <v>X</v>
      </c>
      <c r="P35" s="83" t="str">
        <f>IFERROR(_xlfn.NORM.DIST(O35,$B$18,$B$34,FALSE)*$H$34*COUNT(SalesDIST),"X")</f>
        <v>X</v>
      </c>
      <c r="Q35" s="106" t="str">
        <f t="shared" si="2"/>
        <v>X</v>
      </c>
    </row>
    <row r="36" spans="2:19" ht="15" thickBot="1" x14ac:dyDescent="0.4">
      <c r="B36" s="142">
        <f>_xlfn.QUARTILE.EXC(_xlfn.CHOOSECOLS(_xlfn.ANCHORARRAY($C$42),5),1)</f>
        <v>1042.125</v>
      </c>
      <c r="C36" s="100" t="s">
        <v>108</v>
      </c>
      <c r="D36" s="85" cm="1">
        <f t="array" ref="D36">COUNT(_xlfn._xlws.FILTER(SalesDIST,(SalesDIST&gt;=D33)*(SalesDIST&lt;=D34)))/COUNT(SalesDIST)</f>
        <v>0.875</v>
      </c>
      <c r="E36" s="85" cm="1">
        <f t="array" ref="E36">COUNT(_xlfn._xlws.FILTER(SalesDIST,(SalesDIST&gt;=E33)*(SalesDIST&lt;=E34)))/COUNT(SalesDIST)</f>
        <v>0.9375</v>
      </c>
      <c r="F36" s="101" cm="1">
        <f t="array" ref="F36">COUNT(_xlfn._xlws.FILTER(SalesDIST,(SalesDIST&gt;=F33)*(SalesDIST&lt;=F34)))/COUNT(SalesDIST)</f>
        <v>1</v>
      </c>
      <c r="G36" s="104" t="s">
        <v>95</v>
      </c>
      <c r="H36" s="165">
        <f>$H$30+$H$35</f>
        <v>5</v>
      </c>
      <c r="I36" s="95">
        <v>7</v>
      </c>
      <c r="J36" s="81" t="str">
        <f t="shared" si="3"/>
        <v>X</v>
      </c>
      <c r="K36" s="81" t="str">
        <f t="shared" si="4"/>
        <v>X</v>
      </c>
      <c r="L36" s="80">
        <f t="shared" si="5"/>
        <v>0</v>
      </c>
      <c r="M36" s="80"/>
      <c r="N36" s="86" t="str">
        <f t="shared" si="1"/>
        <v>X</v>
      </c>
      <c r="O36" s="81" t="str">
        <f t="shared" si="6"/>
        <v>X</v>
      </c>
      <c r="P36" s="83" t="str">
        <f>IFERROR(_xlfn.NORM.DIST(O36,$B$18,$B$34,FALSE)*$H$34*COUNT(SalesDIST),"X")</f>
        <v>X</v>
      </c>
      <c r="Q36" s="106" t="str">
        <f t="shared" si="2"/>
        <v>X</v>
      </c>
    </row>
    <row r="37" spans="2:19" x14ac:dyDescent="0.35">
      <c r="B37" s="142">
        <f>_xlfn.QUARTILE.EXC(_xlfn.CHOOSECOLS(_xlfn.ANCHORARRAY($C$42),5),2)</f>
        <v>1197.5</v>
      </c>
      <c r="C37" s="95"/>
      <c r="D37" s="80" t="str">
        <f>IF(AND(ROUND(D$36,2)*100&gt;=(D$35*100)-3,ROUND(D$36,2)*100&lt;=(D$35*100)+3.2),"Within Limits","Outside Limits")</f>
        <v>Outside Limits</v>
      </c>
      <c r="E37" s="80" t="str">
        <f>IF(AND(ROUND(E$36,2)*100&gt;=(E$35*100)-3,ROUND(E$36,2)*100&lt;=(E$35*100)+3.2),"Within Limits","Outside Limits")</f>
        <v>Within Limits</v>
      </c>
      <c r="F37" s="96" t="str">
        <f>IF(AND(ROUND(F$36,2)*100&gt;=(F$35*100)-3,ROUND(F$36,2)*100&lt;=(F$35*100)+3.2),"Within Limits","Outside Limits")</f>
        <v>Within Limits</v>
      </c>
      <c r="G37" s="131"/>
      <c r="H37" s="132"/>
      <c r="I37" s="95">
        <v>8</v>
      </c>
      <c r="J37" s="81" t="str">
        <f t="shared" si="3"/>
        <v>X</v>
      </c>
      <c r="K37" s="81" t="str">
        <f t="shared" si="4"/>
        <v>X</v>
      </c>
      <c r="L37" s="80">
        <f t="shared" si="5"/>
        <v>0</v>
      </c>
      <c r="M37" s="80"/>
      <c r="N37" s="86" t="str">
        <f t="shared" si="1"/>
        <v>X</v>
      </c>
      <c r="O37" s="81" t="str">
        <f t="shared" si="6"/>
        <v>X</v>
      </c>
      <c r="P37" s="83" t="str">
        <f>IFERROR(_xlfn.NORM.DIST(O37,$B$18,$B$34,FALSE)*$H$34*COUNT(SalesDIST),"X")</f>
        <v>X</v>
      </c>
      <c r="Q37" s="106" t="str">
        <f t="shared" si="2"/>
        <v>X</v>
      </c>
    </row>
    <row r="38" spans="2:19" x14ac:dyDescent="0.35">
      <c r="B38" s="142">
        <f>_xlfn.QUARTILE.EXC(_xlfn.CHOOSECOLS(_xlfn.ANCHORARRAY($C$42),5),3)</f>
        <v>1484.125</v>
      </c>
      <c r="C38" s="305" t="str">
        <f>IF(AND($D$37="Within Limits",$E$37="Within Limits",$F$37="Within Limits"),"The data appears to be normally Distributed","The data does not appear to be normally distributed")</f>
        <v>The data does not appear to be normally distributed</v>
      </c>
      <c r="D38" s="306"/>
      <c r="E38" s="306"/>
      <c r="F38" s="307"/>
      <c r="G38" s="131"/>
      <c r="H38" s="132"/>
      <c r="I38" s="95">
        <v>9</v>
      </c>
      <c r="J38" s="81" t="str">
        <f t="shared" si="3"/>
        <v>X</v>
      </c>
      <c r="K38" s="81" t="str">
        <f t="shared" si="4"/>
        <v>X</v>
      </c>
      <c r="L38" s="80">
        <f t="shared" si="5"/>
        <v>0</v>
      </c>
      <c r="M38" s="80"/>
      <c r="N38" s="86" t="str">
        <f t="shared" si="1"/>
        <v>X</v>
      </c>
      <c r="O38" s="81" t="str">
        <f t="shared" si="6"/>
        <v>X</v>
      </c>
      <c r="P38" s="83" t="str">
        <f>IFERROR(_xlfn.NORM.DIST(O38,$B$18,$B$34,FALSE)*$H$34*COUNT(SalesDIST),"X")</f>
        <v>X</v>
      </c>
      <c r="Q38" s="106" t="str">
        <f t="shared" si="2"/>
        <v>X</v>
      </c>
    </row>
    <row r="39" spans="2:19" ht="15" thickBot="1" x14ac:dyDescent="0.4">
      <c r="B39" s="144">
        <f>MAX(_xlfn.CHOOSECOLS(_xlfn.ANCHORARRAY($C$42),5))</f>
        <v>2119</v>
      </c>
      <c r="C39" s="308" t="s">
        <v>113</v>
      </c>
      <c r="D39" s="309"/>
      <c r="E39" s="309"/>
      <c r="F39" s="310"/>
      <c r="G39" s="131"/>
      <c r="H39" s="132"/>
      <c r="I39" s="95">
        <v>10</v>
      </c>
      <c r="J39" s="81" t="str">
        <f t="shared" si="3"/>
        <v>X</v>
      </c>
      <c r="K39" s="81" t="str">
        <f t="shared" si="4"/>
        <v>X</v>
      </c>
      <c r="L39" s="80">
        <f t="shared" si="5"/>
        <v>0</v>
      </c>
      <c r="M39" s="80"/>
      <c r="N39" s="86" t="str">
        <f t="shared" si="1"/>
        <v>X</v>
      </c>
      <c r="O39" s="81" t="str">
        <f t="shared" si="6"/>
        <v>X</v>
      </c>
      <c r="P39" s="83" t="str">
        <f>IFERROR(_xlfn.NORM.DIST(O39,$B$18,$B$34,FALSE)*$H$34*COUNT(SalesDIST),"X")</f>
        <v>X</v>
      </c>
      <c r="Q39" s="106" t="str">
        <f t="shared" si="2"/>
        <v>X</v>
      </c>
    </row>
    <row r="40" spans="2:19" x14ac:dyDescent="0.35">
      <c r="B40" s="140" t="s">
        <v>85</v>
      </c>
      <c r="C40" s="311" t="s">
        <v>91</v>
      </c>
      <c r="D40" s="312"/>
      <c r="E40" s="312"/>
      <c r="F40" s="312"/>
      <c r="G40" s="312"/>
      <c r="H40" s="312"/>
      <c r="I40" s="95">
        <v>11</v>
      </c>
      <c r="J40" s="81" t="str">
        <f t="shared" si="3"/>
        <v>X</v>
      </c>
      <c r="K40" s="81" t="str">
        <f t="shared" si="4"/>
        <v>X</v>
      </c>
      <c r="L40" s="80">
        <f t="shared" si="5"/>
        <v>0</v>
      </c>
      <c r="M40" s="80"/>
      <c r="N40" s="86" t="str">
        <f t="shared" si="1"/>
        <v>X</v>
      </c>
      <c r="O40" s="81" t="str">
        <f t="shared" si="6"/>
        <v>X</v>
      </c>
      <c r="P40" s="83" t="str">
        <f>IFERROR(_xlfn.NORM.DIST(O40,$B$18,$B$34,FALSE)*$H$34*COUNT(SalesDIST),"X")</f>
        <v>X</v>
      </c>
      <c r="Q40" s="101" t="str">
        <f t="shared" si="2"/>
        <v>X</v>
      </c>
    </row>
    <row r="41" spans="2:19" ht="15" thickBot="1" x14ac:dyDescent="0.4">
      <c r="B41" s="142">
        <f>$B$38-$B$36</f>
        <v>442</v>
      </c>
      <c r="C41" s="313"/>
      <c r="D41" s="314"/>
      <c r="E41" s="314"/>
      <c r="F41" s="314"/>
      <c r="G41" s="314"/>
      <c r="H41" s="314"/>
      <c r="I41" s="95">
        <v>12</v>
      </c>
      <c r="J41" s="81" t="str">
        <f t="shared" si="3"/>
        <v>X</v>
      </c>
      <c r="K41" s="81" t="str">
        <f t="shared" si="4"/>
        <v>X</v>
      </c>
      <c r="L41" s="80">
        <f t="shared" si="5"/>
        <v>0</v>
      </c>
      <c r="M41" s="80"/>
      <c r="N41" s="86" t="str">
        <f t="shared" si="1"/>
        <v>X</v>
      </c>
      <c r="O41" s="81" t="str">
        <f t="shared" si="6"/>
        <v>X</v>
      </c>
      <c r="P41" s="83" t="str">
        <f>IFERROR(_xlfn.NORM.DIST(O41,$B$18,$B$34,FALSE)*$H$34*COUNT(SalesDIST),"X")</f>
        <v>X</v>
      </c>
      <c r="Q41" s="101" t="str">
        <f t="shared" si="2"/>
        <v>X</v>
      </c>
    </row>
    <row r="42" spans="2:19" x14ac:dyDescent="0.35">
      <c r="B42" s="140" t="s">
        <v>86</v>
      </c>
      <c r="C42" s="124" cm="1">
        <f t="array" ref="C42:H57">_xlfn.CHOOSECOLS(_xlfn._xlws.FILTER(RAW[],(RAW[Shift Count]&lt;&gt;0)*(_xlfn.SWITCH($B$6,
"Month of Year",(RAW[MONTH]=$B$7),
"Day of Week",(RAW[DOW]=$B$7),
"Entire Year",(RAW[Shift Count]=1))*(_xlfn.SWITCH($B$9,
"AM",(RAW[AM/PM]=$B$9),
"PM",(RAW[AM/PM]=$B$9),
"DOUBLE",(RAW[SINGLE/DODBLUBLE]="DOUBLE"),
"ALL",(RAW[MINUTES]&gt;0))))),1,2,3,4,5,21)</f>
        <v>45323</v>
      </c>
      <c r="D42" s="120" t="str">
        <v>PM</v>
      </c>
      <c r="E42" s="120" t="str">
        <v>February</v>
      </c>
      <c r="F42" s="120" t="str">
        <v>THU</v>
      </c>
      <c r="G42" s="120">
        <v>1451.5</v>
      </c>
      <c r="H42" s="125" t="str">
        <v>SINGLE</v>
      </c>
      <c r="I42" s="90">
        <v>13</v>
      </c>
      <c r="J42" s="81" t="str">
        <f t="shared" si="3"/>
        <v>X</v>
      </c>
      <c r="K42" s="81" t="str">
        <f t="shared" si="4"/>
        <v>X</v>
      </c>
      <c r="L42" s="80">
        <f t="shared" si="5"/>
        <v>0</v>
      </c>
      <c r="M42" s="80"/>
      <c r="N42" s="86" t="str">
        <f t="shared" si="1"/>
        <v>X</v>
      </c>
      <c r="O42" s="81" t="str">
        <f t="shared" si="6"/>
        <v>X</v>
      </c>
      <c r="P42" s="83" t="str">
        <f>IFERROR(_xlfn.NORM.DIST(O42,$B$18,$B$34,FALSE)*$H$34*COUNT(SalesDIST),"X")</f>
        <v>X</v>
      </c>
      <c r="Q42" s="101" t="str">
        <f t="shared" si="2"/>
        <v>X</v>
      </c>
      <c r="S42" s="113" t="s">
        <v>100</v>
      </c>
    </row>
    <row r="43" spans="2:19" x14ac:dyDescent="0.35">
      <c r="B43" s="142">
        <f>B34/SQRT(B14)</f>
        <v>80.379864743914567</v>
      </c>
      <c r="C43" s="126">
        <v>45324</v>
      </c>
      <c r="D43" s="80" t="str">
        <v>PM</v>
      </c>
      <c r="E43" s="80" t="str">
        <v>February</v>
      </c>
      <c r="F43" s="80" t="str">
        <v>FRI</v>
      </c>
      <c r="G43" s="80">
        <v>1462</v>
      </c>
      <c r="H43" s="98" t="str">
        <v>SINGLE</v>
      </c>
      <c r="I43" s="90">
        <v>14</v>
      </c>
      <c r="J43" s="81" t="str">
        <f t="shared" si="3"/>
        <v>X</v>
      </c>
      <c r="K43" s="81" t="str">
        <f t="shared" si="4"/>
        <v>X</v>
      </c>
      <c r="L43" s="80">
        <f t="shared" si="5"/>
        <v>0</v>
      </c>
      <c r="M43" s="80"/>
      <c r="N43" s="86" t="str">
        <f t="shared" si="1"/>
        <v>X</v>
      </c>
      <c r="O43" s="81" t="str">
        <f t="shared" si="6"/>
        <v>X</v>
      </c>
      <c r="P43" s="83" t="str">
        <f>IFERROR(_xlfn.NORM.DIST(O43,$B$18,$B$34,FALSE)*$H$34*COUNT(SalesDIST),"X")</f>
        <v>X</v>
      </c>
      <c r="Q43" s="101" t="str">
        <f t="shared" si="2"/>
        <v>X</v>
      </c>
      <c r="S43" s="113" t="s">
        <v>101</v>
      </c>
    </row>
    <row r="44" spans="2:19" x14ac:dyDescent="0.35">
      <c r="B44" s="140" t="s">
        <v>87</v>
      </c>
      <c r="C44" s="126">
        <v>45326</v>
      </c>
      <c r="D44" s="80" t="str">
        <v>PM</v>
      </c>
      <c r="E44" s="80" t="str">
        <v>February</v>
      </c>
      <c r="F44" s="80" t="str">
        <v>SUN</v>
      </c>
      <c r="G44" s="80">
        <v>1094.5</v>
      </c>
      <c r="H44" s="98" t="str">
        <v>SINGLE</v>
      </c>
      <c r="I44" s="90">
        <v>15</v>
      </c>
      <c r="J44" s="81" t="str">
        <f t="shared" si="3"/>
        <v>X</v>
      </c>
      <c r="K44" s="81" t="str">
        <f t="shared" si="4"/>
        <v>X</v>
      </c>
      <c r="L44" s="80">
        <f t="shared" si="5"/>
        <v>0</v>
      </c>
      <c r="M44" s="80"/>
      <c r="N44" s="86" t="str">
        <f t="shared" si="1"/>
        <v>X</v>
      </c>
      <c r="O44" s="81" t="str">
        <f t="shared" si="6"/>
        <v>X</v>
      </c>
      <c r="P44" s="83" t="str">
        <f>IFERROR(_xlfn.NORM.DIST(O44,$B$18,$B$34,FALSE)*$H$34*COUNT(SalesDIST),"X")</f>
        <v>X</v>
      </c>
      <c r="Q44" s="101" t="str">
        <f t="shared" si="2"/>
        <v>X</v>
      </c>
      <c r="S44" s="113" t="s">
        <v>102</v>
      </c>
    </row>
    <row r="45" spans="2:19" x14ac:dyDescent="0.35">
      <c r="B45" s="140">
        <f>SKEW(_xlfn.CHOOSECOLS(_xlfn.ANCHORARRAY($C$42),5))</f>
        <v>1.2935711866584625</v>
      </c>
      <c r="C45" s="126">
        <v>45327</v>
      </c>
      <c r="D45" s="80" t="str">
        <v>PM</v>
      </c>
      <c r="E45" s="80" t="str">
        <v>February</v>
      </c>
      <c r="F45" s="80" t="str">
        <v>MON</v>
      </c>
      <c r="G45" s="80">
        <v>1044</v>
      </c>
      <c r="H45" s="98" t="str">
        <v>DOUBLE</v>
      </c>
      <c r="I45" s="90">
        <v>16</v>
      </c>
      <c r="J45" s="81" t="str">
        <f t="shared" si="3"/>
        <v>X</v>
      </c>
      <c r="K45" s="81" t="str">
        <f t="shared" si="4"/>
        <v>X</v>
      </c>
      <c r="L45" s="80">
        <f t="shared" si="5"/>
        <v>0</v>
      </c>
      <c r="M45" s="80"/>
      <c r="N45" s="86" t="str">
        <f t="shared" si="1"/>
        <v>X</v>
      </c>
      <c r="O45" s="81" t="str">
        <f t="shared" si="6"/>
        <v>X</v>
      </c>
      <c r="P45" s="83" t="str">
        <f>IFERROR(_xlfn.NORM.DIST(O45,$B$18,$B$34,FALSE)*$H$34*COUNT(SalesDIST),"X")</f>
        <v>X</v>
      </c>
      <c r="Q45" s="101" t="str">
        <f t="shared" si="2"/>
        <v>X</v>
      </c>
      <c r="S45" s="113" t="s">
        <v>103</v>
      </c>
    </row>
    <row r="46" spans="2:19" x14ac:dyDescent="0.35">
      <c r="B46" s="140" t="s">
        <v>88</v>
      </c>
      <c r="C46" s="126">
        <v>45329</v>
      </c>
      <c r="D46" s="80" t="str">
        <v>PM</v>
      </c>
      <c r="E46" s="80" t="str">
        <v>February</v>
      </c>
      <c r="F46" s="80" t="str">
        <v>WED</v>
      </c>
      <c r="G46" s="80">
        <v>1491.5</v>
      </c>
      <c r="H46" s="98" t="str">
        <v>DOUBLE</v>
      </c>
      <c r="I46" s="90">
        <v>17</v>
      </c>
      <c r="J46" s="81" t="str">
        <f t="shared" si="3"/>
        <v>X</v>
      </c>
      <c r="K46" s="81" t="str">
        <f t="shared" si="4"/>
        <v>X</v>
      </c>
      <c r="L46" s="80">
        <f t="shared" si="5"/>
        <v>0</v>
      </c>
      <c r="M46" s="80"/>
      <c r="N46" s="86" t="str">
        <f t="shared" si="1"/>
        <v>X</v>
      </c>
      <c r="O46" s="81" t="str">
        <f t="shared" si="6"/>
        <v>X</v>
      </c>
      <c r="P46" s="83" t="str">
        <f>IFERROR(_xlfn.NORM.DIST(O46,$B$18,$B$34,FALSE)*$H$34*COUNT(SalesDIST),"X")</f>
        <v>X</v>
      </c>
      <c r="Q46" s="101" t="str">
        <f t="shared" si="2"/>
        <v>X</v>
      </c>
      <c r="S46" s="113" t="s">
        <v>111</v>
      </c>
    </row>
    <row r="47" spans="2:19" x14ac:dyDescent="0.35">
      <c r="B47" s="140">
        <f>KURT(_xlfn.CHOOSECOLS(_xlfn.ANCHORARRAY($C$42),5))</f>
        <v>1.4707128688966113</v>
      </c>
      <c r="C47" s="126">
        <v>45330</v>
      </c>
      <c r="D47" s="80" t="str">
        <v>PM</v>
      </c>
      <c r="E47" s="80" t="str">
        <v>February</v>
      </c>
      <c r="F47" s="80" t="str">
        <v>THU</v>
      </c>
      <c r="G47" s="80">
        <v>1198</v>
      </c>
      <c r="H47" s="98" t="str">
        <v>SINGLE</v>
      </c>
      <c r="I47" s="90">
        <v>18</v>
      </c>
      <c r="J47" s="81" t="str">
        <f t="shared" si="3"/>
        <v>X</v>
      </c>
      <c r="K47" s="81" t="str">
        <f t="shared" si="4"/>
        <v>X</v>
      </c>
      <c r="L47" s="80">
        <f t="shared" si="5"/>
        <v>0</v>
      </c>
      <c r="M47" s="80"/>
      <c r="N47" s="86" t="str">
        <f t="shared" si="1"/>
        <v>X</v>
      </c>
      <c r="O47" s="81" t="str">
        <f t="shared" si="6"/>
        <v>X</v>
      </c>
      <c r="P47" s="83" t="str">
        <f>IFERROR(_xlfn.NORM.DIST(O47,$B$18,$B$34,FALSE)*$H$34*COUNT(SalesDIST),"X")</f>
        <v>X</v>
      </c>
      <c r="Q47" s="101" t="str">
        <f t="shared" si="2"/>
        <v>X</v>
      </c>
      <c r="S47" s="113" t="s">
        <v>117</v>
      </c>
    </row>
    <row r="48" spans="2:19" ht="15" thickBot="1" x14ac:dyDescent="0.4">
      <c r="B48" s="140" t="s">
        <v>89</v>
      </c>
      <c r="C48" s="126">
        <v>45334</v>
      </c>
      <c r="D48" s="80" t="str">
        <v>PM</v>
      </c>
      <c r="E48" s="80" t="str">
        <v>February</v>
      </c>
      <c r="F48" s="80" t="str">
        <v>MON</v>
      </c>
      <c r="G48" s="80">
        <v>1041.5</v>
      </c>
      <c r="H48" s="98" t="str">
        <v>DOUBLE</v>
      </c>
      <c r="I48" s="114">
        <v>19</v>
      </c>
      <c r="J48" s="108" t="str">
        <f t="shared" si="3"/>
        <v>X</v>
      </c>
      <c r="K48" s="108" t="str">
        <f t="shared" si="4"/>
        <v>X</v>
      </c>
      <c r="L48" s="109">
        <f t="shared" si="5"/>
        <v>0</v>
      </c>
      <c r="M48" s="109"/>
      <c r="N48" s="110" t="str">
        <f t="shared" si="1"/>
        <v>X</v>
      </c>
      <c r="O48" s="108" t="str">
        <f t="shared" si="6"/>
        <v>X</v>
      </c>
      <c r="P48" s="111" t="str">
        <f>IFERROR(_xlfn.NORM.DIST(O48,$B$18,$B$34,FALSE)*$H$34*COUNT(SalesDIST),"X")</f>
        <v>X</v>
      </c>
      <c r="Q48" s="112" t="str">
        <f t="shared" si="2"/>
        <v>X</v>
      </c>
      <c r="S48" s="113" t="s">
        <v>118</v>
      </c>
    </row>
    <row r="49" spans="2:19" ht="14.5" customHeight="1" x14ac:dyDescent="0.35">
      <c r="B49" s="142">
        <f>_xlfn.PERCENTILE.INC(_xlfn.CHOOSECOLS(_xlfn.ANCHORARRAY($C$42),5),0.1)</f>
        <v>1009.75</v>
      </c>
      <c r="C49" s="126">
        <v>45336</v>
      </c>
      <c r="D49" s="80" t="str">
        <v>PM</v>
      </c>
      <c r="E49" s="80" t="str">
        <v>February</v>
      </c>
      <c r="F49" s="80" t="str">
        <v>WED</v>
      </c>
      <c r="G49" s="80">
        <v>2119</v>
      </c>
      <c r="H49" s="96" t="str">
        <v>SINGLE</v>
      </c>
      <c r="I49" s="311" t="s">
        <v>161</v>
      </c>
      <c r="J49" s="312"/>
      <c r="K49" s="312"/>
      <c r="L49" s="312"/>
      <c r="M49" s="312"/>
      <c r="N49" s="312"/>
      <c r="O49" s="312"/>
      <c r="P49" s="312"/>
      <c r="Q49" s="316"/>
      <c r="S49" s="113" t="s">
        <v>119</v>
      </c>
    </row>
    <row r="50" spans="2:19" ht="15" customHeight="1" thickBot="1" x14ac:dyDescent="0.4">
      <c r="B50" s="140" t="s">
        <v>90</v>
      </c>
      <c r="C50" s="126">
        <v>45337</v>
      </c>
      <c r="D50" s="80" t="str">
        <v>PM</v>
      </c>
      <c r="E50" s="80" t="str">
        <v>February</v>
      </c>
      <c r="F50" s="80" t="str">
        <v>THU</v>
      </c>
      <c r="G50" s="80">
        <v>1197</v>
      </c>
      <c r="H50" s="96" t="str">
        <v>SINGLE</v>
      </c>
      <c r="I50" s="317"/>
      <c r="J50" s="315"/>
      <c r="K50" s="315"/>
      <c r="L50" s="315"/>
      <c r="M50" s="315"/>
      <c r="N50" s="315"/>
      <c r="O50" s="315"/>
      <c r="P50" s="315"/>
      <c r="Q50" s="318"/>
    </row>
    <row r="51" spans="2:19" ht="15" thickBot="1" x14ac:dyDescent="0.4">
      <c r="B51" s="149">
        <f>_xlfn.PERCENTILE.INC(_xlfn.CHOOSECOLS(_xlfn.ANCHORARRAY($C$42),5),0.9)</f>
        <v>1644.25</v>
      </c>
      <c r="C51" s="126">
        <v>45339</v>
      </c>
      <c r="D51" s="80" t="str">
        <v>PM</v>
      </c>
      <c r="E51" s="80" t="str">
        <v>February</v>
      </c>
      <c r="F51" s="80" t="str">
        <v>SAT</v>
      </c>
      <c r="G51" s="80">
        <v>1526.5</v>
      </c>
      <c r="H51" s="102" t="str">
        <v>DOUBLE</v>
      </c>
      <c r="I51" s="167" t="s">
        <v>106</v>
      </c>
      <c r="J51" s="169">
        <v>2</v>
      </c>
      <c r="K51" s="170" t="s">
        <v>162</v>
      </c>
      <c r="L51" s="173">
        <v>3</v>
      </c>
      <c r="M51" s="171" t="s">
        <v>76</v>
      </c>
      <c r="N51" s="151">
        <f>$B$18</f>
        <v>1293.0625</v>
      </c>
      <c r="O51" s="120" t="s">
        <v>79</v>
      </c>
      <c r="P51" s="153">
        <f>$B$24</f>
        <v>975</v>
      </c>
      <c r="Q51" s="185"/>
    </row>
    <row r="52" spans="2:19" ht="15" thickBot="1" x14ac:dyDescent="0.4">
      <c r="C52" s="126">
        <v>45340</v>
      </c>
      <c r="D52" s="80" t="str">
        <v>PM</v>
      </c>
      <c r="E52" s="80" t="str">
        <v>February</v>
      </c>
      <c r="F52" s="80" t="str">
        <v>SUN</v>
      </c>
      <c r="G52" s="80">
        <v>1245</v>
      </c>
      <c r="H52" s="102" t="str">
        <v>DOUBLE</v>
      </c>
      <c r="I52" s="107" t="s">
        <v>104</v>
      </c>
      <c r="J52" s="168">
        <f>N51-(J51*N52)</f>
        <v>650.02358204868347</v>
      </c>
      <c r="K52" s="109" t="s">
        <v>105</v>
      </c>
      <c r="L52" s="172">
        <f>N51+(J51*N52)</f>
        <v>1936.1014179513165</v>
      </c>
      <c r="M52" s="109" t="s">
        <v>124</v>
      </c>
      <c r="N52" s="154">
        <f>$B$34</f>
        <v>321.51945897565827</v>
      </c>
      <c r="O52" s="109" t="s">
        <v>80</v>
      </c>
      <c r="P52" s="155">
        <f>$B$27</f>
        <v>2119</v>
      </c>
      <c r="Q52" s="186"/>
    </row>
    <row r="53" spans="2:19" ht="41" customHeight="1" thickBot="1" x14ac:dyDescent="0.4">
      <c r="C53" s="126">
        <v>45341</v>
      </c>
      <c r="D53" s="80" t="str">
        <v>PM</v>
      </c>
      <c r="E53" s="80" t="str">
        <v>February</v>
      </c>
      <c r="F53" s="80" t="str">
        <v>MON</v>
      </c>
      <c r="G53" s="80">
        <v>1027.5</v>
      </c>
      <c r="H53" s="102" t="str">
        <v>DOUBLE</v>
      </c>
      <c r="I53" s="162" t="s">
        <v>168</v>
      </c>
      <c r="J53" s="161" t="s">
        <v>163</v>
      </c>
      <c r="K53" s="158" t="s">
        <v>126</v>
      </c>
      <c r="L53" s="159" t="s">
        <v>68</v>
      </c>
      <c r="M53" s="159" t="s">
        <v>164</v>
      </c>
      <c r="N53" s="159" t="s">
        <v>165</v>
      </c>
      <c r="O53" s="157" t="s">
        <v>166</v>
      </c>
      <c r="P53" s="160" t="s">
        <v>167</v>
      </c>
      <c r="Q53" s="187"/>
    </row>
    <row r="54" spans="2:19" ht="14.5" customHeight="1" x14ac:dyDescent="0.35">
      <c r="C54" s="126">
        <v>45346</v>
      </c>
      <c r="D54" s="80" t="str">
        <v>PM</v>
      </c>
      <c r="E54" s="80" t="str">
        <v>February</v>
      </c>
      <c r="F54" s="80" t="str">
        <v>SAT</v>
      </c>
      <c r="G54" s="80">
        <v>1762</v>
      </c>
      <c r="H54" s="102" t="str">
        <v>SINGLE</v>
      </c>
      <c r="I54" s="319" t="s">
        <v>173</v>
      </c>
      <c r="J54" s="193" t="str" cm="1">
        <f t="array" ref="J54">_xlfn.TEXTJOIN(", ", TRUE, IFERROR(_xlfn._xlws.FILTER(Table3[Holiday Name], (DIST!K54 &gt;= Table3[start]) * (DIST!K54&lt;= Table3[end])), ""))</f>
        <v>Valentine's Day</v>
      </c>
      <c r="K54" s="115" cm="1">
        <f t="array" ref="K54:P54">_xlfn._xlws.FILTER(_xlfn.CHOOSECOLS(_xlfn._xlws.FILTER(RAW[],(RAW[Shift Count]&lt;&gt;0)*(_xlfn.SWITCH($B$6,
"Month of Year",(RAW[MONTH]=$B$7),
"Day of Week",(RAW[DOW]=$B$7),
"Entire Year",(RAW[Shift Count]=1))*(_xlfn.SWITCH($B$9,
"AM",(RAW[AM/PM]=$B$9),
"PM",(RAW[AM/PM]=$B$9),
"DOUBLE",(RAW[SINGLE/DODBLUBLE]="DOUBLE"),
"ALL",(RAW[MINUTES]&gt;0))))),1,2,3,4,5,21),(_xlfn.CHOOSECOLS(_xlfn.CHOOSECOLS(_xlfn._xlws.FILTER(RAW[],(RAW[Shift Count]&lt;&gt;0)*(_xlfn.SWITCH($B$6,
"Month of Year",(RAW[MONTH]=$B$7),
"Day of Week",(RAW[DOW]=$B$7),
"Entire Year",(RAW[Shift Count]=1))*(_xlfn.SWITCH($B$9,
"AM",(RAW[AM/PM]=$B$9),
"PM",(RAW[AM/PM]=$B$9),
"DOUBLE",(RAW[SINGLE/DODBLUBLE]="DOUBLE"),
"ALL",(RAW[MINUTES]&gt;0))))),1,2,3,4,5,21),5)&lt;$J$52)+(_xlfn.CHOOSECOLS(_xlfn.CHOOSECOLS(_xlfn._xlws.FILTER(RAW[],(RAW[Shift Count]&lt;&gt;0)*(_xlfn.SWITCH($B$6,
"Month of Year",(RAW[MONTH]=$B$7),
"Day of Week",(RAW[DOW]=$B$7),
"Entire Year",(RAW[Shift Count]=1))*(_xlfn.SWITCH($B$9,
"AM",(RAW[AM/PM]=$B$9),
"PM",(RAW[AM/PM]=$B$9),
"DOUBLE",(RAW[SINGLE/DODBLUBLE]="DOUBLE"),
"ALL",(RAW[MINUTES]&gt;0))))),1,2,3,4,5,21),5)&gt;L52))</f>
        <v>45336</v>
      </c>
      <c r="L54" s="92" t="str">
        <v>PM</v>
      </c>
      <c r="M54" s="92" t="str">
        <v>February</v>
      </c>
      <c r="N54" s="92" t="str">
        <v>WED</v>
      </c>
      <c r="O54" s="93">
        <v>2119</v>
      </c>
      <c r="P54" s="156" t="str">
        <v>SINGLE</v>
      </c>
      <c r="Q54" s="188"/>
      <c r="R54" s="139"/>
      <c r="S54" s="138"/>
    </row>
    <row r="55" spans="2:19" x14ac:dyDescent="0.35">
      <c r="C55" s="126">
        <v>45347</v>
      </c>
      <c r="D55" s="80" t="str">
        <v>PM</v>
      </c>
      <c r="E55" s="80" t="str">
        <v>February</v>
      </c>
      <c r="F55" s="80" t="str">
        <v>SUN</v>
      </c>
      <c r="G55" s="80">
        <v>1062</v>
      </c>
      <c r="H55" s="102" t="str">
        <v>SINGLE</v>
      </c>
      <c r="I55" s="320"/>
      <c r="J55" s="194" t="str" cm="1">
        <f t="array" ref="J55">_xlfn.TEXTJOIN(", ", TRUE, IFERROR(_xlfn._xlws.FILTER(Table3[Holiday Name], (DIST!K55 &gt;= Table3[start]) * (DIST!K55&lt;= Table3[end])), ""))</f>
        <v/>
      </c>
      <c r="K55" s="57"/>
      <c r="L55" s="80"/>
      <c r="M55" s="80"/>
      <c r="N55" s="80"/>
      <c r="O55" s="81"/>
      <c r="P55" s="102"/>
      <c r="Q55" s="189"/>
      <c r="R55" s="139"/>
      <c r="S55" s="138"/>
    </row>
    <row r="56" spans="2:19" x14ac:dyDescent="0.35">
      <c r="C56" s="126">
        <v>45348</v>
      </c>
      <c r="D56" s="80" t="str">
        <v>PM</v>
      </c>
      <c r="E56" s="80" t="str">
        <v>February</v>
      </c>
      <c r="F56" s="80" t="str">
        <v>MON</v>
      </c>
      <c r="G56" s="80">
        <v>975</v>
      </c>
      <c r="H56" s="102" t="str">
        <v>DOUBLE</v>
      </c>
      <c r="I56" s="320"/>
      <c r="J56" s="194" t="str" cm="1">
        <f t="array" ref="J56">_xlfn.TEXTJOIN(", ", TRUE, IFERROR(_xlfn._xlws.FILTER(Table3[Holiday Name], (DIST!K56 &gt;= Table3[start]) * (DIST!K56&lt;= Table3[end])), ""))</f>
        <v/>
      </c>
      <c r="K56" s="57"/>
      <c r="L56" s="80"/>
      <c r="M56" s="80"/>
      <c r="N56" s="80"/>
      <c r="O56" s="81"/>
      <c r="P56" s="102"/>
      <c r="Q56" s="189"/>
      <c r="R56" s="139"/>
      <c r="S56" s="138"/>
    </row>
    <row r="57" spans="2:19" x14ac:dyDescent="0.35">
      <c r="C57" s="126">
        <v>45350</v>
      </c>
      <c r="D57" s="80" t="str">
        <v>PM</v>
      </c>
      <c r="E57" s="80" t="str">
        <v>February</v>
      </c>
      <c r="F57" s="80" t="str">
        <v>WED</v>
      </c>
      <c r="G57" s="80">
        <v>992</v>
      </c>
      <c r="H57" s="102" t="str">
        <v>SINGLE</v>
      </c>
      <c r="I57" s="320"/>
      <c r="J57" s="194" t="str" cm="1">
        <f t="array" ref="J57">_xlfn.TEXTJOIN(", ", TRUE, IFERROR(_xlfn._xlws.FILTER(Table3[Holiday Name], (DIST!K57 &gt;= Table3[start]) * (DIST!K57&lt;= Table3[end])), ""))</f>
        <v/>
      </c>
      <c r="K57" s="57"/>
      <c r="L57" s="80"/>
      <c r="M57" s="80"/>
      <c r="N57" s="80"/>
      <c r="O57" s="81"/>
      <c r="P57" s="102"/>
      <c r="Q57" s="189"/>
      <c r="R57" s="139"/>
      <c r="S57" s="138"/>
    </row>
    <row r="58" spans="2:19" x14ac:dyDescent="0.35">
      <c r="C58" s="126"/>
      <c r="D58" s="80"/>
      <c r="E58" s="80"/>
      <c r="F58" s="80"/>
      <c r="G58" s="80"/>
      <c r="H58" s="102"/>
      <c r="I58" s="320"/>
      <c r="J58" s="194" t="str" cm="1">
        <f t="array" ref="J58">_xlfn.TEXTJOIN(", ", TRUE, IFERROR(_xlfn._xlws.FILTER(Table3[Holiday Name], (DIST!K58 &gt;= Table3[start]) * (DIST!K58&lt;= Table3[end])), ""))</f>
        <v/>
      </c>
      <c r="K58" s="57"/>
      <c r="L58" s="80"/>
      <c r="M58" s="80"/>
      <c r="N58" s="80"/>
      <c r="O58" s="81"/>
      <c r="P58" s="102"/>
      <c r="Q58" s="189"/>
      <c r="R58" s="139"/>
      <c r="S58" s="138"/>
    </row>
    <row r="59" spans="2:19" x14ac:dyDescent="0.35">
      <c r="C59" s="126"/>
      <c r="D59" s="80"/>
      <c r="E59" s="80"/>
      <c r="F59" s="80"/>
      <c r="G59" s="80"/>
      <c r="H59" s="102"/>
      <c r="I59" s="320"/>
      <c r="J59" s="194" t="str" cm="1">
        <f t="array" ref="J59">_xlfn.TEXTJOIN(", ", TRUE, IFERROR(_xlfn._xlws.FILTER(Table3[Holiday Name], (DIST!K59 &gt;= Table3[start]) * (DIST!K59&lt;= Table3[end])), ""))</f>
        <v/>
      </c>
      <c r="K59" s="57"/>
      <c r="L59" s="80"/>
      <c r="M59" s="80"/>
      <c r="N59" s="80"/>
      <c r="O59" s="81"/>
      <c r="P59" s="102"/>
      <c r="Q59" s="189"/>
      <c r="R59" s="139"/>
      <c r="S59" s="138"/>
    </row>
    <row r="60" spans="2:19" x14ac:dyDescent="0.35">
      <c r="C60" s="126"/>
      <c r="D60" s="80"/>
      <c r="E60" s="80"/>
      <c r="F60" s="80"/>
      <c r="G60" s="80"/>
      <c r="H60" s="102"/>
      <c r="I60" s="320"/>
      <c r="J60" s="194" t="str" cm="1">
        <f t="array" ref="J60">_xlfn.TEXTJOIN(", ", TRUE, IFERROR(_xlfn._xlws.FILTER(Table3[Holiday Name], (DIST!K60 &gt;= Table3[start]) * (DIST!K60&lt;= Table3[end])), ""))</f>
        <v/>
      </c>
      <c r="K60" s="57"/>
      <c r="L60" s="80"/>
      <c r="M60" s="80"/>
      <c r="N60" s="80"/>
      <c r="O60" s="81"/>
      <c r="P60" s="102"/>
      <c r="Q60" s="189"/>
      <c r="R60" s="139"/>
      <c r="S60" s="138"/>
    </row>
    <row r="61" spans="2:19" x14ac:dyDescent="0.35">
      <c r="C61" s="126"/>
      <c r="D61" s="82"/>
      <c r="E61" s="80"/>
      <c r="F61" s="80"/>
      <c r="G61" s="80"/>
      <c r="H61" s="102"/>
      <c r="I61" s="320"/>
      <c r="J61" s="194" t="str" cm="1">
        <f t="array" ref="J61">_xlfn.TEXTJOIN(", ", TRUE, IFERROR(_xlfn._xlws.FILTER(Table3[Holiday Name], (DIST!K61 &gt;= Table3[start]) * (DIST!K61&lt;= Table3[end])), ""))</f>
        <v/>
      </c>
      <c r="K61" s="57"/>
      <c r="L61" s="80"/>
      <c r="M61" s="80"/>
      <c r="N61" s="80"/>
      <c r="O61" s="81"/>
      <c r="P61" s="102"/>
      <c r="Q61" s="189"/>
      <c r="R61" s="139"/>
      <c r="S61" s="138"/>
    </row>
    <row r="62" spans="2:19" x14ac:dyDescent="0.35">
      <c r="C62" s="126"/>
      <c r="D62" s="80"/>
      <c r="E62" s="80"/>
      <c r="F62" s="80"/>
      <c r="G62" s="80"/>
      <c r="H62" s="102"/>
      <c r="I62" s="320"/>
      <c r="J62" s="194" t="str" cm="1">
        <f t="array" ref="J62">_xlfn.TEXTJOIN(", ", TRUE, IFERROR(_xlfn._xlws.FILTER(Table3[Holiday Name], (DIST!K62 &gt;= Table3[start]) * (DIST!K62&lt;= Table3[end])), ""))</f>
        <v/>
      </c>
      <c r="K62" s="57"/>
      <c r="L62" s="80"/>
      <c r="M62" s="80"/>
      <c r="N62" s="80"/>
      <c r="O62" s="81"/>
      <c r="P62" s="102"/>
      <c r="Q62" s="189"/>
      <c r="R62" s="139"/>
      <c r="S62" s="138"/>
    </row>
    <row r="63" spans="2:19" x14ac:dyDescent="0.35">
      <c r="C63" s="126"/>
      <c r="D63" s="80"/>
      <c r="E63" s="80"/>
      <c r="F63" s="80"/>
      <c r="G63" s="80"/>
      <c r="H63" s="102"/>
      <c r="I63" s="320"/>
      <c r="J63" s="194" t="str" cm="1">
        <f t="array" ref="J63">_xlfn.TEXTJOIN(", ", TRUE, IFERROR(_xlfn._xlws.FILTER(Table3[Holiday Name], (DIST!K63 &gt;= Table3[start]) * (DIST!K63&lt;= Table3[end])), ""))</f>
        <v/>
      </c>
      <c r="K63" s="57"/>
      <c r="L63" s="80"/>
      <c r="M63" s="80"/>
      <c r="N63" s="80"/>
      <c r="O63" s="81"/>
      <c r="P63" s="102"/>
      <c r="Q63" s="189"/>
      <c r="R63" s="139"/>
      <c r="S63" s="138"/>
    </row>
    <row r="64" spans="2:19" x14ac:dyDescent="0.35">
      <c r="C64" s="126"/>
      <c r="D64" s="80"/>
      <c r="E64" s="80"/>
      <c r="F64" s="80"/>
      <c r="G64" s="80"/>
      <c r="H64" s="102"/>
      <c r="I64" s="320"/>
      <c r="J64" s="194" t="str" cm="1">
        <f t="array" ref="J64">_xlfn.TEXTJOIN(", ", TRUE, IFERROR(_xlfn._xlws.FILTER(Table3[Holiday Name], (DIST!K64 &gt;= Table3[start]) * (DIST!K64&lt;= Table3[end])), ""))</f>
        <v/>
      </c>
      <c r="K64" s="57"/>
      <c r="L64" s="80"/>
      <c r="M64" s="80"/>
      <c r="N64" s="80"/>
      <c r="O64" s="81"/>
      <c r="P64" s="102"/>
      <c r="Q64" s="189"/>
      <c r="R64" s="139"/>
      <c r="S64" s="138"/>
    </row>
    <row r="65" spans="3:19" x14ac:dyDescent="0.35">
      <c r="C65" s="126"/>
      <c r="D65" s="80"/>
      <c r="E65" s="80"/>
      <c r="F65" s="80"/>
      <c r="G65" s="80"/>
      <c r="H65" s="102"/>
      <c r="I65" s="320"/>
      <c r="J65" s="194" t="str" cm="1">
        <f t="array" ref="J65">_xlfn.TEXTJOIN(", ", TRUE, IFERROR(_xlfn._xlws.FILTER(Table3[Holiday Name], (DIST!K65 &gt;= Table3[start]) * (DIST!K65&lt;= Table3[end])), ""))</f>
        <v/>
      </c>
      <c r="K65" s="57"/>
      <c r="L65" s="80"/>
      <c r="M65" s="80"/>
      <c r="N65" s="80"/>
      <c r="O65" s="81"/>
      <c r="P65" s="102"/>
      <c r="Q65" s="189"/>
      <c r="R65" s="139"/>
      <c r="S65" s="138"/>
    </row>
    <row r="66" spans="3:19" x14ac:dyDescent="0.35">
      <c r="C66" s="126"/>
      <c r="D66" s="80"/>
      <c r="E66" s="80"/>
      <c r="F66" s="80"/>
      <c r="G66" s="80"/>
      <c r="H66" s="102"/>
      <c r="I66" s="320"/>
      <c r="J66" s="194" t="str" cm="1">
        <f t="array" ref="J66">_xlfn.TEXTJOIN(", ", TRUE, IFERROR(_xlfn._xlws.FILTER(Table3[Holiday Name], (DIST!K66 &gt;= Table3[start]) * (DIST!K66&lt;= Table3[end])), ""))</f>
        <v/>
      </c>
      <c r="K66" s="57"/>
      <c r="L66" s="80"/>
      <c r="M66" s="80"/>
      <c r="N66" s="80"/>
      <c r="O66" s="81"/>
      <c r="P66" s="102"/>
      <c r="Q66" s="189"/>
      <c r="R66" s="139"/>
      <c r="S66" s="138"/>
    </row>
    <row r="67" spans="3:19" x14ac:dyDescent="0.35">
      <c r="C67" s="126"/>
      <c r="D67" s="80"/>
      <c r="E67" s="80"/>
      <c r="F67" s="80"/>
      <c r="G67" s="80"/>
      <c r="H67" s="102"/>
      <c r="I67" s="320"/>
      <c r="J67" s="194" t="str" cm="1">
        <f t="array" ref="J67">_xlfn.TEXTJOIN(", ", TRUE, IFERROR(_xlfn._xlws.FILTER(Table3[Holiday Name], (DIST!K67 &gt;= Table3[start]) * (DIST!K67&lt;= Table3[end])), ""))</f>
        <v/>
      </c>
      <c r="K67" s="57"/>
      <c r="L67" s="80"/>
      <c r="M67" s="80"/>
      <c r="N67" s="80"/>
      <c r="O67" s="81"/>
      <c r="P67" s="102"/>
      <c r="Q67" s="189"/>
      <c r="R67" s="139"/>
      <c r="S67" s="138"/>
    </row>
    <row r="68" spans="3:19" x14ac:dyDescent="0.35">
      <c r="C68" s="126"/>
      <c r="D68" s="80"/>
      <c r="E68" s="80"/>
      <c r="F68" s="80"/>
      <c r="G68" s="80"/>
      <c r="H68" s="102"/>
      <c r="I68" s="320"/>
      <c r="J68" s="194" t="str" cm="1">
        <f t="array" ref="J68">_xlfn.TEXTJOIN(", ", TRUE, IFERROR(_xlfn._xlws.FILTER(Table3[Holiday Name], (DIST!K68 &gt;= Table3[start]) * (DIST!K68&lt;= Table3[end])), ""))</f>
        <v/>
      </c>
      <c r="K68" s="57"/>
      <c r="L68" s="80"/>
      <c r="M68" s="80"/>
      <c r="N68" s="80"/>
      <c r="O68" s="81"/>
      <c r="P68" s="102"/>
      <c r="Q68" s="189"/>
      <c r="R68" s="139"/>
      <c r="S68" s="138"/>
    </row>
    <row r="69" spans="3:19" x14ac:dyDescent="0.35">
      <c r="C69" s="126"/>
      <c r="D69" s="80"/>
      <c r="E69" s="80"/>
      <c r="F69" s="80"/>
      <c r="G69" s="80"/>
      <c r="H69" s="102"/>
      <c r="I69" s="320"/>
      <c r="J69" s="194" t="str" cm="1">
        <f t="array" ref="J69">_xlfn.TEXTJOIN(", ", TRUE, IFERROR(_xlfn._xlws.FILTER(Table3[Holiday Name], (DIST!K69 &gt;= Table3[start]) * (DIST!K69&lt;= Table3[end])), ""))</f>
        <v/>
      </c>
      <c r="K69" s="57"/>
      <c r="L69" s="80"/>
      <c r="M69" s="80"/>
      <c r="N69" s="80"/>
      <c r="O69" s="81"/>
      <c r="P69" s="102"/>
      <c r="Q69" s="189"/>
      <c r="R69" s="139"/>
      <c r="S69" s="138"/>
    </row>
    <row r="70" spans="3:19" x14ac:dyDescent="0.35">
      <c r="C70" s="126"/>
      <c r="D70" s="80"/>
      <c r="E70" s="80"/>
      <c r="F70" s="80"/>
      <c r="G70" s="80"/>
      <c r="H70" s="102"/>
      <c r="I70" s="320"/>
      <c r="J70" s="194" t="str" cm="1">
        <f t="array" ref="J70">_xlfn.TEXTJOIN(", ", TRUE, IFERROR(_xlfn._xlws.FILTER(Table3[Holiday Name], (DIST!K70 &gt;= Table3[start]) * (DIST!K70&lt;= Table3[end])), ""))</f>
        <v/>
      </c>
      <c r="K70" s="57"/>
      <c r="L70" s="80"/>
      <c r="M70" s="80"/>
      <c r="N70" s="80"/>
      <c r="O70" s="81"/>
      <c r="P70" s="102"/>
      <c r="Q70" s="189"/>
      <c r="R70" s="139"/>
      <c r="S70" s="138"/>
    </row>
    <row r="71" spans="3:19" x14ac:dyDescent="0.35">
      <c r="C71" s="126"/>
      <c r="D71" s="80"/>
      <c r="E71" s="80"/>
      <c r="F71" s="80"/>
      <c r="G71" s="80"/>
      <c r="H71" s="102"/>
      <c r="I71" s="320"/>
      <c r="J71" s="194" t="str" cm="1">
        <f t="array" ref="J71">_xlfn.TEXTJOIN(", ", TRUE, IFERROR(_xlfn._xlws.FILTER(Table3[Holiday Name], (DIST!K71 &gt;= Table3[start]) * (DIST!K71&lt;= Table3[end])), ""))</f>
        <v/>
      </c>
      <c r="K71" s="57"/>
      <c r="L71" s="80"/>
      <c r="M71" s="80"/>
      <c r="N71" s="80"/>
      <c r="O71" s="81"/>
      <c r="P71" s="102"/>
      <c r="Q71" s="189"/>
      <c r="R71" s="139"/>
      <c r="S71" s="138"/>
    </row>
    <row r="72" spans="3:19" x14ac:dyDescent="0.35">
      <c r="C72" s="126"/>
      <c r="D72" s="80"/>
      <c r="E72" s="80"/>
      <c r="F72" s="80"/>
      <c r="G72" s="80"/>
      <c r="H72" s="102"/>
      <c r="I72" s="320"/>
      <c r="J72" s="194" t="str" cm="1">
        <f t="array" ref="J72">_xlfn.TEXTJOIN(", ", TRUE, IFERROR(_xlfn._xlws.FILTER(Table3[Holiday Name], (DIST!K72 &gt;= Table3[start]) * (DIST!K72&lt;= Table3[end])), ""))</f>
        <v/>
      </c>
      <c r="K72" s="57"/>
      <c r="L72" s="80"/>
      <c r="M72" s="80"/>
      <c r="N72" s="80"/>
      <c r="O72" s="81"/>
      <c r="P72" s="102"/>
      <c r="Q72" s="189"/>
      <c r="R72" s="139"/>
      <c r="S72" s="138"/>
    </row>
    <row r="73" spans="3:19" x14ac:dyDescent="0.35">
      <c r="C73" s="126"/>
      <c r="D73" s="80"/>
      <c r="E73" s="80"/>
      <c r="F73" s="80"/>
      <c r="G73" s="80"/>
      <c r="H73" s="102"/>
      <c r="I73" s="320"/>
      <c r="J73" s="194" t="str" cm="1">
        <f t="array" ref="J73">_xlfn.TEXTJOIN(", ", TRUE, IFERROR(_xlfn._xlws.FILTER(Table3[Holiday Name], (DIST!K73 &gt;= Table3[start]) * (DIST!K73&lt;= Table3[end])), ""))</f>
        <v/>
      </c>
      <c r="K73" s="57"/>
      <c r="L73" s="80"/>
      <c r="M73" s="80"/>
      <c r="N73" s="80"/>
      <c r="O73" s="81"/>
      <c r="P73" s="102"/>
      <c r="Q73" s="189"/>
      <c r="R73" s="139"/>
      <c r="S73" s="138"/>
    </row>
    <row r="74" spans="3:19" x14ac:dyDescent="0.35">
      <c r="C74" s="126"/>
      <c r="D74" s="80"/>
      <c r="E74" s="80"/>
      <c r="F74" s="80"/>
      <c r="G74" s="80"/>
      <c r="H74" s="102"/>
      <c r="I74" s="320"/>
      <c r="J74" s="194" t="str" cm="1">
        <f t="array" ref="J74">_xlfn.TEXTJOIN(", ", TRUE, IFERROR(_xlfn._xlws.FILTER(Table3[Holiday Name], (DIST!K74 &gt;= Table3[start]) * (DIST!K74&lt;= Table3[end])), ""))</f>
        <v/>
      </c>
      <c r="K74" s="57"/>
      <c r="L74" s="80"/>
      <c r="M74" s="80"/>
      <c r="N74" s="80"/>
      <c r="O74" s="81"/>
      <c r="P74" s="102"/>
      <c r="Q74" s="189"/>
      <c r="R74" s="139"/>
      <c r="S74" s="138"/>
    </row>
    <row r="75" spans="3:19" x14ac:dyDescent="0.35">
      <c r="C75" s="126"/>
      <c r="D75" s="80"/>
      <c r="E75" s="80"/>
      <c r="F75" s="80"/>
      <c r="G75" s="80"/>
      <c r="H75" s="102"/>
      <c r="I75" s="320"/>
      <c r="J75" s="194" t="str" cm="1">
        <f t="array" ref="J75">_xlfn.TEXTJOIN(", ", TRUE, IFERROR(_xlfn._xlws.FILTER(Table3[Holiday Name], (DIST!K75 &gt;= Table3[start]) * (DIST!K75&lt;= Table3[end])), ""))</f>
        <v/>
      </c>
      <c r="K75" s="57"/>
      <c r="L75" s="80"/>
      <c r="M75" s="80"/>
      <c r="N75" s="80"/>
      <c r="O75" s="81"/>
      <c r="P75" s="102"/>
      <c r="Q75" s="189"/>
      <c r="R75" s="139"/>
      <c r="S75" s="138"/>
    </row>
    <row r="76" spans="3:19" x14ac:dyDescent="0.35">
      <c r="C76" s="126"/>
      <c r="D76" s="80"/>
      <c r="E76" s="80"/>
      <c r="F76" s="80"/>
      <c r="G76" s="80"/>
      <c r="H76" s="102"/>
      <c r="I76" s="320"/>
      <c r="J76" s="194" t="str" cm="1">
        <f t="array" ref="J76">_xlfn.TEXTJOIN(", ", TRUE, IFERROR(_xlfn._xlws.FILTER(Table3[Holiday Name], (DIST!K76 &gt;= Table3[start]) * (DIST!K76&lt;= Table3[end])), ""))</f>
        <v/>
      </c>
      <c r="K76" s="57"/>
      <c r="L76" s="80"/>
      <c r="M76" s="80"/>
      <c r="N76" s="80"/>
      <c r="O76" s="81"/>
      <c r="P76" s="102"/>
      <c r="Q76" s="189"/>
      <c r="R76" s="139"/>
      <c r="S76" s="138"/>
    </row>
    <row r="77" spans="3:19" x14ac:dyDescent="0.35">
      <c r="C77" s="126"/>
      <c r="D77" s="80"/>
      <c r="E77" s="80"/>
      <c r="F77" s="80"/>
      <c r="G77" s="80"/>
      <c r="H77" s="102"/>
      <c r="I77" s="320"/>
      <c r="J77" s="194" t="str" cm="1">
        <f t="array" ref="J77">_xlfn.TEXTJOIN(", ", TRUE, IFERROR(_xlfn._xlws.FILTER(Table3[Holiday Name], (DIST!K77 &gt;= Table3[start]) * (DIST!K77&lt;= Table3[end])), ""))</f>
        <v/>
      </c>
      <c r="K77" s="57"/>
      <c r="L77" s="80"/>
      <c r="M77" s="80"/>
      <c r="N77" s="80"/>
      <c r="O77" s="81"/>
      <c r="P77" s="102"/>
      <c r="Q77" s="189"/>
      <c r="R77" s="139"/>
      <c r="S77" s="138"/>
    </row>
    <row r="78" spans="3:19" x14ac:dyDescent="0.35">
      <c r="C78" s="126"/>
      <c r="D78" s="80"/>
      <c r="E78" s="80"/>
      <c r="F78" s="80"/>
      <c r="G78" s="80"/>
      <c r="H78" s="102"/>
      <c r="I78" s="320"/>
      <c r="J78" s="194" t="str" cm="1">
        <f t="array" ref="J78">_xlfn.TEXTJOIN(", ", TRUE, IFERROR(_xlfn._xlws.FILTER(Table3[Holiday Name], (DIST!K78 &gt;= Table3[start]) * (DIST!K78&lt;= Table3[end])), ""))</f>
        <v/>
      </c>
      <c r="K78" s="57"/>
      <c r="L78" s="80"/>
      <c r="M78" s="80"/>
      <c r="N78" s="80"/>
      <c r="O78" s="81"/>
      <c r="P78" s="102"/>
      <c r="Q78" s="189"/>
      <c r="R78" s="139"/>
      <c r="S78" s="138"/>
    </row>
    <row r="79" spans="3:19" x14ac:dyDescent="0.35">
      <c r="C79" s="126"/>
      <c r="D79" s="80"/>
      <c r="E79" s="80"/>
      <c r="F79" s="80"/>
      <c r="G79" s="80"/>
      <c r="H79" s="102"/>
      <c r="I79" s="320"/>
      <c r="J79" s="194" t="str" cm="1">
        <f t="array" ref="J79">_xlfn.TEXTJOIN(", ", TRUE, IFERROR(_xlfn._xlws.FILTER(Table3[Holiday Name], (DIST!K79 &gt;= Table3[start]) * (DIST!K79&lt;= Table3[end])), ""))</f>
        <v/>
      </c>
      <c r="K79" s="57"/>
      <c r="L79" s="80"/>
      <c r="M79" s="80"/>
      <c r="N79" s="80"/>
      <c r="O79" s="81"/>
      <c r="P79" s="102"/>
      <c r="Q79" s="189"/>
      <c r="R79" s="139"/>
      <c r="S79" s="138"/>
    </row>
    <row r="80" spans="3:19" x14ac:dyDescent="0.35">
      <c r="C80" s="126"/>
      <c r="D80" s="80"/>
      <c r="E80" s="80"/>
      <c r="F80" s="80"/>
      <c r="G80" s="80"/>
      <c r="H80" s="102"/>
      <c r="I80" s="320"/>
      <c r="J80" s="194" t="str" cm="1">
        <f t="array" ref="J80">_xlfn.TEXTJOIN(", ", TRUE, IFERROR(_xlfn._xlws.FILTER(Table3[Holiday Name], (DIST!K80 &gt;= Table3[start]) * (DIST!K80&lt;= Table3[end])), ""))</f>
        <v/>
      </c>
      <c r="K80" s="57"/>
      <c r="L80" s="80"/>
      <c r="M80" s="80"/>
      <c r="N80" s="80"/>
      <c r="O80" s="81"/>
      <c r="P80" s="102"/>
      <c r="Q80" s="189"/>
      <c r="R80" s="139"/>
      <c r="S80" s="138"/>
    </row>
    <row r="81" spans="3:19" x14ac:dyDescent="0.35">
      <c r="C81" s="126"/>
      <c r="D81" s="80"/>
      <c r="E81" s="80"/>
      <c r="F81" s="80"/>
      <c r="G81" s="80"/>
      <c r="H81" s="102"/>
      <c r="I81" s="320"/>
      <c r="J81" s="194" t="str" cm="1">
        <f t="array" ref="J81">_xlfn.TEXTJOIN(", ", TRUE, IFERROR(_xlfn._xlws.FILTER(Table3[Holiday Name], (DIST!K81 &gt;= Table3[start]) * (DIST!K81&lt;= Table3[end])), ""))</f>
        <v/>
      </c>
      <c r="K81" s="57"/>
      <c r="L81" s="80"/>
      <c r="M81" s="80"/>
      <c r="N81" s="80"/>
      <c r="O81" s="81"/>
      <c r="P81" s="102"/>
      <c r="Q81" s="189"/>
      <c r="R81" s="139"/>
      <c r="S81" s="138"/>
    </row>
    <row r="82" spans="3:19" x14ac:dyDescent="0.35">
      <c r="C82" s="126"/>
      <c r="D82" s="80"/>
      <c r="E82" s="80"/>
      <c r="F82" s="80"/>
      <c r="G82" s="80"/>
      <c r="H82" s="102"/>
      <c r="I82" s="320"/>
      <c r="J82" s="194" t="str" cm="1">
        <f t="array" ref="J82">_xlfn.TEXTJOIN(", ", TRUE, IFERROR(_xlfn._xlws.FILTER(Table3[Holiday Name], (DIST!K82 &gt;= Table3[start]) * (DIST!K82&lt;= Table3[end])), ""))</f>
        <v/>
      </c>
      <c r="K82" s="57"/>
      <c r="L82" s="80"/>
      <c r="M82" s="80"/>
      <c r="N82" s="80"/>
      <c r="O82" s="81"/>
      <c r="P82" s="102"/>
      <c r="Q82" s="189"/>
      <c r="R82" s="139"/>
      <c r="S82" s="138"/>
    </row>
    <row r="83" spans="3:19" x14ac:dyDescent="0.35">
      <c r="C83" s="126"/>
      <c r="D83" s="80"/>
      <c r="E83" s="80"/>
      <c r="F83" s="80"/>
      <c r="G83" s="80"/>
      <c r="H83" s="102"/>
      <c r="I83" s="320"/>
      <c r="J83" s="194" t="str" cm="1">
        <f t="array" ref="J83">_xlfn.TEXTJOIN(", ", TRUE, IFERROR(_xlfn._xlws.FILTER(Table3[Holiday Name], (DIST!K83 &gt;= Table3[start]) * (DIST!K83&lt;= Table3[end])), ""))</f>
        <v/>
      </c>
      <c r="K83" s="57"/>
      <c r="L83" s="80"/>
      <c r="M83" s="80"/>
      <c r="N83" s="80"/>
      <c r="O83" s="81"/>
      <c r="P83" s="102"/>
      <c r="Q83" s="189"/>
      <c r="R83" s="139"/>
      <c r="S83" s="138"/>
    </row>
    <row r="84" spans="3:19" x14ac:dyDescent="0.35">
      <c r="C84" s="126"/>
      <c r="D84" s="80"/>
      <c r="E84" s="80"/>
      <c r="F84" s="80"/>
      <c r="G84" s="80"/>
      <c r="H84" s="102"/>
      <c r="I84" s="320"/>
      <c r="J84" s="194" t="str" cm="1">
        <f t="array" ref="J84">_xlfn.TEXTJOIN(", ", TRUE, IFERROR(_xlfn._xlws.FILTER(Table3[Holiday Name], (DIST!K84 &gt;= Table3[start]) * (DIST!K84&lt;= Table3[end])), ""))</f>
        <v/>
      </c>
      <c r="K84" s="57"/>
      <c r="L84" s="80"/>
      <c r="M84" s="80"/>
      <c r="N84" s="80"/>
      <c r="O84" s="81"/>
      <c r="P84" s="102"/>
      <c r="Q84" s="189"/>
      <c r="R84" s="139"/>
      <c r="S84" s="138"/>
    </row>
    <row r="85" spans="3:19" ht="43.5" customHeight="1" x14ac:dyDescent="0.35">
      <c r="C85" s="126"/>
      <c r="D85" s="80"/>
      <c r="E85" s="80"/>
      <c r="F85" s="80"/>
      <c r="G85" s="80"/>
      <c r="H85" s="102"/>
      <c r="I85" s="320"/>
      <c r="J85" s="194" t="str" cm="1">
        <f t="array" ref="J85">_xlfn.TEXTJOIN(", ", TRUE, IFERROR(_xlfn._xlws.FILTER(Table3[Holiday Name], (DIST!K85 &gt;= Table3[start]) * (DIST!K85&lt;= Table3[end])), ""))</f>
        <v/>
      </c>
      <c r="K85" s="57"/>
      <c r="L85" s="80"/>
      <c r="M85" s="80"/>
      <c r="N85" s="80"/>
      <c r="O85" s="81"/>
      <c r="P85" s="102"/>
      <c r="Q85" s="189"/>
      <c r="R85" s="139"/>
      <c r="S85" s="138"/>
    </row>
    <row r="86" spans="3:19" ht="29" customHeight="1" x14ac:dyDescent="0.35">
      <c r="C86" s="126"/>
      <c r="D86" s="80"/>
      <c r="E86" s="80"/>
      <c r="F86" s="80"/>
      <c r="G86" s="80"/>
      <c r="H86" s="102"/>
      <c r="I86" s="320"/>
      <c r="J86" s="194" t="str" cm="1">
        <f t="array" ref="J86">_xlfn.TEXTJOIN(", ", TRUE, IFERROR(_xlfn._xlws.FILTER(Table3[Holiday Name], (DIST!K86 &gt;= Table3[start]) * (DIST!K86&lt;= Table3[end])), ""))</f>
        <v/>
      </c>
      <c r="K86" s="57"/>
      <c r="L86" s="80"/>
      <c r="M86" s="80"/>
      <c r="N86" s="80"/>
      <c r="O86" s="81"/>
      <c r="P86" s="102"/>
      <c r="Q86" s="189"/>
      <c r="R86" s="139"/>
      <c r="S86" s="138"/>
    </row>
    <row r="87" spans="3:19" ht="29" customHeight="1" x14ac:dyDescent="0.35">
      <c r="C87" s="126"/>
      <c r="D87" s="80"/>
      <c r="E87" s="80"/>
      <c r="F87" s="80"/>
      <c r="G87" s="80"/>
      <c r="H87" s="102"/>
      <c r="I87" s="320"/>
      <c r="J87" s="194" t="str" cm="1">
        <f t="array" ref="J87">_xlfn.TEXTJOIN(", ", TRUE, IFERROR(_xlfn._xlws.FILTER(Table3[Holiday Name], (DIST!K87 &gt;= Table3[start]) * (DIST!K87&lt;= Table3[end])), ""))</f>
        <v/>
      </c>
      <c r="K87" s="57"/>
      <c r="L87" s="80"/>
      <c r="M87" s="80"/>
      <c r="N87" s="80"/>
      <c r="O87" s="81"/>
      <c r="P87" s="102"/>
      <c r="Q87" s="189"/>
      <c r="R87" s="139"/>
      <c r="S87" s="138"/>
    </row>
    <row r="88" spans="3:19" ht="29" customHeight="1" x14ac:dyDescent="0.35">
      <c r="C88" s="126"/>
      <c r="D88" s="80"/>
      <c r="E88" s="80"/>
      <c r="F88" s="80"/>
      <c r="G88" s="80"/>
      <c r="H88" s="102"/>
      <c r="I88" s="320"/>
      <c r="J88" s="194" t="str" cm="1">
        <f t="array" ref="J88">_xlfn.TEXTJOIN(", ", TRUE, IFERROR(_xlfn._xlws.FILTER(Table3[Holiday Name], (DIST!K88 &gt;= Table3[start]) * (DIST!K88&lt;= Table3[end])), ""))</f>
        <v/>
      </c>
      <c r="K88" s="57"/>
      <c r="L88" s="80"/>
      <c r="M88" s="80"/>
      <c r="N88" s="80"/>
      <c r="O88" s="81"/>
      <c r="P88" s="102"/>
      <c r="Q88" s="189"/>
      <c r="R88" s="139"/>
      <c r="S88" s="138"/>
    </row>
    <row r="89" spans="3:19" ht="29" customHeight="1" x14ac:dyDescent="0.35">
      <c r="C89" s="126"/>
      <c r="D89" s="80"/>
      <c r="E89" s="80"/>
      <c r="F89" s="80"/>
      <c r="G89" s="80"/>
      <c r="H89" s="102"/>
      <c r="I89" s="320"/>
      <c r="J89" s="194" t="str" cm="1">
        <f t="array" ref="J89">_xlfn.TEXTJOIN(", ", TRUE, IFERROR(_xlfn._xlws.FILTER(Table3[Holiday Name], (DIST!K89 &gt;= Table3[start]) * (DIST!K89&lt;= Table3[end])), ""))</f>
        <v/>
      </c>
      <c r="K89" s="57"/>
      <c r="L89" s="80"/>
      <c r="M89" s="80"/>
      <c r="N89" s="80"/>
      <c r="O89" s="81"/>
      <c r="P89" s="102"/>
      <c r="Q89" s="189"/>
      <c r="R89" s="139"/>
      <c r="S89" s="138"/>
    </row>
    <row r="90" spans="3:19" ht="15" thickBot="1" x14ac:dyDescent="0.4">
      <c r="C90" s="126"/>
      <c r="D90" s="80"/>
      <c r="E90" s="80"/>
      <c r="F90" s="80"/>
      <c r="G90" s="80"/>
      <c r="H90" s="102"/>
      <c r="I90" s="321"/>
      <c r="J90" s="194" t="str" cm="1">
        <f t="array" ref="J90">_xlfn.TEXTJOIN(", ", TRUE, IFERROR(_xlfn._xlws.FILTER(Table3[Holiday Name], (DIST!K90 &gt;= Table3[start]) * (DIST!K90&lt;= Table3[end])), ""))</f>
        <v/>
      </c>
      <c r="K90" s="57"/>
      <c r="L90" s="80"/>
      <c r="M90" s="80"/>
      <c r="N90" s="80"/>
      <c r="O90" s="81"/>
      <c r="P90" s="102"/>
      <c r="Q90" s="189"/>
      <c r="R90" s="139"/>
      <c r="S90" s="138"/>
    </row>
    <row r="91" spans="3:19" x14ac:dyDescent="0.35">
      <c r="C91" s="126"/>
      <c r="D91" s="80"/>
      <c r="E91" s="80"/>
      <c r="F91" s="80"/>
      <c r="G91" s="80"/>
      <c r="H91" s="102"/>
      <c r="I91" s="128"/>
      <c r="J91" s="191" t="str" cm="1">
        <f t="array" ref="J91">_xlfn.TEXTJOIN(", ", TRUE, IFERROR(_xlfn._xlws.FILTER(Table3[Holiday Name], (DIST!K91 &gt;= Table3[start]) * (DIST!K91&lt;= Table3[end])), ""))</f>
        <v/>
      </c>
      <c r="K91" s="57"/>
      <c r="L91" s="80"/>
      <c r="M91" s="80"/>
      <c r="N91" s="80"/>
      <c r="O91" s="81"/>
      <c r="P91" s="102"/>
      <c r="Q91" s="189"/>
      <c r="R91" s="139"/>
      <c r="S91" s="138"/>
    </row>
    <row r="92" spans="3:19" x14ac:dyDescent="0.35">
      <c r="C92" s="126"/>
      <c r="D92" s="80"/>
      <c r="E92" s="80"/>
      <c r="F92" s="80"/>
      <c r="G92" s="80"/>
      <c r="H92" s="102"/>
      <c r="I92" s="95"/>
      <c r="J92" s="191" t="str" cm="1">
        <f t="array" ref="J92">_xlfn.TEXTJOIN(", ", TRUE, IFERROR(_xlfn._xlws.FILTER(Table3[Holiday Name], (DIST!K92 &gt;= Table3[start]) * (DIST!K92&lt;= Table3[end])), ""))</f>
        <v/>
      </c>
      <c r="K92" s="57"/>
      <c r="L92" s="80"/>
      <c r="M92" s="80"/>
      <c r="N92" s="80"/>
      <c r="O92" s="81"/>
      <c r="P92" s="102"/>
      <c r="Q92" s="189"/>
      <c r="R92" s="139"/>
      <c r="S92" s="138"/>
    </row>
    <row r="93" spans="3:19" x14ac:dyDescent="0.35">
      <c r="C93" s="126"/>
      <c r="D93" s="80"/>
      <c r="E93" s="80"/>
      <c r="F93" s="80"/>
      <c r="G93" s="80"/>
      <c r="H93" s="102"/>
      <c r="I93" s="95"/>
      <c r="J93" s="191" t="str" cm="1">
        <f t="array" ref="J93">_xlfn.TEXTJOIN(", ", TRUE, IFERROR(_xlfn._xlws.FILTER(Table3[Holiday Name], (DIST!K93 &gt;= Table3[start]) * (DIST!K93&lt;= Table3[end])), ""))</f>
        <v/>
      </c>
      <c r="K93" s="57"/>
      <c r="L93" s="80"/>
      <c r="M93" s="80"/>
      <c r="N93" s="80"/>
      <c r="O93" s="81"/>
      <c r="P93" s="102"/>
      <c r="Q93" s="189"/>
      <c r="R93" s="139"/>
      <c r="S93" s="138"/>
    </row>
    <row r="94" spans="3:19" x14ac:dyDescent="0.35">
      <c r="C94" s="126"/>
      <c r="D94" s="80"/>
      <c r="E94" s="80"/>
      <c r="F94" s="80"/>
      <c r="G94" s="80"/>
      <c r="H94" s="102"/>
      <c r="I94" s="95"/>
      <c r="J94" s="191" t="str" cm="1">
        <f t="array" ref="J94">_xlfn.TEXTJOIN(", ", TRUE, IFERROR(_xlfn._xlws.FILTER(Table3[Holiday Name], (DIST!K94 &gt;= Table3[start]) * (DIST!K94&lt;= Table3[end])), ""))</f>
        <v/>
      </c>
      <c r="K94" s="57"/>
      <c r="L94" s="80"/>
      <c r="M94" s="80"/>
      <c r="N94" s="80"/>
      <c r="O94" s="81"/>
      <c r="P94" s="102"/>
      <c r="Q94" s="189"/>
      <c r="R94" s="139"/>
      <c r="S94" s="138"/>
    </row>
    <row r="95" spans="3:19" x14ac:dyDescent="0.35">
      <c r="C95" s="126"/>
      <c r="D95" s="80"/>
      <c r="E95" s="80"/>
      <c r="F95" s="80"/>
      <c r="G95" s="80"/>
      <c r="H95" s="102"/>
      <c r="I95" s="95"/>
      <c r="J95" s="191" t="str" cm="1">
        <f t="array" ref="J95">_xlfn.TEXTJOIN(", ", TRUE, IFERROR(_xlfn._xlws.FILTER(Table3[Holiday Name], (DIST!K95 &gt;= Table3[start]) * (DIST!K95&lt;= Table3[end])), ""))</f>
        <v/>
      </c>
      <c r="K95" s="57"/>
      <c r="L95" s="80"/>
      <c r="M95" s="80"/>
      <c r="N95" s="80"/>
      <c r="O95" s="81"/>
      <c r="P95" s="102"/>
      <c r="Q95" s="189"/>
      <c r="R95" s="139"/>
      <c r="S95" s="138"/>
    </row>
    <row r="96" spans="3:19" x14ac:dyDescent="0.35">
      <c r="C96" s="126"/>
      <c r="D96" s="80"/>
      <c r="E96" s="80"/>
      <c r="F96" s="80"/>
      <c r="G96" s="80"/>
      <c r="H96" s="102"/>
      <c r="I96" s="95"/>
      <c r="J96" s="191" t="str" cm="1">
        <f t="array" ref="J96">_xlfn.TEXTJOIN(", ", TRUE, IFERROR(_xlfn._xlws.FILTER(Table3[Holiday Name], (DIST!K96 &gt;= Table3[start]) * (DIST!K96&lt;= Table3[end])), ""))</f>
        <v/>
      </c>
      <c r="K96" s="57"/>
      <c r="L96" s="80"/>
      <c r="M96" s="80"/>
      <c r="N96" s="80"/>
      <c r="O96" s="81"/>
      <c r="P96" s="102"/>
      <c r="Q96" s="189"/>
      <c r="R96" s="139"/>
      <c r="S96" s="138"/>
    </row>
    <row r="97" spans="3:19" x14ac:dyDescent="0.35">
      <c r="C97" s="126"/>
      <c r="D97" s="80"/>
      <c r="E97" s="80"/>
      <c r="F97" s="80"/>
      <c r="G97" s="80"/>
      <c r="H97" s="102"/>
      <c r="I97" s="95"/>
      <c r="J97" s="191" t="str" cm="1">
        <f t="array" ref="J97">_xlfn.TEXTJOIN(", ", TRUE, IFERROR(_xlfn._xlws.FILTER(Table3[Holiday Name], (DIST!K97 &gt;= Table3[start]) * (DIST!K97&lt;= Table3[end])), ""))</f>
        <v/>
      </c>
      <c r="K97" s="57"/>
      <c r="L97" s="80"/>
      <c r="M97" s="80"/>
      <c r="N97" s="80"/>
      <c r="O97" s="81"/>
      <c r="P97" s="102"/>
      <c r="Q97" s="189"/>
      <c r="R97" s="139"/>
      <c r="S97" s="138"/>
    </row>
    <row r="98" spans="3:19" x14ac:dyDescent="0.35">
      <c r="C98" s="126"/>
      <c r="D98" s="80"/>
      <c r="E98" s="80"/>
      <c r="F98" s="80"/>
      <c r="G98" s="80"/>
      <c r="H98" s="102"/>
      <c r="I98" s="95"/>
      <c r="J98" s="191" t="str" cm="1">
        <f t="array" ref="J98">_xlfn.TEXTJOIN(", ", TRUE, IFERROR(_xlfn._xlws.FILTER(Table3[Holiday Name], (DIST!K98 &gt;= Table3[start]) * (DIST!K98&lt;= Table3[end])), ""))</f>
        <v/>
      </c>
      <c r="K98" s="57"/>
      <c r="L98" s="80"/>
      <c r="M98" s="80"/>
      <c r="N98" s="80"/>
      <c r="O98" s="81"/>
      <c r="P98" s="102"/>
      <c r="Q98" s="189"/>
      <c r="R98" s="139"/>
      <c r="S98" s="138"/>
    </row>
    <row r="99" spans="3:19" x14ac:dyDescent="0.35">
      <c r="C99" s="126"/>
      <c r="D99" s="80"/>
      <c r="E99" s="80"/>
      <c r="F99" s="80"/>
      <c r="G99" s="80"/>
      <c r="H99" s="102"/>
      <c r="I99" s="95"/>
      <c r="J99" s="191" t="str" cm="1">
        <f t="array" ref="J99">_xlfn.TEXTJOIN(", ", TRUE, IFERROR(_xlfn._xlws.FILTER(Table3[Holiday Name], (DIST!K99 &gt;= Table3[start]) * (DIST!K99&lt;= Table3[end])), ""))</f>
        <v/>
      </c>
      <c r="K99" s="57"/>
      <c r="L99" s="80"/>
      <c r="M99" s="80"/>
      <c r="N99" s="80"/>
      <c r="O99" s="81"/>
      <c r="P99" s="102"/>
      <c r="Q99" s="189"/>
      <c r="R99" s="139"/>
      <c r="S99" s="138"/>
    </row>
    <row r="100" spans="3:19" x14ac:dyDescent="0.35">
      <c r="C100" s="126"/>
      <c r="D100" s="80"/>
      <c r="E100" s="80"/>
      <c r="F100" s="80"/>
      <c r="G100" s="80"/>
      <c r="H100" s="102"/>
      <c r="I100" s="95"/>
      <c r="J100" s="191" t="str" cm="1">
        <f t="array" ref="J100">_xlfn.TEXTJOIN(", ", TRUE, IFERROR(_xlfn._xlws.FILTER(Table3[Holiday Name], (DIST!K100 &gt;= Table3[start]) * (DIST!K100&lt;= Table3[end])), ""))</f>
        <v/>
      </c>
      <c r="K100" s="57"/>
      <c r="L100" s="80"/>
      <c r="M100" s="80"/>
      <c r="N100" s="80"/>
      <c r="O100" s="81"/>
      <c r="P100" s="102"/>
      <c r="Q100" s="189"/>
      <c r="R100" s="139"/>
      <c r="S100" s="138"/>
    </row>
    <row r="101" spans="3:19" x14ac:dyDescent="0.35">
      <c r="C101" s="126"/>
      <c r="D101" s="80"/>
      <c r="E101" s="80"/>
      <c r="F101" s="80"/>
      <c r="G101" s="80"/>
      <c r="H101" s="102"/>
      <c r="I101" s="95"/>
      <c r="J101" s="191" t="str" cm="1">
        <f t="array" ref="J101">_xlfn.TEXTJOIN(", ", TRUE, IFERROR(_xlfn._xlws.FILTER(Table3[Holiday Name], (DIST!K101 &gt;= Table3[start]) * (DIST!K101&lt;= Table3[end])), ""))</f>
        <v/>
      </c>
      <c r="K101" s="57"/>
      <c r="L101" s="80"/>
      <c r="M101" s="80"/>
      <c r="N101" s="80"/>
      <c r="O101" s="81"/>
      <c r="P101" s="102"/>
      <c r="Q101" s="189"/>
      <c r="R101" s="139"/>
      <c r="S101" s="138"/>
    </row>
    <row r="102" spans="3:19" x14ac:dyDescent="0.35">
      <c r="C102" s="126"/>
      <c r="D102" s="80"/>
      <c r="E102" s="80"/>
      <c r="F102" s="80"/>
      <c r="G102" s="80"/>
      <c r="H102" s="102"/>
      <c r="I102" s="95"/>
      <c r="J102" s="191" t="str" cm="1">
        <f t="array" ref="J102">_xlfn.TEXTJOIN(", ", TRUE, IFERROR(_xlfn._xlws.FILTER(Table3[Holiday Name], (DIST!K102 &gt;= Table3[start]) * (DIST!K102&lt;= Table3[end])), ""))</f>
        <v/>
      </c>
      <c r="K102" s="57"/>
      <c r="L102" s="80"/>
      <c r="M102" s="80"/>
      <c r="N102" s="80"/>
      <c r="O102" s="81"/>
      <c r="P102" s="102"/>
      <c r="Q102" s="189"/>
      <c r="R102" s="139"/>
      <c r="S102" s="138"/>
    </row>
    <row r="103" spans="3:19" x14ac:dyDescent="0.35">
      <c r="C103" s="126"/>
      <c r="D103" s="80"/>
      <c r="E103" s="80"/>
      <c r="F103" s="80"/>
      <c r="G103" s="80"/>
      <c r="H103" s="102"/>
      <c r="I103" s="95"/>
      <c r="J103" s="191" t="str" cm="1">
        <f t="array" ref="J103">_xlfn.TEXTJOIN(", ", TRUE, IFERROR(_xlfn._xlws.FILTER(Table3[Holiday Name], (DIST!K103 &gt;= Table3[start]) * (DIST!K103&lt;= Table3[end])), ""))</f>
        <v/>
      </c>
      <c r="K103" s="57"/>
      <c r="L103" s="80"/>
      <c r="M103" s="80"/>
      <c r="N103" s="80"/>
      <c r="O103" s="81"/>
      <c r="P103" s="102"/>
      <c r="Q103" s="189"/>
      <c r="R103" s="139"/>
      <c r="S103" s="138"/>
    </row>
    <row r="104" spans="3:19" x14ac:dyDescent="0.35">
      <c r="C104" s="126"/>
      <c r="D104" s="80"/>
      <c r="E104" s="80"/>
      <c r="F104" s="80"/>
      <c r="G104" s="80"/>
      <c r="H104" s="102"/>
      <c r="I104" s="95"/>
      <c r="J104" s="191" t="str" cm="1">
        <f t="array" ref="J104">_xlfn.TEXTJOIN(", ", TRUE, IFERROR(_xlfn._xlws.FILTER(Table3[Holiday Name], (DIST!K104 &gt;= Table3[start]) * (DIST!K104&lt;= Table3[end])), ""))</f>
        <v/>
      </c>
      <c r="K104" s="57"/>
      <c r="L104" s="80"/>
      <c r="M104" s="80"/>
      <c r="N104" s="80"/>
      <c r="O104" s="81"/>
      <c r="P104" s="102"/>
      <c r="Q104" s="189"/>
      <c r="R104" s="139"/>
      <c r="S104" s="138"/>
    </row>
    <row r="105" spans="3:19" x14ac:dyDescent="0.35">
      <c r="C105" s="126"/>
      <c r="D105" s="80"/>
      <c r="E105" s="80"/>
      <c r="F105" s="80"/>
      <c r="G105" s="80"/>
      <c r="H105" s="102"/>
      <c r="I105" s="95"/>
      <c r="J105" s="191" t="str" cm="1">
        <f t="array" ref="J105">_xlfn.TEXTJOIN(", ", TRUE, IFERROR(_xlfn._xlws.FILTER(Table3[Holiday Name], (DIST!K105 &gt;= Table3[start]) * (DIST!K105&lt;= Table3[end])), ""))</f>
        <v/>
      </c>
      <c r="K105" s="57"/>
      <c r="L105" s="80"/>
      <c r="M105" s="80"/>
      <c r="N105" s="80"/>
      <c r="O105" s="81"/>
      <c r="P105" s="102"/>
      <c r="Q105" s="189"/>
      <c r="R105" s="139"/>
      <c r="S105" s="138"/>
    </row>
    <row r="106" spans="3:19" x14ac:dyDescent="0.35">
      <c r="C106" s="126"/>
      <c r="D106" s="80"/>
      <c r="E106" s="80"/>
      <c r="F106" s="80"/>
      <c r="G106" s="80"/>
      <c r="H106" s="102"/>
      <c r="I106" s="95"/>
      <c r="J106" s="191" t="str" cm="1">
        <f t="array" ref="J106">_xlfn.TEXTJOIN(", ", TRUE, IFERROR(_xlfn._xlws.FILTER(Table3[Holiday Name], (DIST!K106 &gt;= Table3[start]) * (DIST!K106&lt;= Table3[end])), ""))</f>
        <v/>
      </c>
      <c r="K106" s="57"/>
      <c r="L106" s="80"/>
      <c r="M106" s="80"/>
      <c r="N106" s="80"/>
      <c r="O106" s="81"/>
      <c r="P106" s="102"/>
      <c r="Q106" s="189"/>
      <c r="R106" s="139"/>
      <c r="S106" s="138"/>
    </row>
    <row r="107" spans="3:19" x14ac:dyDescent="0.35">
      <c r="C107" s="126"/>
      <c r="D107" s="80"/>
      <c r="E107" s="80"/>
      <c r="F107" s="80"/>
      <c r="G107" s="80"/>
      <c r="H107" s="102"/>
      <c r="I107" s="95"/>
      <c r="J107" s="191" t="str" cm="1">
        <f t="array" ref="J107">_xlfn.TEXTJOIN(", ", TRUE, IFERROR(_xlfn._xlws.FILTER(Table3[Holiday Name], (DIST!K107 &gt;= Table3[start]) * (DIST!K107&lt;= Table3[end])), ""))</f>
        <v/>
      </c>
      <c r="K107" s="57"/>
      <c r="L107" s="80"/>
      <c r="M107" s="80"/>
      <c r="N107" s="80"/>
      <c r="O107" s="81"/>
      <c r="P107" s="102"/>
      <c r="Q107" s="189"/>
      <c r="R107" s="139"/>
      <c r="S107" s="138"/>
    </row>
    <row r="108" spans="3:19" x14ac:dyDescent="0.35">
      <c r="C108" s="126"/>
      <c r="D108" s="80"/>
      <c r="E108" s="80"/>
      <c r="F108" s="80"/>
      <c r="G108" s="80"/>
      <c r="H108" s="102"/>
      <c r="I108" s="95"/>
      <c r="J108" s="191" t="str" cm="1">
        <f t="array" ref="J108">_xlfn.TEXTJOIN(", ", TRUE, IFERROR(_xlfn._xlws.FILTER(Table3[Holiday Name], (DIST!K108 &gt;= Table3[start]) * (DIST!K108&lt;= Table3[end])), ""))</f>
        <v/>
      </c>
      <c r="K108" s="57"/>
      <c r="L108" s="80"/>
      <c r="M108" s="80"/>
      <c r="N108" s="80"/>
      <c r="O108" s="81"/>
      <c r="P108" s="102"/>
      <c r="Q108" s="189"/>
      <c r="R108" s="139"/>
      <c r="S108" s="138"/>
    </row>
    <row r="109" spans="3:19" x14ac:dyDescent="0.35">
      <c r="C109" s="126"/>
      <c r="D109" s="80"/>
      <c r="E109" s="80"/>
      <c r="F109" s="80"/>
      <c r="G109" s="80"/>
      <c r="H109" s="102"/>
      <c r="I109" s="95"/>
      <c r="J109" s="191" t="str" cm="1">
        <f t="array" ref="J109">_xlfn.TEXTJOIN(", ", TRUE, IFERROR(_xlfn._xlws.FILTER(Table3[Holiday Name], (DIST!K109 &gt;= Table3[start]) * (DIST!K109&lt;= Table3[end])), ""))</f>
        <v/>
      </c>
      <c r="K109" s="57"/>
      <c r="L109" s="80"/>
      <c r="M109" s="80"/>
      <c r="N109" s="80"/>
      <c r="O109" s="81"/>
      <c r="P109" s="102"/>
      <c r="Q109" s="189"/>
      <c r="R109" s="139"/>
      <c r="S109" s="138"/>
    </row>
    <row r="110" spans="3:19" x14ac:dyDescent="0.35">
      <c r="C110" s="126"/>
      <c r="D110" s="80"/>
      <c r="E110" s="80"/>
      <c r="F110" s="80"/>
      <c r="G110" s="80"/>
      <c r="H110" s="102"/>
      <c r="I110" s="95"/>
      <c r="J110" s="191" t="str" cm="1">
        <f t="array" ref="J110">_xlfn.TEXTJOIN(", ", TRUE, IFERROR(_xlfn._xlws.FILTER(Table3[Holiday Name], (DIST!K110 &gt;= Table3[start]) * (DIST!K110&lt;= Table3[end])), ""))</f>
        <v/>
      </c>
      <c r="K110" s="57"/>
      <c r="L110" s="80"/>
      <c r="M110" s="80"/>
      <c r="N110" s="80"/>
      <c r="O110" s="81"/>
      <c r="P110" s="102"/>
      <c r="Q110" s="189"/>
      <c r="R110" s="139"/>
      <c r="S110" s="138"/>
    </row>
    <row r="111" spans="3:19" x14ac:dyDescent="0.35">
      <c r="C111" s="126"/>
      <c r="D111" s="80"/>
      <c r="E111" s="80"/>
      <c r="F111" s="80"/>
      <c r="G111" s="80"/>
      <c r="H111" s="102"/>
      <c r="I111" s="95"/>
      <c r="J111" s="191" t="str" cm="1">
        <f t="array" ref="J111">_xlfn.TEXTJOIN(", ", TRUE, IFERROR(_xlfn._xlws.FILTER(Table3[Holiday Name], (DIST!K111 &gt;= Table3[start]) * (DIST!K111&lt;= Table3[end])), ""))</f>
        <v/>
      </c>
      <c r="K111" s="57"/>
      <c r="L111" s="80"/>
      <c r="M111" s="80"/>
      <c r="N111" s="80"/>
      <c r="O111" s="81"/>
      <c r="P111" s="102"/>
      <c r="Q111" s="189"/>
      <c r="R111" s="139"/>
      <c r="S111" s="138"/>
    </row>
    <row r="112" spans="3:19" x14ac:dyDescent="0.35">
      <c r="C112" s="126"/>
      <c r="D112" s="80"/>
      <c r="E112" s="80"/>
      <c r="F112" s="80"/>
      <c r="G112" s="80"/>
      <c r="H112" s="102"/>
      <c r="I112" s="95"/>
      <c r="J112" s="191" t="str" cm="1">
        <f t="array" ref="J112">_xlfn.TEXTJOIN(", ", TRUE, IFERROR(_xlfn._xlws.FILTER(Table3[Holiday Name], (DIST!K112 &gt;= Table3[start]) * (DIST!K112&lt;= Table3[end])), ""))</f>
        <v/>
      </c>
      <c r="K112" s="57"/>
      <c r="L112" s="80"/>
      <c r="M112" s="80"/>
      <c r="N112" s="80"/>
      <c r="O112" s="81"/>
      <c r="P112" s="102"/>
      <c r="Q112" s="189"/>
      <c r="R112" s="139"/>
      <c r="S112" s="138"/>
    </row>
    <row r="113" spans="3:19" x14ac:dyDescent="0.35">
      <c r="C113" s="126"/>
      <c r="D113" s="80"/>
      <c r="E113" s="80"/>
      <c r="F113" s="80"/>
      <c r="G113" s="80"/>
      <c r="H113" s="102"/>
      <c r="I113" s="95"/>
      <c r="J113" s="191" t="str" cm="1">
        <f t="array" ref="J113">_xlfn.TEXTJOIN(", ", TRUE, IFERROR(_xlfn._xlws.FILTER(Table3[Holiday Name], (DIST!K113 &gt;= Table3[start]) * (DIST!K113&lt;= Table3[end])), ""))</f>
        <v/>
      </c>
      <c r="K113" s="57"/>
      <c r="L113" s="80"/>
      <c r="M113" s="80"/>
      <c r="N113" s="80"/>
      <c r="O113" s="81"/>
      <c r="P113" s="102"/>
      <c r="Q113" s="189"/>
      <c r="R113" s="139"/>
      <c r="S113" s="138"/>
    </row>
    <row r="114" spans="3:19" x14ac:dyDescent="0.35">
      <c r="C114" s="126"/>
      <c r="D114" s="80"/>
      <c r="E114" s="80"/>
      <c r="F114" s="80"/>
      <c r="G114" s="80"/>
      <c r="H114" s="102"/>
      <c r="I114" s="95"/>
      <c r="J114" s="191" t="str" cm="1">
        <f t="array" ref="J114">_xlfn.TEXTJOIN(", ", TRUE, IFERROR(_xlfn._xlws.FILTER(Table3[Holiday Name], (DIST!K114 &gt;= Table3[start]) * (DIST!K114&lt;= Table3[end])), ""))</f>
        <v/>
      </c>
      <c r="K114" s="57"/>
      <c r="L114" s="80"/>
      <c r="M114" s="80"/>
      <c r="N114" s="80"/>
      <c r="O114" s="81"/>
      <c r="P114" s="102"/>
      <c r="Q114" s="189"/>
      <c r="R114" s="139"/>
      <c r="S114" s="138"/>
    </row>
    <row r="115" spans="3:19" x14ac:dyDescent="0.35">
      <c r="C115" s="126"/>
      <c r="D115" s="80"/>
      <c r="E115" s="80"/>
      <c r="F115" s="80"/>
      <c r="G115" s="80"/>
      <c r="H115" s="102"/>
      <c r="I115" s="95"/>
      <c r="J115" s="191" t="str" cm="1">
        <f t="array" ref="J115">_xlfn.TEXTJOIN(", ", TRUE, IFERROR(_xlfn._xlws.FILTER(Table3[Holiday Name], (DIST!K115 &gt;= Table3[start]) * (DIST!K115&lt;= Table3[end])), ""))</f>
        <v/>
      </c>
      <c r="K115" s="57"/>
      <c r="L115" s="80"/>
      <c r="M115" s="80"/>
      <c r="N115" s="80"/>
      <c r="O115" s="81"/>
      <c r="P115" s="102"/>
      <c r="Q115" s="189"/>
      <c r="R115" s="139"/>
      <c r="S115" s="138"/>
    </row>
    <row r="116" spans="3:19" x14ac:dyDescent="0.35">
      <c r="C116" s="126"/>
      <c r="D116" s="80"/>
      <c r="E116" s="80"/>
      <c r="F116" s="80"/>
      <c r="G116" s="80"/>
      <c r="H116" s="102"/>
      <c r="I116" s="95"/>
      <c r="J116" s="191" t="str" cm="1">
        <f t="array" ref="J116">_xlfn.TEXTJOIN(", ", TRUE, IFERROR(_xlfn._xlws.FILTER(Table3[Holiday Name], (DIST!K116 &gt;= Table3[start]) * (DIST!K116&lt;= Table3[end])), ""))</f>
        <v/>
      </c>
      <c r="K116" s="57"/>
      <c r="L116" s="80"/>
      <c r="M116" s="80"/>
      <c r="N116" s="80"/>
      <c r="O116" s="81"/>
      <c r="P116" s="102"/>
      <c r="Q116" s="189"/>
      <c r="R116" s="139"/>
      <c r="S116" s="138"/>
    </row>
    <row r="117" spans="3:19" x14ac:dyDescent="0.35">
      <c r="C117" s="126"/>
      <c r="D117" s="80"/>
      <c r="E117" s="80"/>
      <c r="F117" s="80"/>
      <c r="G117" s="80"/>
      <c r="H117" s="102"/>
      <c r="I117" s="95"/>
      <c r="J117" s="191" t="str" cm="1">
        <f t="array" ref="J117">_xlfn.TEXTJOIN(", ", TRUE, IFERROR(_xlfn._xlws.FILTER(Table3[Holiday Name], (DIST!K117 &gt;= Table3[start]) * (DIST!K117&lt;= Table3[end])), ""))</f>
        <v/>
      </c>
      <c r="K117" s="57"/>
      <c r="L117" s="80"/>
      <c r="M117" s="80"/>
      <c r="N117" s="80"/>
      <c r="O117" s="81"/>
      <c r="P117" s="102"/>
      <c r="Q117" s="189"/>
      <c r="R117" s="139"/>
      <c r="S117" s="138"/>
    </row>
    <row r="118" spans="3:19" x14ac:dyDescent="0.35">
      <c r="C118" s="126"/>
      <c r="D118" s="80"/>
      <c r="E118" s="80"/>
      <c r="F118" s="80"/>
      <c r="G118" s="80"/>
      <c r="H118" s="102"/>
      <c r="I118" s="95"/>
      <c r="J118" s="191" t="str" cm="1">
        <f t="array" ref="J118">_xlfn.TEXTJOIN(", ", TRUE, IFERROR(_xlfn._xlws.FILTER(Table3[Holiday Name], (DIST!K118 &gt;= Table3[start]) * (DIST!K118&lt;= Table3[end])), ""))</f>
        <v/>
      </c>
      <c r="K118" s="57"/>
      <c r="L118" s="80"/>
      <c r="M118" s="80"/>
      <c r="N118" s="80"/>
      <c r="O118" s="81"/>
      <c r="P118" s="102"/>
      <c r="Q118" s="189"/>
      <c r="R118" s="139"/>
      <c r="S118" s="138"/>
    </row>
    <row r="119" spans="3:19" x14ac:dyDescent="0.35">
      <c r="C119" s="126"/>
      <c r="D119" s="80"/>
      <c r="E119" s="80"/>
      <c r="F119" s="80"/>
      <c r="G119" s="80"/>
      <c r="H119" s="102"/>
      <c r="I119" s="95"/>
      <c r="J119" s="191" t="str" cm="1">
        <f t="array" ref="J119">_xlfn.TEXTJOIN(", ", TRUE, IFERROR(_xlfn._xlws.FILTER(Table3[Holiday Name], (DIST!K119 &gt;= Table3[start]) * (DIST!K119&lt;= Table3[end])), ""))</f>
        <v/>
      </c>
      <c r="K119" s="57"/>
      <c r="L119" s="80"/>
      <c r="M119" s="80"/>
      <c r="N119" s="80"/>
      <c r="O119" s="81"/>
      <c r="P119" s="102"/>
      <c r="Q119" s="189"/>
      <c r="R119" s="139"/>
      <c r="S119" s="138"/>
    </row>
    <row r="120" spans="3:19" x14ac:dyDescent="0.35">
      <c r="C120" s="126"/>
      <c r="D120" s="80"/>
      <c r="E120" s="80"/>
      <c r="F120" s="80"/>
      <c r="G120" s="80"/>
      <c r="H120" s="102"/>
      <c r="I120" s="95"/>
      <c r="J120" s="191" t="str" cm="1">
        <f t="array" ref="J120">_xlfn.TEXTJOIN(", ", TRUE, IFERROR(_xlfn._xlws.FILTER(Table3[Holiday Name], (DIST!K120 &gt;= Table3[start]) * (DIST!K120&lt;= Table3[end])), ""))</f>
        <v/>
      </c>
      <c r="K120" s="57"/>
      <c r="L120" s="80"/>
      <c r="M120" s="80"/>
      <c r="N120" s="80"/>
      <c r="O120" s="81"/>
      <c r="P120" s="102"/>
      <c r="Q120" s="189"/>
      <c r="R120" s="139"/>
      <c r="S120" s="138"/>
    </row>
    <row r="121" spans="3:19" x14ac:dyDescent="0.35">
      <c r="C121" s="126"/>
      <c r="D121" s="80"/>
      <c r="E121" s="80"/>
      <c r="F121" s="80"/>
      <c r="G121" s="80"/>
      <c r="H121" s="102"/>
      <c r="I121" s="95"/>
      <c r="J121" s="191" t="str" cm="1">
        <f t="array" ref="J121">_xlfn.TEXTJOIN(", ", TRUE, IFERROR(_xlfn._xlws.FILTER(Table3[Holiday Name], (DIST!K121 &gt;= Table3[start]) * (DIST!K121&lt;= Table3[end])), ""))</f>
        <v/>
      </c>
      <c r="K121" s="57"/>
      <c r="L121" s="80"/>
      <c r="M121" s="80"/>
      <c r="N121" s="80"/>
      <c r="O121" s="81"/>
      <c r="P121" s="102"/>
      <c r="Q121" s="189"/>
      <c r="R121" s="139"/>
      <c r="S121" s="138"/>
    </row>
    <row r="122" spans="3:19" x14ac:dyDescent="0.35">
      <c r="C122" s="126"/>
      <c r="D122" s="80"/>
      <c r="E122" s="80"/>
      <c r="F122" s="80"/>
      <c r="G122" s="80"/>
      <c r="H122" s="102"/>
      <c r="I122" s="95"/>
      <c r="J122" s="191" t="str" cm="1">
        <f t="array" ref="J122">_xlfn.TEXTJOIN(", ", TRUE, IFERROR(_xlfn._xlws.FILTER(Table3[Holiday Name], (DIST!K122 &gt;= Table3[start]) * (DIST!K122&lt;= Table3[end])), ""))</f>
        <v/>
      </c>
      <c r="K122" s="57"/>
      <c r="L122" s="80"/>
      <c r="M122" s="80"/>
      <c r="N122" s="80"/>
      <c r="O122" s="81"/>
      <c r="P122" s="102"/>
      <c r="Q122" s="189"/>
      <c r="R122" s="139"/>
      <c r="S122" s="138"/>
    </row>
    <row r="123" spans="3:19" x14ac:dyDescent="0.35">
      <c r="C123" s="126"/>
      <c r="D123" s="80"/>
      <c r="E123" s="80"/>
      <c r="F123" s="80"/>
      <c r="G123" s="80"/>
      <c r="H123" s="102"/>
      <c r="I123" s="95"/>
      <c r="J123" s="191" t="str" cm="1">
        <f t="array" ref="J123">_xlfn.TEXTJOIN(", ", TRUE, IFERROR(_xlfn._xlws.FILTER(Table3[Holiday Name], (DIST!K123 &gt;= Table3[start]) * (DIST!K123&lt;= Table3[end])), ""))</f>
        <v/>
      </c>
      <c r="K123" s="57"/>
      <c r="L123" s="80"/>
      <c r="M123" s="80"/>
      <c r="N123" s="80"/>
      <c r="O123" s="81"/>
      <c r="P123" s="102"/>
      <c r="Q123" s="189"/>
      <c r="R123" s="139"/>
      <c r="S123" s="138"/>
    </row>
    <row r="124" spans="3:19" x14ac:dyDescent="0.35">
      <c r="C124" s="126"/>
      <c r="D124" s="80"/>
      <c r="E124" s="80"/>
      <c r="F124" s="80"/>
      <c r="G124" s="80"/>
      <c r="H124" s="102"/>
      <c r="I124" s="95"/>
      <c r="J124" s="191" t="str" cm="1">
        <f t="array" ref="J124">_xlfn.TEXTJOIN(", ", TRUE, IFERROR(_xlfn._xlws.FILTER(Table3[Holiday Name], (DIST!K124 &gt;= Table3[start]) * (DIST!K124&lt;= Table3[end])), ""))</f>
        <v/>
      </c>
      <c r="K124" s="57"/>
      <c r="L124" s="80"/>
      <c r="M124" s="80"/>
      <c r="N124" s="80"/>
      <c r="O124" s="81"/>
      <c r="P124" s="102"/>
      <c r="Q124" s="189"/>
      <c r="R124" s="139"/>
      <c r="S124" s="138"/>
    </row>
    <row r="125" spans="3:19" x14ac:dyDescent="0.35">
      <c r="C125" s="126"/>
      <c r="D125" s="80"/>
      <c r="E125" s="80"/>
      <c r="F125" s="80"/>
      <c r="G125" s="80"/>
      <c r="H125" s="102"/>
      <c r="I125" s="95"/>
      <c r="J125" s="191" t="str" cm="1">
        <f t="array" ref="J125">_xlfn.TEXTJOIN(", ", TRUE, IFERROR(_xlfn._xlws.FILTER(Table3[Holiday Name], (DIST!K125 &gt;= Table3[start]) * (DIST!K125&lt;= Table3[end])), ""))</f>
        <v/>
      </c>
      <c r="K125" s="57"/>
      <c r="L125" s="80"/>
      <c r="M125" s="80"/>
      <c r="N125" s="80"/>
      <c r="O125" s="81"/>
      <c r="P125" s="102"/>
      <c r="Q125" s="189"/>
      <c r="R125" s="139"/>
      <c r="S125" s="138"/>
    </row>
    <row r="126" spans="3:19" x14ac:dyDescent="0.35">
      <c r="C126" s="126"/>
      <c r="D126" s="80"/>
      <c r="E126" s="80"/>
      <c r="F126" s="80"/>
      <c r="G126" s="80"/>
      <c r="H126" s="102"/>
      <c r="I126" s="95"/>
      <c r="J126" s="191" t="str" cm="1">
        <f t="array" ref="J126">_xlfn.TEXTJOIN(", ", TRUE, IFERROR(_xlfn._xlws.FILTER(Table3[Holiday Name], (DIST!K126 &gt;= Table3[start]) * (DIST!K126&lt;= Table3[end])), ""))</f>
        <v/>
      </c>
      <c r="K126" s="57"/>
      <c r="L126" s="80"/>
      <c r="M126" s="80"/>
      <c r="N126" s="80"/>
      <c r="O126" s="81"/>
      <c r="P126" s="102"/>
      <c r="Q126" s="189"/>
      <c r="R126" s="139"/>
      <c r="S126" s="138"/>
    </row>
    <row r="127" spans="3:19" x14ac:dyDescent="0.35">
      <c r="C127" s="126"/>
      <c r="D127" s="80"/>
      <c r="E127" s="80"/>
      <c r="F127" s="80"/>
      <c r="G127" s="80"/>
      <c r="H127" s="102"/>
      <c r="I127" s="95"/>
      <c r="J127" s="191" t="str" cm="1">
        <f t="array" ref="J127">_xlfn.TEXTJOIN(", ", TRUE, IFERROR(_xlfn._xlws.FILTER(Table3[Holiday Name], (DIST!K127 &gt;= Table3[start]) * (DIST!K127&lt;= Table3[end])), ""))</f>
        <v/>
      </c>
      <c r="K127" s="57"/>
      <c r="L127" s="80"/>
      <c r="M127" s="80"/>
      <c r="N127" s="80"/>
      <c r="O127" s="81"/>
      <c r="P127" s="102"/>
      <c r="Q127" s="189"/>
      <c r="R127" s="139"/>
      <c r="S127" s="138"/>
    </row>
    <row r="128" spans="3:19" x14ac:dyDescent="0.35">
      <c r="C128" s="126"/>
      <c r="D128" s="80"/>
      <c r="E128" s="80"/>
      <c r="F128" s="80"/>
      <c r="G128" s="80"/>
      <c r="H128" s="102"/>
      <c r="I128" s="95"/>
      <c r="J128" s="191" t="str" cm="1">
        <f t="array" ref="J128">_xlfn.TEXTJOIN(", ", TRUE, IFERROR(_xlfn._xlws.FILTER(Table3[Holiday Name], (DIST!K128 &gt;= Table3[start]) * (DIST!K128&lt;= Table3[end])), ""))</f>
        <v/>
      </c>
      <c r="K128" s="57"/>
      <c r="L128" s="80"/>
      <c r="M128" s="80"/>
      <c r="N128" s="80"/>
      <c r="O128" s="81"/>
      <c r="P128" s="102"/>
      <c r="Q128" s="189"/>
      <c r="R128" s="139"/>
      <c r="S128" s="138"/>
    </row>
    <row r="129" spans="3:19" x14ac:dyDescent="0.35">
      <c r="C129" s="126"/>
      <c r="D129" s="80"/>
      <c r="E129" s="80"/>
      <c r="F129" s="80"/>
      <c r="G129" s="80"/>
      <c r="H129" s="102"/>
      <c r="I129" s="95"/>
      <c r="J129" s="191" t="str" cm="1">
        <f t="array" ref="J129">_xlfn.TEXTJOIN(", ", TRUE, IFERROR(_xlfn._xlws.FILTER(Table3[Holiday Name], (DIST!K129 &gt;= Table3[start]) * (DIST!K129&lt;= Table3[end])), ""))</f>
        <v/>
      </c>
      <c r="K129" s="57"/>
      <c r="L129" s="80"/>
      <c r="M129" s="80"/>
      <c r="N129" s="80"/>
      <c r="O129" s="81"/>
      <c r="P129" s="102"/>
      <c r="Q129" s="189"/>
      <c r="R129" s="139"/>
      <c r="S129" s="138"/>
    </row>
    <row r="130" spans="3:19" x14ac:dyDescent="0.35">
      <c r="C130" s="126"/>
      <c r="D130" s="80"/>
      <c r="E130" s="80"/>
      <c r="F130" s="80"/>
      <c r="G130" s="80"/>
      <c r="H130" s="102"/>
      <c r="I130" s="95"/>
      <c r="J130" s="191" t="str" cm="1">
        <f t="array" ref="J130">_xlfn.TEXTJOIN(", ", TRUE, IFERROR(_xlfn._xlws.FILTER(Table3[Holiday Name], (DIST!K130 &gt;= Table3[start]) * (DIST!K130&lt;= Table3[end])), ""))</f>
        <v/>
      </c>
      <c r="K130" s="57"/>
      <c r="L130" s="80"/>
      <c r="M130" s="80"/>
      <c r="N130" s="80"/>
      <c r="O130" s="81"/>
      <c r="P130" s="102"/>
      <c r="Q130" s="189"/>
      <c r="R130" s="139"/>
      <c r="S130" s="138"/>
    </row>
    <row r="131" spans="3:19" x14ac:dyDescent="0.35">
      <c r="C131" s="126"/>
      <c r="D131" s="80"/>
      <c r="E131" s="80"/>
      <c r="F131" s="80"/>
      <c r="G131" s="80"/>
      <c r="H131" s="102"/>
      <c r="I131" s="95"/>
      <c r="J131" s="191" t="str" cm="1">
        <f t="array" ref="J131">_xlfn.TEXTJOIN(", ", TRUE, IFERROR(_xlfn._xlws.FILTER(Table3[Holiday Name], (DIST!K131 &gt;= Table3[start]) * (DIST!K131&lt;= Table3[end])), ""))</f>
        <v/>
      </c>
      <c r="K131" s="57"/>
      <c r="L131" s="80"/>
      <c r="M131" s="80"/>
      <c r="N131" s="80"/>
      <c r="O131" s="81"/>
      <c r="P131" s="102"/>
      <c r="Q131" s="189"/>
      <c r="R131" s="139"/>
      <c r="S131" s="138"/>
    </row>
    <row r="132" spans="3:19" x14ac:dyDescent="0.35">
      <c r="C132" s="126"/>
      <c r="D132" s="80"/>
      <c r="E132" s="80"/>
      <c r="F132" s="80"/>
      <c r="G132" s="80"/>
      <c r="H132" s="102"/>
      <c r="I132" s="95"/>
      <c r="J132" s="191" t="str" cm="1">
        <f t="array" ref="J132">_xlfn.TEXTJOIN(", ", TRUE, IFERROR(_xlfn._xlws.FILTER(Table3[Holiday Name], (DIST!K132 &gt;= Table3[start]) * (DIST!K132&lt;= Table3[end])), ""))</f>
        <v/>
      </c>
      <c r="K132" s="57"/>
      <c r="L132" s="80"/>
      <c r="M132" s="80"/>
      <c r="N132" s="80"/>
      <c r="O132" s="81"/>
      <c r="P132" s="102"/>
      <c r="Q132" s="189"/>
      <c r="R132" s="139"/>
      <c r="S132" s="138"/>
    </row>
    <row r="133" spans="3:19" x14ac:dyDescent="0.35">
      <c r="C133" s="126"/>
      <c r="D133" s="80"/>
      <c r="E133" s="80"/>
      <c r="F133" s="80"/>
      <c r="G133" s="80"/>
      <c r="H133" s="102"/>
      <c r="I133" s="95"/>
      <c r="J133" s="191" t="str" cm="1">
        <f t="array" ref="J133">_xlfn.TEXTJOIN(", ", TRUE, IFERROR(_xlfn._xlws.FILTER(Table3[Holiday Name], (DIST!K133 &gt;= Table3[start]) * (DIST!K133&lt;= Table3[end])), ""))</f>
        <v/>
      </c>
      <c r="K133" s="57"/>
      <c r="L133" s="80"/>
      <c r="M133" s="80"/>
      <c r="N133" s="80"/>
      <c r="O133" s="81"/>
      <c r="P133" s="102"/>
      <c r="Q133" s="189"/>
      <c r="R133" s="139"/>
      <c r="S133" s="138"/>
    </row>
    <row r="134" spans="3:19" x14ac:dyDescent="0.35">
      <c r="C134" s="126"/>
      <c r="D134" s="80"/>
      <c r="E134" s="80"/>
      <c r="F134" s="80"/>
      <c r="G134" s="80"/>
      <c r="H134" s="102"/>
      <c r="I134" s="95"/>
      <c r="J134" s="191" t="str" cm="1">
        <f t="array" ref="J134">_xlfn.TEXTJOIN(", ", TRUE, IFERROR(_xlfn._xlws.FILTER(Table3[Holiday Name], (DIST!K134 &gt;= Table3[start]) * (DIST!K134&lt;= Table3[end])), ""))</f>
        <v/>
      </c>
      <c r="K134" s="57"/>
      <c r="L134" s="80"/>
      <c r="M134" s="80"/>
      <c r="N134" s="80"/>
      <c r="O134" s="81"/>
      <c r="P134" s="102"/>
      <c r="Q134" s="189"/>
      <c r="R134" s="139"/>
      <c r="S134" s="138"/>
    </row>
    <row r="135" spans="3:19" x14ac:dyDescent="0.35">
      <c r="C135" s="126"/>
      <c r="D135" s="80"/>
      <c r="E135" s="80"/>
      <c r="F135" s="80"/>
      <c r="G135" s="80"/>
      <c r="H135" s="102"/>
      <c r="I135" s="95"/>
      <c r="J135" s="191" t="str" cm="1">
        <f t="array" ref="J135">_xlfn.TEXTJOIN(", ", TRUE, IFERROR(_xlfn._xlws.FILTER(Table3[Holiday Name], (DIST!K135 &gt;= Table3[start]) * (DIST!K135&lt;= Table3[end])), ""))</f>
        <v/>
      </c>
      <c r="K135" s="57"/>
      <c r="L135" s="80"/>
      <c r="M135" s="80"/>
      <c r="N135" s="80"/>
      <c r="O135" s="81"/>
      <c r="P135" s="102"/>
      <c r="Q135" s="189"/>
      <c r="R135" s="139"/>
      <c r="S135" s="138"/>
    </row>
    <row r="136" spans="3:19" x14ac:dyDescent="0.35">
      <c r="C136" s="126"/>
      <c r="D136" s="80"/>
      <c r="E136" s="80"/>
      <c r="F136" s="80"/>
      <c r="G136" s="80"/>
      <c r="H136" s="102"/>
      <c r="I136" s="95"/>
      <c r="J136" s="191" t="str" cm="1">
        <f t="array" ref="J136">_xlfn.TEXTJOIN(", ", TRUE, IFERROR(_xlfn._xlws.FILTER(Table3[Holiday Name], (DIST!K136 &gt;= Table3[start]) * (DIST!K136&lt;= Table3[end])), ""))</f>
        <v/>
      </c>
      <c r="K136" s="57"/>
      <c r="L136" s="80"/>
      <c r="M136" s="80"/>
      <c r="N136" s="80"/>
      <c r="O136" s="81"/>
      <c r="P136" s="102"/>
      <c r="Q136" s="189"/>
      <c r="R136" s="139"/>
      <c r="S136" s="138"/>
    </row>
    <row r="137" spans="3:19" x14ac:dyDescent="0.35">
      <c r="C137" s="126"/>
      <c r="D137" s="80"/>
      <c r="E137" s="80"/>
      <c r="F137" s="80"/>
      <c r="G137" s="80"/>
      <c r="H137" s="102"/>
      <c r="I137" s="95"/>
      <c r="J137" s="191" t="str" cm="1">
        <f t="array" ref="J137">_xlfn.TEXTJOIN(", ", TRUE, IFERROR(_xlfn._xlws.FILTER(Table3[Holiday Name], (DIST!K137 &gt;= Table3[start]) * (DIST!K137&lt;= Table3[end])), ""))</f>
        <v/>
      </c>
      <c r="K137" s="57"/>
      <c r="L137" s="80"/>
      <c r="M137" s="80"/>
      <c r="N137" s="80"/>
      <c r="O137" s="81"/>
      <c r="P137" s="102"/>
      <c r="Q137" s="189"/>
      <c r="R137" s="139"/>
      <c r="S137" s="138"/>
    </row>
    <row r="138" spans="3:19" x14ac:dyDescent="0.35">
      <c r="C138" s="126"/>
      <c r="D138" s="80"/>
      <c r="E138" s="80"/>
      <c r="F138" s="80"/>
      <c r="G138" s="80"/>
      <c r="H138" s="102"/>
      <c r="I138" s="95"/>
      <c r="J138" s="191" t="str" cm="1">
        <f t="array" ref="J138">_xlfn.TEXTJOIN(", ", TRUE, IFERROR(_xlfn._xlws.FILTER(Table3[Holiday Name], (DIST!K138 &gt;= Table3[start]) * (DIST!K138&lt;= Table3[end])), ""))</f>
        <v/>
      </c>
      <c r="K138" s="57"/>
      <c r="L138" s="80"/>
      <c r="M138" s="80"/>
      <c r="N138" s="80"/>
      <c r="O138" s="81"/>
      <c r="P138" s="102"/>
      <c r="Q138" s="189"/>
      <c r="R138" s="139"/>
      <c r="S138" s="138"/>
    </row>
    <row r="139" spans="3:19" x14ac:dyDescent="0.35">
      <c r="C139" s="126"/>
      <c r="D139" s="80"/>
      <c r="E139" s="80"/>
      <c r="F139" s="80"/>
      <c r="G139" s="80"/>
      <c r="H139" s="102"/>
      <c r="I139" s="95"/>
      <c r="J139" s="191" t="str" cm="1">
        <f t="array" ref="J139">_xlfn.TEXTJOIN(", ", TRUE, IFERROR(_xlfn._xlws.FILTER(Table3[Holiday Name], (DIST!K139 &gt;= Table3[start]) * (DIST!K139&lt;= Table3[end])), ""))</f>
        <v/>
      </c>
      <c r="K139" s="57"/>
      <c r="L139" s="80"/>
      <c r="M139" s="80"/>
      <c r="N139" s="80"/>
      <c r="O139" s="81"/>
      <c r="P139" s="102"/>
      <c r="Q139" s="189"/>
      <c r="R139" s="139"/>
      <c r="S139" s="138"/>
    </row>
    <row r="140" spans="3:19" x14ac:dyDescent="0.35">
      <c r="C140" s="126"/>
      <c r="D140" s="80"/>
      <c r="E140" s="80"/>
      <c r="F140" s="80"/>
      <c r="G140" s="80"/>
      <c r="H140" s="102"/>
      <c r="I140" s="95"/>
      <c r="J140" s="191" t="str" cm="1">
        <f t="array" ref="J140">_xlfn.TEXTJOIN(", ", TRUE, IFERROR(_xlfn._xlws.FILTER(Table3[Holiday Name], (DIST!K140 &gt;= Table3[start]) * (DIST!K140&lt;= Table3[end])), ""))</f>
        <v/>
      </c>
      <c r="K140" s="57"/>
      <c r="L140" s="80"/>
      <c r="M140" s="80"/>
      <c r="N140" s="80"/>
      <c r="O140" s="81"/>
      <c r="P140" s="102"/>
      <c r="Q140" s="189"/>
      <c r="R140" s="139"/>
      <c r="S140" s="138"/>
    </row>
    <row r="141" spans="3:19" x14ac:dyDescent="0.35">
      <c r="C141" s="126"/>
      <c r="D141" s="80"/>
      <c r="E141" s="80"/>
      <c r="F141" s="80"/>
      <c r="G141" s="80"/>
      <c r="H141" s="102"/>
      <c r="I141" s="95"/>
      <c r="J141" s="191" t="str" cm="1">
        <f t="array" ref="J141">_xlfn.TEXTJOIN(", ", TRUE, IFERROR(_xlfn._xlws.FILTER(Table3[Holiday Name], (DIST!K141 &gt;= Table3[start]) * (DIST!K141&lt;= Table3[end])), ""))</f>
        <v/>
      </c>
      <c r="K141" s="57"/>
      <c r="L141" s="80"/>
      <c r="M141" s="80"/>
      <c r="N141" s="80"/>
      <c r="O141" s="81"/>
      <c r="P141" s="102"/>
      <c r="Q141" s="189"/>
      <c r="R141" s="139"/>
      <c r="S141" s="138"/>
    </row>
    <row r="142" spans="3:19" x14ac:dyDescent="0.35">
      <c r="C142" s="126"/>
      <c r="D142" s="80"/>
      <c r="E142" s="80"/>
      <c r="F142" s="80"/>
      <c r="G142" s="80"/>
      <c r="H142" s="102"/>
      <c r="I142" s="95"/>
      <c r="J142" s="191" t="str" cm="1">
        <f t="array" ref="J142">_xlfn.TEXTJOIN(", ", TRUE, IFERROR(_xlfn._xlws.FILTER(Table3[Holiday Name], (DIST!K142 &gt;= Table3[start]) * (DIST!K142&lt;= Table3[end])), ""))</f>
        <v/>
      </c>
      <c r="K142" s="57"/>
      <c r="L142" s="80"/>
      <c r="M142" s="80"/>
      <c r="N142" s="80"/>
      <c r="O142" s="81"/>
      <c r="P142" s="102"/>
      <c r="Q142" s="189"/>
      <c r="R142" s="139"/>
      <c r="S142" s="138"/>
    </row>
    <row r="143" spans="3:19" x14ac:dyDescent="0.35">
      <c r="C143" s="126"/>
      <c r="D143" s="80"/>
      <c r="E143" s="80"/>
      <c r="F143" s="80"/>
      <c r="G143" s="80"/>
      <c r="H143" s="102"/>
      <c r="I143" s="95"/>
      <c r="J143" s="191" t="str" cm="1">
        <f t="array" ref="J143">_xlfn.TEXTJOIN(", ", TRUE, IFERROR(_xlfn._xlws.FILTER(Table3[Holiday Name], (DIST!K143 &gt;= Table3[start]) * (DIST!K143&lt;= Table3[end])), ""))</f>
        <v/>
      </c>
      <c r="K143" s="57"/>
      <c r="L143" s="80"/>
      <c r="M143" s="80"/>
      <c r="N143" s="80"/>
      <c r="O143" s="81"/>
      <c r="P143" s="102"/>
      <c r="Q143" s="189"/>
      <c r="R143" s="139"/>
      <c r="S143" s="138"/>
    </row>
    <row r="144" spans="3:19" x14ac:dyDescent="0.35">
      <c r="C144" s="126"/>
      <c r="D144" s="80"/>
      <c r="E144" s="80"/>
      <c r="F144" s="80"/>
      <c r="G144" s="80"/>
      <c r="H144" s="102"/>
      <c r="I144" s="95"/>
      <c r="J144" s="191" t="str" cm="1">
        <f t="array" ref="J144">_xlfn.TEXTJOIN(", ", TRUE, IFERROR(_xlfn._xlws.FILTER(Table3[Holiday Name], (DIST!K144 &gt;= Table3[start]) * (DIST!K144&lt;= Table3[end])), ""))</f>
        <v/>
      </c>
      <c r="K144" s="57"/>
      <c r="L144" s="80"/>
      <c r="M144" s="80"/>
      <c r="N144" s="80"/>
      <c r="O144" s="81"/>
      <c r="P144" s="102"/>
      <c r="Q144" s="189"/>
      <c r="R144" s="139"/>
      <c r="S144" s="138"/>
    </row>
    <row r="145" spans="3:19" x14ac:dyDescent="0.35">
      <c r="C145" s="126"/>
      <c r="D145" s="80"/>
      <c r="E145" s="80"/>
      <c r="F145" s="80"/>
      <c r="G145" s="80"/>
      <c r="H145" s="102"/>
      <c r="I145" s="95"/>
      <c r="J145" s="191" t="str" cm="1">
        <f t="array" ref="J145">_xlfn.TEXTJOIN(", ", TRUE, IFERROR(_xlfn._xlws.FILTER(Table3[Holiday Name], (DIST!K145 &gt;= Table3[start]) * (DIST!K145&lt;= Table3[end])), ""))</f>
        <v/>
      </c>
      <c r="K145" s="57"/>
      <c r="L145" s="80"/>
      <c r="M145" s="80"/>
      <c r="N145" s="80"/>
      <c r="O145" s="81"/>
      <c r="P145" s="102"/>
      <c r="Q145" s="189"/>
      <c r="R145" s="139"/>
      <c r="S145" s="138"/>
    </row>
    <row r="146" spans="3:19" x14ac:dyDescent="0.35">
      <c r="C146" s="126"/>
      <c r="D146" s="80"/>
      <c r="E146" s="80"/>
      <c r="F146" s="80"/>
      <c r="G146" s="80"/>
      <c r="H146" s="102"/>
      <c r="I146" s="95"/>
      <c r="J146" s="191" t="str" cm="1">
        <f t="array" ref="J146">_xlfn.TEXTJOIN(", ", TRUE, IFERROR(_xlfn._xlws.FILTER(Table3[Holiday Name], (DIST!K146 &gt;= Table3[start]) * (DIST!K146&lt;= Table3[end])), ""))</f>
        <v/>
      </c>
      <c r="K146" s="57"/>
      <c r="L146" s="80"/>
      <c r="M146" s="80"/>
      <c r="N146" s="80"/>
      <c r="O146" s="81"/>
      <c r="P146" s="102"/>
      <c r="Q146" s="189"/>
      <c r="R146" s="139"/>
      <c r="S146" s="138"/>
    </row>
    <row r="147" spans="3:19" x14ac:dyDescent="0.35">
      <c r="C147" s="126"/>
      <c r="D147" s="80"/>
      <c r="E147" s="80"/>
      <c r="F147" s="80"/>
      <c r="G147" s="80"/>
      <c r="H147" s="102"/>
      <c r="I147" s="95"/>
      <c r="J147" s="191" t="str" cm="1">
        <f t="array" ref="J147">_xlfn.TEXTJOIN(", ", TRUE, IFERROR(_xlfn._xlws.FILTER(Table3[Holiday Name], (DIST!K147 &gt;= Table3[start]) * (DIST!K147&lt;= Table3[end])), ""))</f>
        <v/>
      </c>
      <c r="K147" s="57"/>
      <c r="L147" s="80"/>
      <c r="M147" s="80"/>
      <c r="N147" s="80"/>
      <c r="O147" s="81"/>
      <c r="P147" s="102"/>
      <c r="Q147" s="190"/>
      <c r="R147" s="139"/>
      <c r="S147" s="138"/>
    </row>
    <row r="148" spans="3:19" x14ac:dyDescent="0.35">
      <c r="C148" s="126"/>
      <c r="D148" s="80"/>
      <c r="E148" s="80"/>
      <c r="F148" s="80"/>
      <c r="G148" s="80"/>
      <c r="H148" s="102"/>
      <c r="I148" s="95"/>
      <c r="J148" s="191" t="str" cm="1">
        <f t="array" ref="J148">_xlfn.TEXTJOIN(", ", TRUE, IFERROR(_xlfn._xlws.FILTER(Table3[Holiday Name], (DIST!K148 &gt;= Table3[start]) * (DIST!K148&lt;= Table3[end])), ""))</f>
        <v/>
      </c>
      <c r="K148" s="57"/>
      <c r="L148" s="80"/>
      <c r="M148" s="80"/>
      <c r="N148" s="80"/>
      <c r="O148" s="81"/>
      <c r="P148" s="102"/>
      <c r="Q148" s="190"/>
      <c r="R148" s="139"/>
      <c r="S148" s="138"/>
    </row>
    <row r="149" spans="3:19" x14ac:dyDescent="0.35">
      <c r="C149" s="126"/>
      <c r="D149" s="80"/>
      <c r="E149" s="80"/>
      <c r="F149" s="80"/>
      <c r="G149" s="80"/>
      <c r="H149" s="102"/>
      <c r="I149" s="95"/>
      <c r="J149" s="191" t="str" cm="1">
        <f t="array" ref="J149">_xlfn.TEXTJOIN(", ", TRUE, IFERROR(_xlfn._xlws.FILTER(Table3[Holiday Name], (DIST!K149 &gt;= Table3[start]) * (DIST!K149&lt;= Table3[end])), ""))</f>
        <v/>
      </c>
      <c r="K149" s="57"/>
      <c r="L149" s="80"/>
      <c r="M149" s="80"/>
      <c r="N149" s="80"/>
      <c r="O149" s="81"/>
      <c r="P149" s="102"/>
      <c r="Q149" s="190"/>
      <c r="R149" s="139"/>
      <c r="S149" s="138"/>
    </row>
    <row r="150" spans="3:19" x14ac:dyDescent="0.35">
      <c r="C150" s="126"/>
      <c r="D150" s="80"/>
      <c r="E150" s="80"/>
      <c r="F150" s="80"/>
      <c r="G150" s="80"/>
      <c r="H150" s="102"/>
      <c r="I150" s="95"/>
      <c r="J150" s="191" t="str" cm="1">
        <f t="array" ref="J150">_xlfn.TEXTJOIN(", ", TRUE, IFERROR(_xlfn._xlws.FILTER(Table3[Holiday Name], (DIST!K150 &gt;= Table3[start]) * (DIST!K150&lt;= Table3[end])), ""))</f>
        <v/>
      </c>
      <c r="K150" s="57"/>
      <c r="L150" s="80"/>
      <c r="M150" s="80"/>
      <c r="N150" s="80"/>
      <c r="O150" s="81"/>
      <c r="P150" s="102"/>
      <c r="Q150" s="190"/>
      <c r="R150" s="139"/>
      <c r="S150" s="138"/>
    </row>
    <row r="151" spans="3:19" x14ac:dyDescent="0.35">
      <c r="C151" s="126"/>
      <c r="D151" s="80"/>
      <c r="E151" s="80"/>
      <c r="F151" s="80"/>
      <c r="G151" s="80"/>
      <c r="H151" s="102"/>
      <c r="I151" s="95"/>
      <c r="J151" s="191" t="str" cm="1">
        <f t="array" ref="J151">_xlfn.TEXTJOIN(", ", TRUE, IFERROR(_xlfn._xlws.FILTER(Table3[Holiday Name], (DIST!K151 &gt;= Table3[start]) * (DIST!K151&lt;= Table3[end])), ""))</f>
        <v/>
      </c>
      <c r="K151" s="57"/>
      <c r="L151" s="80"/>
      <c r="M151" s="80"/>
      <c r="N151" s="80"/>
      <c r="O151" s="81"/>
      <c r="P151" s="102"/>
      <c r="Q151" s="190"/>
      <c r="R151" s="139"/>
      <c r="S151" s="138"/>
    </row>
    <row r="152" spans="3:19" x14ac:dyDescent="0.35">
      <c r="C152" s="126"/>
      <c r="D152" s="80"/>
      <c r="E152" s="80"/>
      <c r="F152" s="80"/>
      <c r="G152" s="80"/>
      <c r="H152" s="102"/>
      <c r="I152" s="95"/>
      <c r="J152" s="191" t="str" cm="1">
        <f t="array" ref="J152">_xlfn.TEXTJOIN(", ", TRUE, IFERROR(_xlfn._xlws.FILTER(Table3[Holiday Name], (DIST!K152 &gt;= Table3[start]) * (DIST!K152&lt;= Table3[end])), ""))</f>
        <v/>
      </c>
      <c r="K152" s="57"/>
      <c r="L152" s="80"/>
      <c r="M152" s="80"/>
      <c r="N152" s="80"/>
      <c r="O152" s="81"/>
      <c r="P152" s="102"/>
      <c r="Q152" s="190"/>
      <c r="R152" s="139"/>
      <c r="S152" s="138"/>
    </row>
    <row r="153" spans="3:19" x14ac:dyDescent="0.35">
      <c r="C153" s="126"/>
      <c r="D153" s="80"/>
      <c r="E153" s="80"/>
      <c r="F153" s="80"/>
      <c r="G153" s="80"/>
      <c r="H153" s="102"/>
      <c r="I153" s="95"/>
      <c r="J153" s="191" t="str" cm="1">
        <f t="array" ref="J153">_xlfn.TEXTJOIN(", ", TRUE, IFERROR(_xlfn._xlws.FILTER(Table3[Holiday Name], (DIST!K153 &gt;= Table3[start]) * (DIST!K153&lt;= Table3[end])), ""))</f>
        <v/>
      </c>
      <c r="K153" s="57"/>
      <c r="L153" s="80"/>
      <c r="M153" s="80"/>
      <c r="N153" s="80"/>
      <c r="O153" s="81"/>
      <c r="P153" s="102"/>
      <c r="Q153" s="190"/>
      <c r="R153" s="139"/>
      <c r="S153" s="138"/>
    </row>
    <row r="154" spans="3:19" x14ac:dyDescent="0.35">
      <c r="C154" s="126"/>
      <c r="D154" s="80"/>
      <c r="E154" s="80"/>
      <c r="F154" s="80"/>
      <c r="G154" s="80"/>
      <c r="H154" s="102"/>
      <c r="I154" s="95"/>
      <c r="J154" s="191" t="str" cm="1">
        <f t="array" ref="J154">_xlfn.TEXTJOIN(", ", TRUE, IFERROR(_xlfn._xlws.FILTER(Table3[Holiday Name], (DIST!K154 &gt;= Table3[start]) * (DIST!K154&lt;= Table3[end])), ""))</f>
        <v/>
      </c>
      <c r="K154" s="57"/>
      <c r="L154" s="80"/>
      <c r="M154" s="80"/>
      <c r="N154" s="80"/>
      <c r="O154" s="81"/>
      <c r="P154" s="102"/>
      <c r="Q154" s="190"/>
      <c r="R154" s="139"/>
      <c r="S154" s="138"/>
    </row>
    <row r="155" spans="3:19" x14ac:dyDescent="0.35">
      <c r="C155" s="126"/>
      <c r="D155" s="80"/>
      <c r="E155" s="80"/>
      <c r="F155" s="80"/>
      <c r="G155" s="80"/>
      <c r="H155" s="102"/>
      <c r="I155" s="95"/>
      <c r="J155" s="191" t="str" cm="1">
        <f t="array" ref="J155">_xlfn.TEXTJOIN(", ", TRUE, IFERROR(_xlfn._xlws.FILTER(Table3[Holiday Name], (DIST!K155 &gt;= Table3[start]) * (DIST!K155&lt;= Table3[end])), ""))</f>
        <v/>
      </c>
      <c r="K155" s="57"/>
      <c r="L155" s="80"/>
      <c r="M155" s="80"/>
      <c r="N155" s="80"/>
      <c r="O155" s="81"/>
      <c r="P155" s="102"/>
      <c r="Q155" s="190"/>
      <c r="R155" s="139"/>
      <c r="S155" s="138"/>
    </row>
    <row r="156" spans="3:19" x14ac:dyDescent="0.35">
      <c r="C156" s="126"/>
      <c r="D156" s="80"/>
      <c r="E156" s="80"/>
      <c r="F156" s="80"/>
      <c r="G156" s="80"/>
      <c r="H156" s="102"/>
      <c r="I156" s="95"/>
      <c r="J156" s="191" t="str" cm="1">
        <f t="array" ref="J156">_xlfn.TEXTJOIN(", ", TRUE, IFERROR(_xlfn._xlws.FILTER(Table3[Holiday Name], (DIST!K156 &gt;= Table3[start]) * (DIST!K156&lt;= Table3[end])), ""))</f>
        <v/>
      </c>
      <c r="K156" s="57"/>
      <c r="L156" s="80"/>
      <c r="M156" s="80"/>
      <c r="N156" s="80"/>
      <c r="O156" s="81"/>
      <c r="P156" s="102"/>
      <c r="Q156" s="190"/>
      <c r="R156" s="139"/>
      <c r="S156" s="138"/>
    </row>
    <row r="157" spans="3:19" x14ac:dyDescent="0.35">
      <c r="C157" s="126"/>
      <c r="D157" s="80"/>
      <c r="E157" s="80"/>
      <c r="F157" s="80"/>
      <c r="G157" s="80"/>
      <c r="H157" s="102"/>
      <c r="I157" s="95"/>
      <c r="J157" s="191" t="str" cm="1">
        <f t="array" ref="J157">_xlfn.TEXTJOIN(", ", TRUE, IFERROR(_xlfn._xlws.FILTER(Table3[Holiday Name], (DIST!K157 &gt;= Table3[start]) * (DIST!K157&lt;= Table3[end])), ""))</f>
        <v/>
      </c>
      <c r="K157" s="57"/>
      <c r="L157" s="80"/>
      <c r="M157" s="80"/>
      <c r="N157" s="80"/>
      <c r="O157" s="81"/>
      <c r="P157" s="102"/>
      <c r="Q157" s="190"/>
      <c r="R157" s="139"/>
      <c r="S157" s="138"/>
    </row>
    <row r="158" spans="3:19" x14ac:dyDescent="0.35">
      <c r="C158" s="126"/>
      <c r="D158" s="80"/>
      <c r="E158" s="80"/>
      <c r="F158" s="80"/>
      <c r="G158" s="80"/>
      <c r="H158" s="102"/>
      <c r="I158" s="95"/>
      <c r="J158" s="191" t="str" cm="1">
        <f t="array" ref="J158">_xlfn.TEXTJOIN(", ", TRUE, IFERROR(_xlfn._xlws.FILTER(Table3[Holiday Name], (DIST!K158 &gt;= Table3[start]) * (DIST!K158&lt;= Table3[end])), ""))</f>
        <v/>
      </c>
      <c r="K158" s="57"/>
      <c r="L158" s="80"/>
      <c r="M158" s="80"/>
      <c r="N158" s="80"/>
      <c r="O158" s="81"/>
      <c r="P158" s="102"/>
      <c r="Q158" s="190"/>
      <c r="R158" s="139"/>
      <c r="S158" s="138"/>
    </row>
    <row r="159" spans="3:19" x14ac:dyDescent="0.35">
      <c r="C159" s="126"/>
      <c r="D159" s="80"/>
      <c r="E159" s="80"/>
      <c r="F159" s="80"/>
      <c r="G159" s="80"/>
      <c r="H159" s="102"/>
      <c r="I159" s="95"/>
      <c r="J159" s="191" t="str" cm="1">
        <f t="array" ref="J159">_xlfn.TEXTJOIN(", ", TRUE, IFERROR(_xlfn._xlws.FILTER(Table3[Holiday Name], (DIST!K159 &gt;= Table3[start]) * (DIST!K159&lt;= Table3[end])), ""))</f>
        <v/>
      </c>
      <c r="K159" s="57"/>
      <c r="L159" s="80"/>
      <c r="M159" s="80"/>
      <c r="N159" s="80"/>
      <c r="O159" s="81"/>
      <c r="P159" s="102"/>
      <c r="Q159" s="190"/>
      <c r="R159" s="139"/>
      <c r="S159" s="138"/>
    </row>
    <row r="160" spans="3:19" x14ac:dyDescent="0.35">
      <c r="C160" s="126"/>
      <c r="D160" s="80"/>
      <c r="E160" s="80"/>
      <c r="F160" s="80"/>
      <c r="G160" s="80"/>
      <c r="H160" s="102"/>
      <c r="I160" s="95"/>
      <c r="J160" s="191" t="str" cm="1">
        <f t="array" ref="J160">_xlfn.TEXTJOIN(", ", TRUE, IFERROR(_xlfn._xlws.FILTER(Table3[Holiday Name], (DIST!K160 &gt;= Table3[start]) * (DIST!K160&lt;= Table3[end])), ""))</f>
        <v/>
      </c>
      <c r="K160" s="57"/>
      <c r="L160" s="80"/>
      <c r="M160" s="80"/>
      <c r="N160" s="80"/>
      <c r="O160" s="81"/>
      <c r="P160" s="102"/>
      <c r="Q160" s="190"/>
      <c r="R160" s="139"/>
      <c r="S160" s="138"/>
    </row>
    <row r="161" spans="3:19" x14ac:dyDescent="0.35">
      <c r="C161" s="126"/>
      <c r="D161" s="80"/>
      <c r="E161" s="80"/>
      <c r="F161" s="80"/>
      <c r="G161" s="80"/>
      <c r="H161" s="102"/>
      <c r="I161" s="95"/>
      <c r="J161" s="191" t="str" cm="1">
        <f t="array" ref="J161">_xlfn.TEXTJOIN(", ", TRUE, IFERROR(_xlfn._xlws.FILTER(Table3[Holiday Name], (DIST!K161 &gt;= Table3[start]) * (DIST!K161&lt;= Table3[end])), ""))</f>
        <v/>
      </c>
      <c r="K161" s="57"/>
      <c r="L161" s="80"/>
      <c r="M161" s="80"/>
      <c r="N161" s="80"/>
      <c r="O161" s="81"/>
      <c r="P161" s="102"/>
      <c r="Q161" s="190"/>
      <c r="R161" s="139"/>
      <c r="S161" s="138"/>
    </row>
    <row r="162" spans="3:19" x14ac:dyDescent="0.35">
      <c r="C162" s="126"/>
      <c r="D162" s="80"/>
      <c r="E162" s="80"/>
      <c r="F162" s="80"/>
      <c r="G162" s="80"/>
      <c r="H162" s="102"/>
      <c r="I162" s="95"/>
      <c r="J162" s="191" t="str" cm="1">
        <f t="array" ref="J162">_xlfn.TEXTJOIN(", ", TRUE, IFERROR(_xlfn._xlws.FILTER(Table3[Holiday Name], (DIST!K162 &gt;= Table3[start]) * (DIST!K162&lt;= Table3[end])), ""))</f>
        <v/>
      </c>
      <c r="K162" s="57"/>
      <c r="L162" s="80"/>
      <c r="M162" s="80"/>
      <c r="N162" s="80"/>
      <c r="O162" s="81"/>
      <c r="P162" s="102"/>
      <c r="Q162" s="190"/>
      <c r="R162" s="139"/>
      <c r="S162" s="138"/>
    </row>
    <row r="163" spans="3:19" x14ac:dyDescent="0.35">
      <c r="C163" s="126"/>
      <c r="D163" s="80"/>
      <c r="E163" s="80"/>
      <c r="F163" s="80"/>
      <c r="G163" s="80"/>
      <c r="H163" s="102"/>
      <c r="I163" s="95"/>
      <c r="J163" s="191" t="str" cm="1">
        <f t="array" ref="J163">_xlfn.TEXTJOIN(", ", TRUE, IFERROR(_xlfn._xlws.FILTER(Table3[Holiday Name], (DIST!K163 &gt;= Table3[start]) * (DIST!K163&lt;= Table3[end])), ""))</f>
        <v/>
      </c>
      <c r="K163" s="57"/>
      <c r="L163" s="80"/>
      <c r="M163" s="80"/>
      <c r="N163" s="80"/>
      <c r="O163" s="81"/>
      <c r="P163" s="102"/>
      <c r="Q163" s="190"/>
      <c r="R163" s="139"/>
      <c r="S163" s="138"/>
    </row>
    <row r="164" spans="3:19" x14ac:dyDescent="0.35">
      <c r="C164" s="126"/>
      <c r="D164" s="80"/>
      <c r="E164" s="80"/>
      <c r="F164" s="80"/>
      <c r="G164" s="80"/>
      <c r="H164" s="102"/>
      <c r="I164" s="95"/>
      <c r="J164" s="191" t="str" cm="1">
        <f t="array" ref="J164">_xlfn.TEXTJOIN(", ", TRUE, IFERROR(_xlfn._xlws.FILTER(Table3[Holiday Name], (DIST!K164 &gt;= Table3[start]) * (DIST!K164&lt;= Table3[end])), ""))</f>
        <v/>
      </c>
      <c r="K164" s="57"/>
      <c r="L164" s="80"/>
      <c r="M164" s="80"/>
      <c r="N164" s="80"/>
      <c r="O164" s="81"/>
      <c r="P164" s="102"/>
      <c r="Q164" s="190"/>
      <c r="R164" s="139"/>
      <c r="S164" s="138"/>
    </row>
    <row r="165" spans="3:19" x14ac:dyDescent="0.35">
      <c r="C165" s="126"/>
      <c r="D165" s="80"/>
      <c r="E165" s="80"/>
      <c r="F165" s="80"/>
      <c r="G165" s="80"/>
      <c r="H165" s="102"/>
      <c r="I165" s="95"/>
      <c r="J165" s="191" t="str" cm="1">
        <f t="array" ref="J165">_xlfn.TEXTJOIN(", ", TRUE, IFERROR(_xlfn._xlws.FILTER(Table3[Holiday Name], (DIST!K165 &gt;= Table3[start]) * (DIST!K165&lt;= Table3[end])), ""))</f>
        <v/>
      </c>
      <c r="K165" s="57"/>
      <c r="L165" s="80"/>
      <c r="M165" s="80"/>
      <c r="N165" s="80"/>
      <c r="O165" s="81"/>
      <c r="P165" s="102"/>
      <c r="Q165" s="190"/>
      <c r="R165" s="139"/>
      <c r="S165" s="138"/>
    </row>
    <row r="166" spans="3:19" x14ac:dyDescent="0.35">
      <c r="C166" s="126"/>
      <c r="D166" s="80"/>
      <c r="E166" s="80"/>
      <c r="F166" s="80"/>
      <c r="G166" s="80"/>
      <c r="H166" s="102"/>
      <c r="I166" s="95"/>
      <c r="J166" s="191" t="str" cm="1">
        <f t="array" ref="J166">_xlfn.TEXTJOIN(", ", TRUE, IFERROR(_xlfn._xlws.FILTER(Table3[Holiday Name], (DIST!K166 &gt;= Table3[start]) * (DIST!K166&lt;= Table3[end])), ""))</f>
        <v/>
      </c>
      <c r="K166" s="57"/>
      <c r="L166" s="80"/>
      <c r="M166" s="80"/>
      <c r="N166" s="80"/>
      <c r="O166" s="81"/>
      <c r="P166" s="102"/>
      <c r="Q166" s="190"/>
      <c r="R166" s="139"/>
      <c r="S166" s="138"/>
    </row>
    <row r="167" spans="3:19" x14ac:dyDescent="0.35">
      <c r="C167" s="126"/>
      <c r="D167" s="80"/>
      <c r="E167" s="80"/>
      <c r="F167" s="80"/>
      <c r="G167" s="80"/>
      <c r="H167" s="102"/>
      <c r="I167" s="95"/>
      <c r="J167" s="191" t="str" cm="1">
        <f t="array" ref="J167">_xlfn.TEXTJOIN(", ", TRUE, IFERROR(_xlfn._xlws.FILTER(Table3[Holiday Name], (DIST!K167 &gt;= Table3[start]) * (DIST!K167&lt;= Table3[end])), ""))</f>
        <v/>
      </c>
      <c r="K167" s="57"/>
      <c r="L167" s="80"/>
      <c r="M167" s="80"/>
      <c r="N167" s="80"/>
      <c r="O167" s="81"/>
      <c r="P167" s="102"/>
      <c r="Q167" s="190"/>
      <c r="R167" s="139"/>
      <c r="S167" s="138"/>
    </row>
    <row r="168" spans="3:19" x14ac:dyDescent="0.35">
      <c r="C168" s="126"/>
      <c r="D168" s="80"/>
      <c r="E168" s="80"/>
      <c r="F168" s="80"/>
      <c r="G168" s="80"/>
      <c r="H168" s="102"/>
      <c r="I168" s="95"/>
      <c r="J168" s="191" t="str" cm="1">
        <f t="array" ref="J168">_xlfn.TEXTJOIN(", ", TRUE, IFERROR(_xlfn._xlws.FILTER(Table3[Holiday Name], (DIST!K168 &gt;= Table3[start]) * (DIST!K168&lt;= Table3[end])), ""))</f>
        <v/>
      </c>
      <c r="K168" s="57"/>
      <c r="L168" s="80"/>
      <c r="M168" s="80"/>
      <c r="N168" s="80"/>
      <c r="O168" s="81"/>
      <c r="P168" s="102"/>
      <c r="Q168" s="190"/>
      <c r="R168" s="139"/>
      <c r="S168" s="138"/>
    </row>
    <row r="169" spans="3:19" x14ac:dyDescent="0.35">
      <c r="C169" s="126"/>
      <c r="D169" s="80"/>
      <c r="E169" s="80"/>
      <c r="F169" s="80"/>
      <c r="G169" s="80"/>
      <c r="H169" s="102"/>
      <c r="I169" s="95"/>
      <c r="J169" s="191" t="str" cm="1">
        <f t="array" ref="J169">_xlfn.TEXTJOIN(", ", TRUE, IFERROR(_xlfn._xlws.FILTER(Table3[Holiday Name], (DIST!K169 &gt;= Table3[start]) * (DIST!K169&lt;= Table3[end])), ""))</f>
        <v/>
      </c>
      <c r="K169" s="57"/>
      <c r="L169" s="80"/>
      <c r="M169" s="80"/>
      <c r="N169" s="80"/>
      <c r="O169" s="81"/>
      <c r="P169" s="102"/>
      <c r="Q169" s="190"/>
      <c r="R169" s="139"/>
      <c r="S169" s="138"/>
    </row>
    <row r="170" spans="3:19" x14ac:dyDescent="0.35">
      <c r="C170" s="126"/>
      <c r="D170" s="80"/>
      <c r="E170" s="80"/>
      <c r="F170" s="80"/>
      <c r="G170" s="80"/>
      <c r="H170" s="102"/>
      <c r="I170" s="95"/>
      <c r="J170" s="191" t="str" cm="1">
        <f t="array" ref="J170">_xlfn.TEXTJOIN(", ", TRUE, IFERROR(_xlfn._xlws.FILTER(Table3[Holiday Name], (DIST!K170 &gt;= Table3[start]) * (DIST!K170&lt;= Table3[end])), ""))</f>
        <v/>
      </c>
      <c r="K170" s="57"/>
      <c r="L170" s="80"/>
      <c r="M170" s="80"/>
      <c r="N170" s="80"/>
      <c r="O170" s="81"/>
      <c r="P170" s="102"/>
      <c r="Q170" s="190"/>
      <c r="R170" s="139"/>
      <c r="S170" s="138"/>
    </row>
    <row r="171" spans="3:19" x14ac:dyDescent="0.35">
      <c r="C171" s="126"/>
      <c r="D171" s="80"/>
      <c r="E171" s="80"/>
      <c r="F171" s="80"/>
      <c r="G171" s="80"/>
      <c r="H171" s="102"/>
      <c r="I171" s="95"/>
      <c r="J171" s="191" t="str" cm="1">
        <f t="array" ref="J171">_xlfn.TEXTJOIN(", ", TRUE, IFERROR(_xlfn._xlws.FILTER(Table3[Holiday Name], (DIST!K171 &gt;= Table3[start]) * (DIST!K171&lt;= Table3[end])), ""))</f>
        <v/>
      </c>
      <c r="K171" s="57"/>
      <c r="L171" s="80"/>
      <c r="M171" s="80"/>
      <c r="N171" s="80"/>
      <c r="O171" s="81"/>
      <c r="P171" s="102"/>
      <c r="Q171" s="190"/>
      <c r="R171" s="139"/>
      <c r="S171" s="138"/>
    </row>
    <row r="172" spans="3:19" x14ac:dyDescent="0.35">
      <c r="C172" s="126"/>
      <c r="D172" s="80"/>
      <c r="E172" s="80"/>
      <c r="F172" s="80"/>
      <c r="G172" s="80"/>
      <c r="H172" s="102"/>
      <c r="I172" s="95"/>
      <c r="J172" s="191" t="str" cm="1">
        <f t="array" ref="J172">_xlfn.TEXTJOIN(", ", TRUE, IFERROR(_xlfn._xlws.FILTER(Table3[Holiday Name], (DIST!K172 &gt;= Table3[start]) * (DIST!K172&lt;= Table3[end])), ""))</f>
        <v/>
      </c>
      <c r="K172" s="57"/>
      <c r="L172" s="80"/>
      <c r="M172" s="80"/>
      <c r="N172" s="80"/>
      <c r="O172" s="81"/>
      <c r="P172" s="102"/>
      <c r="Q172" s="190"/>
      <c r="R172" s="139"/>
      <c r="S172" s="138"/>
    </row>
    <row r="173" spans="3:19" x14ac:dyDescent="0.35">
      <c r="C173" s="126"/>
      <c r="D173" s="80"/>
      <c r="E173" s="80"/>
      <c r="F173" s="80"/>
      <c r="G173" s="80"/>
      <c r="H173" s="102"/>
      <c r="I173" s="95"/>
      <c r="J173" s="191" t="str" cm="1">
        <f t="array" ref="J173">_xlfn.TEXTJOIN(", ", TRUE, IFERROR(_xlfn._xlws.FILTER(Table3[Holiday Name], (DIST!K173 &gt;= Table3[start]) * (DIST!K173&lt;= Table3[end])), ""))</f>
        <v/>
      </c>
      <c r="K173" s="57"/>
      <c r="L173" s="80"/>
      <c r="M173" s="80"/>
      <c r="N173" s="80"/>
      <c r="O173" s="81"/>
      <c r="P173" s="102"/>
      <c r="Q173" s="190"/>
      <c r="R173" s="139"/>
      <c r="S173" s="138"/>
    </row>
    <row r="174" spans="3:19" x14ac:dyDescent="0.35">
      <c r="C174" s="126"/>
      <c r="D174" s="80"/>
      <c r="E174" s="80"/>
      <c r="F174" s="80"/>
      <c r="G174" s="80"/>
      <c r="H174" s="102"/>
      <c r="I174" s="95"/>
      <c r="J174" s="191" t="str" cm="1">
        <f t="array" ref="J174">_xlfn.TEXTJOIN(", ", TRUE, IFERROR(_xlfn._xlws.FILTER(Table3[Holiday Name], (DIST!K174 &gt;= Table3[start]) * (DIST!K174&lt;= Table3[end])), ""))</f>
        <v/>
      </c>
      <c r="K174" s="57"/>
      <c r="L174" s="80"/>
      <c r="M174" s="80"/>
      <c r="N174" s="80"/>
      <c r="O174" s="81"/>
      <c r="P174" s="102"/>
      <c r="Q174" s="190"/>
      <c r="R174" s="139"/>
      <c r="S174" s="138"/>
    </row>
    <row r="175" spans="3:19" x14ac:dyDescent="0.35">
      <c r="C175" s="126"/>
      <c r="D175" s="80"/>
      <c r="E175" s="80"/>
      <c r="F175" s="80"/>
      <c r="G175" s="80"/>
      <c r="H175" s="102"/>
      <c r="I175" s="95"/>
      <c r="J175" s="191" t="str" cm="1">
        <f t="array" ref="J175">_xlfn.TEXTJOIN(", ", TRUE, IFERROR(_xlfn._xlws.FILTER(Table3[Holiday Name], (DIST!K175 &gt;= Table3[start]) * (DIST!K175&lt;= Table3[end])), ""))</f>
        <v/>
      </c>
      <c r="K175" s="57"/>
      <c r="L175" s="80"/>
      <c r="M175" s="80"/>
      <c r="N175" s="80"/>
      <c r="O175" s="81"/>
      <c r="P175" s="102"/>
      <c r="Q175" s="190"/>
      <c r="R175" s="139"/>
      <c r="S175" s="138"/>
    </row>
    <row r="176" spans="3:19" x14ac:dyDescent="0.35">
      <c r="C176" s="126"/>
      <c r="D176" s="80"/>
      <c r="E176" s="80"/>
      <c r="F176" s="80"/>
      <c r="G176" s="80"/>
      <c r="H176" s="102"/>
      <c r="I176" s="95"/>
      <c r="J176" s="191" t="str" cm="1">
        <f t="array" ref="J176">_xlfn.TEXTJOIN(", ", TRUE, IFERROR(_xlfn._xlws.FILTER(Table3[Holiday Name], (DIST!K176 &gt;= Table3[start]) * (DIST!K176&lt;= Table3[end])), ""))</f>
        <v/>
      </c>
      <c r="K176" s="57"/>
      <c r="L176" s="80"/>
      <c r="M176" s="80"/>
      <c r="N176" s="80"/>
      <c r="O176" s="81"/>
      <c r="P176" s="102"/>
      <c r="Q176" s="190"/>
      <c r="R176" s="139"/>
      <c r="S176" s="138"/>
    </row>
    <row r="177" spans="3:19" x14ac:dyDescent="0.35">
      <c r="C177" s="126"/>
      <c r="D177" s="80"/>
      <c r="E177" s="80"/>
      <c r="F177" s="80"/>
      <c r="G177" s="80"/>
      <c r="H177" s="102"/>
      <c r="I177" s="95"/>
      <c r="J177" s="191" t="str" cm="1">
        <f t="array" ref="J177">_xlfn.TEXTJOIN(", ", TRUE, IFERROR(_xlfn._xlws.FILTER(Table3[Holiday Name], (DIST!K177 &gt;= Table3[start]) * (DIST!K177&lt;= Table3[end])), ""))</f>
        <v/>
      </c>
      <c r="K177" s="57"/>
      <c r="L177" s="80"/>
      <c r="M177" s="80"/>
      <c r="N177" s="80"/>
      <c r="O177" s="81"/>
      <c r="P177" s="102"/>
      <c r="Q177" s="190"/>
      <c r="R177" s="139"/>
      <c r="S177" s="138"/>
    </row>
    <row r="178" spans="3:19" x14ac:dyDescent="0.35">
      <c r="C178" s="126"/>
      <c r="D178" s="80"/>
      <c r="E178" s="80"/>
      <c r="F178" s="80"/>
      <c r="G178" s="80"/>
      <c r="H178" s="102"/>
      <c r="I178" s="95"/>
      <c r="J178" s="191" t="str" cm="1">
        <f t="array" ref="J178">_xlfn.TEXTJOIN(", ", TRUE, IFERROR(_xlfn._xlws.FILTER(Table3[Holiday Name], (DIST!K178 &gt;= Table3[start]) * (DIST!K178&lt;= Table3[end])), ""))</f>
        <v/>
      </c>
      <c r="K178" s="57"/>
      <c r="L178" s="80"/>
      <c r="M178" s="80"/>
      <c r="N178" s="80"/>
      <c r="O178" s="81"/>
      <c r="P178" s="102"/>
      <c r="Q178" s="190"/>
      <c r="R178" s="139"/>
      <c r="S178" s="138"/>
    </row>
    <row r="179" spans="3:19" x14ac:dyDescent="0.35">
      <c r="C179" s="126"/>
      <c r="D179" s="80"/>
      <c r="E179" s="80"/>
      <c r="F179" s="80"/>
      <c r="G179" s="80"/>
      <c r="H179" s="102"/>
      <c r="I179" s="95"/>
      <c r="J179" s="191" t="str" cm="1">
        <f t="array" ref="J179">_xlfn.TEXTJOIN(", ", TRUE, IFERROR(_xlfn._xlws.FILTER(Table3[Holiday Name], (DIST!K179 &gt;= Table3[start]) * (DIST!K179&lt;= Table3[end])), ""))</f>
        <v/>
      </c>
      <c r="K179" s="57"/>
      <c r="L179" s="80"/>
      <c r="M179" s="80"/>
      <c r="N179" s="80"/>
      <c r="O179" s="81"/>
      <c r="P179" s="102"/>
      <c r="Q179" s="190"/>
      <c r="R179" s="139"/>
      <c r="S179" s="138"/>
    </row>
    <row r="180" spans="3:19" x14ac:dyDescent="0.35">
      <c r="C180" s="126"/>
      <c r="D180" s="80"/>
      <c r="E180" s="80"/>
      <c r="F180" s="80"/>
      <c r="G180" s="80"/>
      <c r="H180" s="102"/>
      <c r="I180" s="95"/>
      <c r="J180" s="191" t="str" cm="1">
        <f t="array" ref="J180">_xlfn.TEXTJOIN(", ", TRUE, IFERROR(_xlfn._xlws.FILTER(Table3[Holiday Name], (DIST!K180 &gt;= Table3[start]) * (DIST!K180&lt;= Table3[end])), ""))</f>
        <v/>
      </c>
      <c r="K180" s="57"/>
      <c r="L180" s="80"/>
      <c r="M180" s="80"/>
      <c r="N180" s="80"/>
      <c r="O180" s="81"/>
      <c r="P180" s="102"/>
      <c r="Q180" s="190"/>
      <c r="R180" s="139"/>
      <c r="S180" s="138"/>
    </row>
    <row r="181" spans="3:19" x14ac:dyDescent="0.35">
      <c r="C181" s="126"/>
      <c r="D181" s="80"/>
      <c r="E181" s="80"/>
      <c r="F181" s="80"/>
      <c r="G181" s="80"/>
      <c r="H181" s="102"/>
      <c r="I181" s="95"/>
      <c r="J181" s="191" t="str" cm="1">
        <f t="array" ref="J181">_xlfn.TEXTJOIN(", ", TRUE, IFERROR(_xlfn._xlws.FILTER(Table3[Holiday Name], (DIST!K181 &gt;= Table3[start]) * (DIST!K181&lt;= Table3[end])), ""))</f>
        <v/>
      </c>
      <c r="K181" s="57"/>
      <c r="L181" s="80"/>
      <c r="M181" s="80"/>
      <c r="N181" s="80"/>
      <c r="O181" s="81"/>
      <c r="P181" s="102"/>
      <c r="Q181" s="190"/>
      <c r="R181" s="139"/>
      <c r="S181" s="138"/>
    </row>
    <row r="182" spans="3:19" x14ac:dyDescent="0.35">
      <c r="C182" s="126"/>
      <c r="D182" s="80"/>
      <c r="E182" s="80"/>
      <c r="F182" s="80"/>
      <c r="G182" s="80"/>
      <c r="H182" s="102"/>
      <c r="I182" s="95"/>
      <c r="J182" s="191" t="str" cm="1">
        <f t="array" ref="J182">_xlfn.TEXTJOIN(", ", TRUE, IFERROR(_xlfn._xlws.FILTER(Table3[Holiday Name], (DIST!K182 &gt;= Table3[start]) * (DIST!K182&lt;= Table3[end])), ""))</f>
        <v/>
      </c>
      <c r="K182" s="57"/>
      <c r="L182" s="80"/>
      <c r="M182" s="80"/>
      <c r="N182" s="80"/>
      <c r="O182" s="81"/>
      <c r="P182" s="102"/>
      <c r="Q182" s="190"/>
      <c r="R182" s="139"/>
      <c r="S182" s="138"/>
    </row>
    <row r="183" spans="3:19" x14ac:dyDescent="0.35">
      <c r="C183" s="126"/>
      <c r="D183" s="80"/>
      <c r="E183" s="80"/>
      <c r="F183" s="80"/>
      <c r="G183" s="80"/>
      <c r="H183" s="102"/>
      <c r="I183" s="95"/>
      <c r="J183" s="191" t="str" cm="1">
        <f t="array" ref="J183">_xlfn.TEXTJOIN(", ", TRUE, IFERROR(_xlfn._xlws.FILTER(Table3[Holiday Name], (DIST!K183 &gt;= Table3[start]) * (DIST!K183&lt;= Table3[end])), ""))</f>
        <v/>
      </c>
      <c r="K183" s="57"/>
      <c r="L183" s="80"/>
      <c r="M183" s="80"/>
      <c r="N183" s="80"/>
      <c r="O183" s="81"/>
      <c r="P183" s="102"/>
      <c r="Q183" s="190"/>
      <c r="R183" s="139"/>
      <c r="S183" s="138"/>
    </row>
    <row r="184" spans="3:19" x14ac:dyDescent="0.35">
      <c r="C184" s="126"/>
      <c r="D184" s="80"/>
      <c r="E184" s="80"/>
      <c r="F184" s="80"/>
      <c r="G184" s="80"/>
      <c r="H184" s="102"/>
      <c r="I184" s="95"/>
      <c r="J184" s="191" t="str" cm="1">
        <f t="array" ref="J184">_xlfn.TEXTJOIN(", ", TRUE, IFERROR(_xlfn._xlws.FILTER(Table3[Holiday Name], (DIST!K184 &gt;= Table3[start]) * (DIST!K184&lt;= Table3[end])), ""))</f>
        <v/>
      </c>
      <c r="K184" s="57"/>
      <c r="L184" s="80"/>
      <c r="M184" s="80"/>
      <c r="N184" s="80"/>
      <c r="O184" s="81"/>
      <c r="P184" s="102"/>
      <c r="Q184" s="190"/>
      <c r="R184" s="139"/>
      <c r="S184" s="138"/>
    </row>
    <row r="185" spans="3:19" x14ac:dyDescent="0.35">
      <c r="C185" s="126"/>
      <c r="D185" s="80"/>
      <c r="E185" s="80"/>
      <c r="F185" s="80"/>
      <c r="G185" s="80"/>
      <c r="H185" s="102"/>
      <c r="I185" s="95"/>
      <c r="J185" s="191" t="str" cm="1">
        <f t="array" ref="J185">_xlfn.TEXTJOIN(", ", TRUE, IFERROR(_xlfn._xlws.FILTER(Table3[Holiday Name], (DIST!K185 &gt;= Table3[start]) * (DIST!K185&lt;= Table3[end])), ""))</f>
        <v/>
      </c>
      <c r="K185" s="57"/>
      <c r="L185" s="80"/>
      <c r="M185" s="80"/>
      <c r="N185" s="80"/>
      <c r="O185" s="81"/>
      <c r="P185" s="102"/>
      <c r="Q185" s="190"/>
      <c r="R185" s="139"/>
      <c r="S185" s="138"/>
    </row>
    <row r="186" spans="3:19" x14ac:dyDescent="0.35">
      <c r="C186" s="126"/>
      <c r="D186" s="80"/>
      <c r="E186" s="80"/>
      <c r="F186" s="80"/>
      <c r="G186" s="80"/>
      <c r="H186" s="102"/>
      <c r="I186" s="95"/>
      <c r="J186" s="191" t="str" cm="1">
        <f t="array" ref="J186">_xlfn.TEXTJOIN(", ", TRUE, IFERROR(_xlfn._xlws.FILTER(Table3[Holiday Name], (DIST!K186 &gt;= Table3[start]) * (DIST!K186&lt;= Table3[end])), ""))</f>
        <v/>
      </c>
      <c r="K186" s="57"/>
      <c r="L186" s="80"/>
      <c r="M186" s="80"/>
      <c r="N186" s="80"/>
      <c r="O186" s="81"/>
      <c r="P186" s="102"/>
      <c r="Q186" s="190"/>
      <c r="R186" s="139"/>
      <c r="S186" s="138"/>
    </row>
    <row r="187" spans="3:19" x14ac:dyDescent="0.35">
      <c r="C187" s="126"/>
      <c r="D187" s="80"/>
      <c r="E187" s="80"/>
      <c r="F187" s="80"/>
      <c r="G187" s="80"/>
      <c r="H187" s="102"/>
      <c r="I187" s="95"/>
      <c r="J187" s="191" t="str" cm="1">
        <f t="array" ref="J187">_xlfn.TEXTJOIN(", ", TRUE, IFERROR(_xlfn._xlws.FILTER(Table3[Holiday Name], (DIST!K187 &gt;= Table3[start]) * (DIST!K187&lt;= Table3[end])), ""))</f>
        <v/>
      </c>
      <c r="K187" s="57"/>
      <c r="L187" s="80"/>
      <c r="M187" s="80"/>
      <c r="N187" s="80"/>
      <c r="O187" s="81"/>
      <c r="P187" s="102"/>
      <c r="Q187" s="190"/>
      <c r="R187" s="139"/>
      <c r="S187" s="138"/>
    </row>
    <row r="188" spans="3:19" x14ac:dyDescent="0.35">
      <c r="C188" s="126"/>
      <c r="D188" s="80"/>
      <c r="E188" s="80"/>
      <c r="F188" s="80"/>
      <c r="G188" s="80"/>
      <c r="H188" s="102"/>
      <c r="I188" s="95"/>
      <c r="J188" s="191" t="str" cm="1">
        <f t="array" ref="J188">_xlfn.TEXTJOIN(", ", TRUE, IFERROR(_xlfn._xlws.FILTER(Table3[Holiday Name], (DIST!K188 &gt;= Table3[start]) * (DIST!K188&lt;= Table3[end])), ""))</f>
        <v/>
      </c>
      <c r="K188" s="57"/>
      <c r="L188" s="80"/>
      <c r="M188" s="80"/>
      <c r="N188" s="80"/>
      <c r="O188" s="81"/>
      <c r="P188" s="102"/>
      <c r="Q188" s="190"/>
      <c r="R188" s="139"/>
      <c r="S188" s="138"/>
    </row>
    <row r="189" spans="3:19" x14ac:dyDescent="0.35">
      <c r="C189" s="126"/>
      <c r="D189" s="80"/>
      <c r="E189" s="80"/>
      <c r="F189" s="80"/>
      <c r="G189" s="80"/>
      <c r="H189" s="102"/>
      <c r="I189" s="95"/>
      <c r="J189" s="191" t="str" cm="1">
        <f t="array" ref="J189">_xlfn.TEXTJOIN(", ", TRUE, IFERROR(_xlfn._xlws.FILTER(Table3[Holiday Name], (DIST!K189 &gt;= Table3[start]) * (DIST!K189&lt;= Table3[end])), ""))</f>
        <v/>
      </c>
      <c r="K189" s="57"/>
      <c r="L189" s="80"/>
      <c r="M189" s="80"/>
      <c r="N189" s="80"/>
      <c r="O189" s="81"/>
      <c r="P189" s="102"/>
      <c r="Q189" s="190"/>
      <c r="R189" s="139"/>
      <c r="S189" s="138"/>
    </row>
    <row r="190" spans="3:19" x14ac:dyDescent="0.35">
      <c r="C190" s="126"/>
      <c r="D190" s="80"/>
      <c r="E190" s="80"/>
      <c r="F190" s="80"/>
      <c r="G190" s="80"/>
      <c r="H190" s="102"/>
      <c r="I190" s="95"/>
      <c r="J190" s="191" t="str" cm="1">
        <f t="array" ref="J190">_xlfn.TEXTJOIN(", ", TRUE, IFERROR(_xlfn._xlws.FILTER(Table3[Holiday Name], (DIST!K190 &gt;= Table3[start]) * (DIST!K190&lt;= Table3[end])), ""))</f>
        <v/>
      </c>
      <c r="K190" s="57"/>
      <c r="L190" s="80"/>
      <c r="M190" s="80"/>
      <c r="N190" s="80"/>
      <c r="O190" s="81"/>
      <c r="P190" s="102"/>
      <c r="Q190" s="190"/>
      <c r="R190" s="139"/>
      <c r="S190" s="138"/>
    </row>
    <row r="191" spans="3:19" x14ac:dyDescent="0.35">
      <c r="C191" s="126"/>
      <c r="D191" s="80"/>
      <c r="E191" s="80"/>
      <c r="F191" s="80"/>
      <c r="G191" s="80"/>
      <c r="H191" s="102"/>
      <c r="I191" s="95"/>
      <c r="J191" s="191" t="str" cm="1">
        <f t="array" ref="J191">_xlfn.TEXTJOIN(", ", TRUE, IFERROR(_xlfn._xlws.FILTER(Table3[Holiday Name], (DIST!K191 &gt;= Table3[start]) * (DIST!K191&lt;= Table3[end])), ""))</f>
        <v/>
      </c>
      <c r="K191" s="57"/>
      <c r="L191" s="80"/>
      <c r="M191" s="80"/>
      <c r="N191" s="80"/>
      <c r="O191" s="81"/>
      <c r="P191" s="102"/>
      <c r="Q191" s="190"/>
      <c r="R191" s="139"/>
      <c r="S191" s="138"/>
    </row>
    <row r="192" spans="3:19" x14ac:dyDescent="0.35">
      <c r="C192" s="126"/>
      <c r="D192" s="80"/>
      <c r="E192" s="80"/>
      <c r="F192" s="80"/>
      <c r="G192" s="80"/>
      <c r="H192" s="102"/>
      <c r="I192" s="95"/>
      <c r="J192" s="191" t="str" cm="1">
        <f t="array" ref="J192">_xlfn.TEXTJOIN(", ", TRUE, IFERROR(_xlfn._xlws.FILTER(Table3[Holiday Name], (DIST!K192 &gt;= Table3[start]) * (DIST!K192&lt;= Table3[end])), ""))</f>
        <v/>
      </c>
      <c r="K192" s="57"/>
      <c r="L192" s="80"/>
      <c r="M192" s="80"/>
      <c r="N192" s="80"/>
      <c r="O192" s="81"/>
      <c r="P192" s="102"/>
      <c r="Q192" s="190"/>
      <c r="R192" s="139"/>
      <c r="S192" s="138"/>
    </row>
    <row r="193" spans="3:19" x14ac:dyDescent="0.35">
      <c r="C193" s="126"/>
      <c r="D193" s="80"/>
      <c r="E193" s="80"/>
      <c r="F193" s="80"/>
      <c r="G193" s="80"/>
      <c r="H193" s="102"/>
      <c r="I193" s="95"/>
      <c r="J193" s="191" t="str" cm="1">
        <f t="array" ref="J193">_xlfn.TEXTJOIN(", ", TRUE, IFERROR(_xlfn._xlws.FILTER(Table3[Holiday Name], (DIST!K193 &gt;= Table3[start]) * (DIST!K193&lt;= Table3[end])), ""))</f>
        <v/>
      </c>
      <c r="K193" s="57"/>
      <c r="L193" s="80"/>
      <c r="M193" s="80"/>
      <c r="N193" s="80"/>
      <c r="O193" s="81"/>
      <c r="P193" s="102"/>
      <c r="Q193" s="190"/>
      <c r="R193" s="139"/>
      <c r="S193" s="138"/>
    </row>
    <row r="194" spans="3:19" x14ac:dyDescent="0.35">
      <c r="C194" s="126"/>
      <c r="D194" s="80"/>
      <c r="E194" s="80"/>
      <c r="F194" s="80"/>
      <c r="G194" s="80"/>
      <c r="H194" s="102"/>
      <c r="I194" s="95"/>
      <c r="J194" s="191" t="str" cm="1">
        <f t="array" ref="J194">_xlfn.TEXTJOIN(", ", TRUE, IFERROR(_xlfn._xlws.FILTER(Table3[Holiday Name], (DIST!K194 &gt;= Table3[start]) * (DIST!K194&lt;= Table3[end])), ""))</f>
        <v/>
      </c>
      <c r="K194" s="57"/>
      <c r="L194" s="80"/>
      <c r="M194" s="80"/>
      <c r="N194" s="80"/>
      <c r="O194" s="81"/>
      <c r="P194" s="102"/>
      <c r="Q194" s="190"/>
      <c r="R194" s="139"/>
      <c r="S194" s="138"/>
    </row>
    <row r="195" spans="3:19" x14ac:dyDescent="0.35">
      <c r="C195" s="126"/>
      <c r="D195" s="80"/>
      <c r="E195" s="80"/>
      <c r="F195" s="80"/>
      <c r="G195" s="80"/>
      <c r="H195" s="102"/>
      <c r="I195" s="95"/>
      <c r="J195" s="191" t="str" cm="1">
        <f t="array" ref="J195">_xlfn.TEXTJOIN(", ", TRUE, IFERROR(_xlfn._xlws.FILTER(Table3[Holiday Name], (DIST!K195 &gt;= Table3[start]) * (DIST!K195&lt;= Table3[end])), ""))</f>
        <v/>
      </c>
      <c r="K195" s="57"/>
      <c r="L195" s="80"/>
      <c r="M195" s="80"/>
      <c r="N195" s="80"/>
      <c r="O195" s="81"/>
      <c r="P195" s="102"/>
      <c r="Q195" s="190"/>
      <c r="R195" s="139"/>
      <c r="S195" s="138"/>
    </row>
    <row r="196" spans="3:19" x14ac:dyDescent="0.35">
      <c r="C196" s="126"/>
      <c r="D196" s="80"/>
      <c r="E196" s="80"/>
      <c r="F196" s="80"/>
      <c r="G196" s="80"/>
      <c r="H196" s="102"/>
      <c r="I196" s="95"/>
      <c r="J196" s="191" t="str" cm="1">
        <f t="array" ref="J196">_xlfn.TEXTJOIN(", ", TRUE, IFERROR(_xlfn._xlws.FILTER(Table3[Holiday Name], (DIST!K196 &gt;= Table3[start]) * (DIST!K196&lt;= Table3[end])), ""))</f>
        <v/>
      </c>
      <c r="K196" s="57"/>
      <c r="L196" s="80"/>
      <c r="M196" s="80"/>
      <c r="N196" s="80"/>
      <c r="O196" s="81"/>
      <c r="P196" s="102"/>
      <c r="Q196" s="190"/>
      <c r="R196" s="139"/>
      <c r="S196" s="138"/>
    </row>
    <row r="197" spans="3:19" x14ac:dyDescent="0.35">
      <c r="C197" s="126"/>
      <c r="D197" s="80"/>
      <c r="E197" s="80"/>
      <c r="F197" s="80"/>
      <c r="G197" s="80"/>
      <c r="H197" s="102"/>
      <c r="I197" s="95"/>
      <c r="J197" s="191" t="str" cm="1">
        <f t="array" ref="J197">_xlfn.TEXTJOIN(", ", TRUE, IFERROR(_xlfn._xlws.FILTER(Table3[Holiday Name], (DIST!K197 &gt;= Table3[start]) * (DIST!K197&lt;= Table3[end])), ""))</f>
        <v/>
      </c>
      <c r="K197" s="57"/>
      <c r="L197" s="80"/>
      <c r="M197" s="80"/>
      <c r="N197" s="80"/>
      <c r="O197" s="81"/>
      <c r="P197" s="102"/>
      <c r="Q197" s="190"/>
      <c r="R197" s="139"/>
      <c r="S197" s="138"/>
    </row>
    <row r="198" spans="3:19" x14ac:dyDescent="0.35">
      <c r="C198" s="126"/>
      <c r="D198" s="80"/>
      <c r="E198" s="80"/>
      <c r="F198" s="80"/>
      <c r="G198" s="80"/>
      <c r="H198" s="102"/>
      <c r="I198" s="95"/>
      <c r="J198" s="191" t="str" cm="1">
        <f t="array" ref="J198">_xlfn.TEXTJOIN(", ", TRUE, IFERROR(_xlfn._xlws.FILTER(Table3[Holiday Name], (DIST!K198 &gt;= Table3[start]) * (DIST!K198&lt;= Table3[end])), ""))</f>
        <v/>
      </c>
      <c r="K198" s="57"/>
      <c r="L198" s="80"/>
      <c r="M198" s="80"/>
      <c r="N198" s="80"/>
      <c r="O198" s="81"/>
      <c r="P198" s="102"/>
      <c r="Q198" s="190"/>
      <c r="R198" s="139"/>
      <c r="S198" s="138"/>
    </row>
    <row r="199" spans="3:19" x14ac:dyDescent="0.35">
      <c r="C199" s="126"/>
      <c r="D199" s="80"/>
      <c r="E199" s="80"/>
      <c r="F199" s="80"/>
      <c r="G199" s="80"/>
      <c r="H199" s="102"/>
      <c r="I199" s="95"/>
      <c r="J199" s="191" t="str" cm="1">
        <f t="array" ref="J199">_xlfn.TEXTJOIN(", ", TRUE, IFERROR(_xlfn._xlws.FILTER(Table3[Holiday Name], (DIST!K199 &gt;= Table3[start]) * (DIST!K199&lt;= Table3[end])), ""))</f>
        <v/>
      </c>
      <c r="K199" s="57"/>
      <c r="L199" s="80"/>
      <c r="M199" s="80"/>
      <c r="N199" s="80"/>
      <c r="O199" s="81"/>
      <c r="P199" s="102"/>
      <c r="Q199" s="190"/>
      <c r="R199" s="139"/>
      <c r="S199" s="138"/>
    </row>
    <row r="200" spans="3:19" x14ac:dyDescent="0.35">
      <c r="C200" s="126"/>
      <c r="D200" s="80"/>
      <c r="E200" s="80"/>
      <c r="F200" s="80"/>
      <c r="G200" s="80"/>
      <c r="H200" s="102"/>
      <c r="I200" s="95"/>
      <c r="J200" s="191" t="str" cm="1">
        <f t="array" ref="J200">_xlfn.TEXTJOIN(", ", TRUE, IFERROR(_xlfn._xlws.FILTER(Table3[Holiday Name], (DIST!K200 &gt;= Table3[start]) * (DIST!K200&lt;= Table3[end])), ""))</f>
        <v/>
      </c>
      <c r="K200" s="57"/>
      <c r="L200" s="80"/>
      <c r="M200" s="80"/>
      <c r="N200" s="80"/>
      <c r="O200" s="81"/>
      <c r="P200" s="102"/>
      <c r="Q200" s="190"/>
      <c r="R200" s="139"/>
      <c r="S200" s="138"/>
    </row>
    <row r="201" spans="3:19" x14ac:dyDescent="0.35">
      <c r="C201" s="126"/>
      <c r="D201" s="80"/>
      <c r="E201" s="80"/>
      <c r="F201" s="80"/>
      <c r="G201" s="80"/>
      <c r="H201" s="102"/>
      <c r="I201" s="95"/>
      <c r="J201" s="191" t="str" cm="1">
        <f t="array" ref="J201">_xlfn.TEXTJOIN(", ", TRUE, IFERROR(_xlfn._xlws.FILTER(Table3[Holiday Name], (DIST!K201 &gt;= Table3[start]) * (DIST!K201&lt;= Table3[end])), ""))</f>
        <v/>
      </c>
      <c r="K201" s="57"/>
      <c r="L201" s="80"/>
      <c r="M201" s="80"/>
      <c r="N201" s="80"/>
      <c r="O201" s="81"/>
      <c r="P201" s="102"/>
      <c r="Q201" s="190"/>
      <c r="R201" s="139"/>
      <c r="S201" s="138"/>
    </row>
    <row r="202" spans="3:19" x14ac:dyDescent="0.35">
      <c r="C202" s="126"/>
      <c r="D202" s="80"/>
      <c r="E202" s="80"/>
      <c r="F202" s="80"/>
      <c r="G202" s="80"/>
      <c r="H202" s="102"/>
      <c r="I202" s="95"/>
      <c r="J202" s="191" t="str" cm="1">
        <f t="array" ref="J202">_xlfn.TEXTJOIN(", ", TRUE, IFERROR(_xlfn._xlws.FILTER(Table3[Holiday Name], (DIST!K202 &gt;= Table3[start]) * (DIST!K202&lt;= Table3[end])), ""))</f>
        <v/>
      </c>
      <c r="K202" s="57"/>
      <c r="L202" s="80"/>
      <c r="M202" s="80"/>
      <c r="N202" s="80"/>
      <c r="O202" s="81"/>
      <c r="P202" s="102"/>
      <c r="Q202" s="190"/>
      <c r="R202" s="139"/>
      <c r="S202" s="138"/>
    </row>
    <row r="203" spans="3:19" x14ac:dyDescent="0.35">
      <c r="C203" s="126"/>
      <c r="D203" s="80"/>
      <c r="E203" s="80"/>
      <c r="F203" s="80"/>
      <c r="G203" s="80"/>
      <c r="H203" s="102"/>
      <c r="I203" s="95"/>
      <c r="J203" s="191" t="str" cm="1">
        <f t="array" ref="J203">_xlfn.TEXTJOIN(", ", TRUE, IFERROR(_xlfn._xlws.FILTER(Table3[Holiday Name], (DIST!K203 &gt;= Table3[start]) * (DIST!K203&lt;= Table3[end])), ""))</f>
        <v/>
      </c>
      <c r="K203" s="57"/>
      <c r="L203" s="80"/>
      <c r="M203" s="80"/>
      <c r="N203" s="80"/>
      <c r="O203" s="81"/>
      <c r="P203" s="102"/>
      <c r="Q203" s="190"/>
      <c r="R203" s="139"/>
      <c r="S203" s="138"/>
    </row>
    <row r="204" spans="3:19" x14ac:dyDescent="0.35">
      <c r="C204" s="126"/>
      <c r="D204" s="80"/>
      <c r="E204" s="80"/>
      <c r="F204" s="80"/>
      <c r="G204" s="80"/>
      <c r="H204" s="102"/>
      <c r="I204" s="95"/>
      <c r="J204" s="191" t="str" cm="1">
        <f t="array" ref="J204">_xlfn.TEXTJOIN(", ", TRUE, IFERROR(_xlfn._xlws.FILTER(Table3[Holiday Name], (DIST!K204 &gt;= Table3[start]) * (DIST!K204&lt;= Table3[end])), ""))</f>
        <v/>
      </c>
      <c r="K204" s="57"/>
      <c r="L204" s="80"/>
      <c r="M204" s="80"/>
      <c r="N204" s="80"/>
      <c r="O204" s="81"/>
      <c r="P204" s="102"/>
      <c r="Q204" s="190"/>
      <c r="R204" s="139"/>
      <c r="S204" s="138"/>
    </row>
    <row r="205" spans="3:19" x14ac:dyDescent="0.35">
      <c r="C205" s="126"/>
      <c r="D205" s="80"/>
      <c r="E205" s="80"/>
      <c r="F205" s="80"/>
      <c r="G205" s="80"/>
      <c r="H205" s="102"/>
      <c r="I205" s="95"/>
      <c r="J205" s="191" t="str" cm="1">
        <f t="array" ref="J205">_xlfn.TEXTJOIN(", ", TRUE, IFERROR(_xlfn._xlws.FILTER(Table3[Holiday Name], (DIST!K205 &gt;= Table3[start]) * (DIST!K205&lt;= Table3[end])), ""))</f>
        <v/>
      </c>
      <c r="K205" s="57"/>
      <c r="L205" s="80"/>
      <c r="M205" s="80"/>
      <c r="N205" s="80"/>
      <c r="O205" s="81"/>
      <c r="P205" s="102"/>
      <c r="Q205" s="190"/>
      <c r="R205" s="139"/>
      <c r="S205" s="138"/>
    </row>
    <row r="206" spans="3:19" x14ac:dyDescent="0.35">
      <c r="C206" s="126"/>
      <c r="D206" s="80"/>
      <c r="E206" s="80"/>
      <c r="F206" s="80"/>
      <c r="G206" s="80"/>
      <c r="H206" s="102"/>
      <c r="I206" s="95"/>
      <c r="J206" s="191" t="str" cm="1">
        <f t="array" ref="J206">_xlfn.TEXTJOIN(", ", TRUE, IFERROR(_xlfn._xlws.FILTER(Table3[Holiday Name], (DIST!K206 &gt;= Table3[start]) * (DIST!K206&lt;= Table3[end])), ""))</f>
        <v/>
      </c>
      <c r="K206" s="57"/>
      <c r="L206" s="80"/>
      <c r="M206" s="80"/>
      <c r="N206" s="80"/>
      <c r="O206" s="81"/>
      <c r="P206" s="102"/>
      <c r="Q206" s="190"/>
      <c r="R206" s="139"/>
      <c r="S206" s="138"/>
    </row>
    <row r="207" spans="3:19" x14ac:dyDescent="0.35">
      <c r="C207" s="126"/>
      <c r="D207" s="80"/>
      <c r="E207" s="80"/>
      <c r="F207" s="80"/>
      <c r="G207" s="80"/>
      <c r="H207" s="102"/>
      <c r="I207" s="95"/>
      <c r="J207" s="191" t="str" cm="1">
        <f t="array" ref="J207">_xlfn.TEXTJOIN(", ", TRUE, IFERROR(_xlfn._xlws.FILTER(Table3[Holiday Name], (DIST!K207 &gt;= Table3[start]) * (DIST!K207&lt;= Table3[end])), ""))</f>
        <v/>
      </c>
      <c r="K207" s="57"/>
      <c r="L207" s="80"/>
      <c r="M207" s="80"/>
      <c r="N207" s="80"/>
      <c r="O207" s="81"/>
      <c r="P207" s="102"/>
      <c r="Q207" s="190"/>
      <c r="R207" s="139"/>
      <c r="S207" s="138"/>
    </row>
    <row r="208" spans="3:19" x14ac:dyDescent="0.35">
      <c r="C208" s="126"/>
      <c r="D208" s="80"/>
      <c r="E208" s="80"/>
      <c r="F208" s="80"/>
      <c r="G208" s="80"/>
      <c r="H208" s="102"/>
      <c r="I208" s="95"/>
      <c r="J208" s="191" t="str" cm="1">
        <f t="array" ref="J208">_xlfn.TEXTJOIN(", ", TRUE, IFERROR(_xlfn._xlws.FILTER(Table3[Holiday Name], (DIST!K208 &gt;= Table3[start]) * (DIST!K208&lt;= Table3[end])), ""))</f>
        <v/>
      </c>
      <c r="K208" s="57"/>
      <c r="L208" s="80"/>
      <c r="M208" s="80"/>
      <c r="N208" s="80"/>
      <c r="O208" s="81"/>
      <c r="P208" s="102"/>
      <c r="Q208" s="190"/>
      <c r="R208" s="139"/>
      <c r="S208" s="138"/>
    </row>
    <row r="209" spans="3:19" x14ac:dyDescent="0.35">
      <c r="C209" s="126"/>
      <c r="D209" s="80"/>
      <c r="E209" s="80"/>
      <c r="F209" s="80"/>
      <c r="G209" s="80"/>
      <c r="H209" s="102"/>
      <c r="I209" s="95"/>
      <c r="J209" s="191" t="str" cm="1">
        <f t="array" ref="J209">_xlfn.TEXTJOIN(", ", TRUE, IFERROR(_xlfn._xlws.FILTER(Table3[Holiday Name], (DIST!K209 &gt;= Table3[start]) * (DIST!K209&lt;= Table3[end])), ""))</f>
        <v/>
      </c>
      <c r="K209" s="57"/>
      <c r="L209" s="80"/>
      <c r="M209" s="80"/>
      <c r="N209" s="80"/>
      <c r="O209" s="81"/>
      <c r="P209" s="102"/>
      <c r="Q209" s="190"/>
      <c r="R209" s="139"/>
      <c r="S209" s="138"/>
    </row>
    <row r="210" spans="3:19" x14ac:dyDescent="0.35">
      <c r="C210" s="126"/>
      <c r="D210" s="80"/>
      <c r="E210" s="80"/>
      <c r="F210" s="80"/>
      <c r="G210" s="80"/>
      <c r="H210" s="102"/>
      <c r="I210" s="95"/>
      <c r="J210" s="191" t="str" cm="1">
        <f t="array" ref="J210">_xlfn.TEXTJOIN(", ", TRUE, IFERROR(_xlfn._xlws.FILTER(Table3[Holiday Name], (DIST!K210 &gt;= Table3[start]) * (DIST!K210&lt;= Table3[end])), ""))</f>
        <v/>
      </c>
      <c r="K210" s="57"/>
      <c r="L210" s="80"/>
      <c r="M210" s="80"/>
      <c r="N210" s="80"/>
      <c r="O210" s="81"/>
      <c r="P210" s="102"/>
      <c r="Q210" s="190"/>
      <c r="R210" s="139"/>
      <c r="S210" s="138"/>
    </row>
    <row r="211" spans="3:19" x14ac:dyDescent="0.35">
      <c r="C211" s="126"/>
      <c r="D211" s="80"/>
      <c r="E211" s="80"/>
      <c r="F211" s="80"/>
      <c r="G211" s="80"/>
      <c r="H211" s="102"/>
      <c r="I211" s="95"/>
      <c r="J211" s="191" t="str" cm="1">
        <f t="array" ref="J211">_xlfn.TEXTJOIN(", ", TRUE, IFERROR(_xlfn._xlws.FILTER(Table3[Holiday Name], (DIST!K211 &gt;= Table3[start]) * (DIST!K211&lt;= Table3[end])), ""))</f>
        <v/>
      </c>
      <c r="K211" s="57"/>
      <c r="L211" s="80"/>
      <c r="M211" s="80"/>
      <c r="N211" s="80"/>
      <c r="O211" s="81"/>
      <c r="P211" s="102"/>
      <c r="Q211" s="190"/>
      <c r="R211" s="139"/>
      <c r="S211" s="138"/>
    </row>
    <row r="212" spans="3:19" x14ac:dyDescent="0.35">
      <c r="C212" s="126"/>
      <c r="D212" s="80"/>
      <c r="E212" s="80"/>
      <c r="F212" s="80"/>
      <c r="G212" s="80"/>
      <c r="H212" s="102"/>
      <c r="I212" s="95"/>
      <c r="J212" s="191" t="str" cm="1">
        <f t="array" ref="J212">_xlfn.TEXTJOIN(", ", TRUE, IFERROR(_xlfn._xlws.FILTER(Table3[Holiday Name], (DIST!K212 &gt;= Table3[start]) * (DIST!K212&lt;= Table3[end])), ""))</f>
        <v/>
      </c>
      <c r="K212" s="57"/>
      <c r="L212" s="80"/>
      <c r="M212" s="80"/>
      <c r="N212" s="80"/>
      <c r="O212" s="81"/>
      <c r="P212" s="102"/>
      <c r="Q212" s="190"/>
      <c r="R212" s="139"/>
      <c r="S212" s="138"/>
    </row>
    <row r="213" spans="3:19" x14ac:dyDescent="0.35">
      <c r="C213" s="126"/>
      <c r="D213" s="80"/>
      <c r="E213" s="80"/>
      <c r="F213" s="80"/>
      <c r="G213" s="80"/>
      <c r="H213" s="102"/>
      <c r="I213" s="95"/>
      <c r="J213" s="191" t="str" cm="1">
        <f t="array" ref="J213">_xlfn.TEXTJOIN(", ", TRUE, IFERROR(_xlfn._xlws.FILTER(Table3[Holiday Name], (DIST!K213 &gt;= Table3[start]) * (DIST!K213&lt;= Table3[end])), ""))</f>
        <v/>
      </c>
      <c r="K213" s="57"/>
      <c r="L213" s="80"/>
      <c r="M213" s="80"/>
      <c r="N213" s="80"/>
      <c r="O213" s="81"/>
      <c r="P213" s="102"/>
      <c r="Q213" s="190"/>
      <c r="R213" s="139"/>
      <c r="S213" s="138"/>
    </row>
    <row r="214" spans="3:19" x14ac:dyDescent="0.35">
      <c r="C214" s="126"/>
      <c r="D214" s="80"/>
      <c r="E214" s="80"/>
      <c r="F214" s="80"/>
      <c r="G214" s="80"/>
      <c r="H214" s="102"/>
      <c r="I214" s="95"/>
      <c r="J214" s="191" t="str" cm="1">
        <f t="array" ref="J214">_xlfn.TEXTJOIN(", ", TRUE, IFERROR(_xlfn._xlws.FILTER(Table3[Holiday Name], (DIST!K214 &gt;= Table3[start]) * (DIST!K214&lt;= Table3[end])), ""))</f>
        <v/>
      </c>
      <c r="K214" s="57"/>
      <c r="L214" s="80"/>
      <c r="M214" s="80"/>
      <c r="N214" s="80"/>
      <c r="O214" s="81"/>
      <c r="P214" s="102"/>
      <c r="Q214" s="190"/>
      <c r="R214" s="139"/>
      <c r="S214" s="138"/>
    </row>
    <row r="215" spans="3:19" x14ac:dyDescent="0.35">
      <c r="C215" s="126"/>
      <c r="D215" s="80"/>
      <c r="E215" s="80"/>
      <c r="F215" s="80"/>
      <c r="G215" s="80"/>
      <c r="H215" s="102"/>
      <c r="I215" s="95"/>
      <c r="J215" s="191" t="str" cm="1">
        <f t="array" ref="J215">_xlfn.TEXTJOIN(", ", TRUE, IFERROR(_xlfn._xlws.FILTER(Table3[Holiday Name], (DIST!K215 &gt;= Table3[start]) * (DIST!K215&lt;= Table3[end])), ""))</f>
        <v/>
      </c>
      <c r="K215" s="57"/>
      <c r="L215" s="80"/>
      <c r="M215" s="80"/>
      <c r="N215" s="80"/>
      <c r="O215" s="81"/>
      <c r="P215" s="102"/>
      <c r="Q215" s="190"/>
      <c r="R215" s="139"/>
      <c r="S215" s="138"/>
    </row>
    <row r="216" spans="3:19" x14ac:dyDescent="0.35">
      <c r="C216" s="126"/>
      <c r="D216" s="80"/>
      <c r="E216" s="80"/>
      <c r="F216" s="80"/>
      <c r="G216" s="80"/>
      <c r="H216" s="102"/>
      <c r="I216" s="95"/>
      <c r="J216" s="191" t="str" cm="1">
        <f t="array" ref="J216">_xlfn.TEXTJOIN(", ", TRUE, IFERROR(_xlfn._xlws.FILTER(Table3[Holiday Name], (DIST!K216 &gt;= Table3[start]) * (DIST!K216&lt;= Table3[end])), ""))</f>
        <v/>
      </c>
      <c r="K216" s="57"/>
      <c r="L216" s="80"/>
      <c r="M216" s="80"/>
      <c r="N216" s="80"/>
      <c r="O216" s="81"/>
      <c r="P216" s="102"/>
      <c r="Q216" s="190"/>
      <c r="R216" s="139"/>
      <c r="S216" s="138"/>
    </row>
    <row r="217" spans="3:19" x14ac:dyDescent="0.35">
      <c r="C217" s="126"/>
      <c r="D217" s="80"/>
      <c r="E217" s="80"/>
      <c r="F217" s="80"/>
      <c r="G217" s="80"/>
      <c r="H217" s="102"/>
      <c r="I217" s="95"/>
      <c r="J217" s="191" t="str" cm="1">
        <f t="array" ref="J217">_xlfn.TEXTJOIN(", ", TRUE, IFERROR(_xlfn._xlws.FILTER(Table3[Holiday Name], (DIST!K217 &gt;= Table3[start]) * (DIST!K217&lt;= Table3[end])), ""))</f>
        <v/>
      </c>
      <c r="K217" s="57"/>
      <c r="L217" s="80"/>
      <c r="M217" s="80"/>
      <c r="N217" s="80"/>
      <c r="O217" s="81"/>
      <c r="P217" s="102"/>
      <c r="Q217" s="190"/>
      <c r="R217" s="139"/>
      <c r="S217" s="138"/>
    </row>
    <row r="218" spans="3:19" x14ac:dyDescent="0.35">
      <c r="C218" s="126"/>
      <c r="D218" s="80"/>
      <c r="E218" s="80"/>
      <c r="F218" s="80"/>
      <c r="G218" s="80"/>
      <c r="H218" s="102"/>
      <c r="I218" s="95"/>
      <c r="J218" s="191" t="str" cm="1">
        <f t="array" ref="J218">_xlfn.TEXTJOIN(", ", TRUE, IFERROR(_xlfn._xlws.FILTER(Table3[Holiday Name], (DIST!K218 &gt;= Table3[start]) * (DIST!K218&lt;= Table3[end])), ""))</f>
        <v/>
      </c>
      <c r="K218" s="57"/>
      <c r="L218" s="80"/>
      <c r="M218" s="80"/>
      <c r="N218" s="80"/>
      <c r="O218" s="81"/>
      <c r="P218" s="102"/>
      <c r="Q218" s="190"/>
      <c r="R218" s="139"/>
      <c r="S218" s="138"/>
    </row>
    <row r="219" spans="3:19" x14ac:dyDescent="0.35">
      <c r="C219" s="126"/>
      <c r="D219" s="80"/>
      <c r="E219" s="80"/>
      <c r="F219" s="80"/>
      <c r="G219" s="80"/>
      <c r="H219" s="102"/>
      <c r="I219" s="95"/>
      <c r="J219" s="191" t="str" cm="1">
        <f t="array" ref="J219">_xlfn.TEXTJOIN(", ", TRUE, IFERROR(_xlfn._xlws.FILTER(Table3[Holiday Name], (DIST!K219 &gt;= Table3[start]) * (DIST!K219&lt;= Table3[end])), ""))</f>
        <v/>
      </c>
      <c r="K219" s="57"/>
      <c r="L219" s="80"/>
      <c r="M219" s="80"/>
      <c r="N219" s="80"/>
      <c r="O219" s="81"/>
      <c r="P219" s="102"/>
      <c r="Q219" s="190"/>
      <c r="R219" s="139"/>
      <c r="S219" s="138"/>
    </row>
    <row r="220" spans="3:19" x14ac:dyDescent="0.35">
      <c r="C220" s="126"/>
      <c r="D220" s="80"/>
      <c r="E220" s="80"/>
      <c r="F220" s="80"/>
      <c r="G220" s="80"/>
      <c r="H220" s="102"/>
      <c r="I220" s="95"/>
      <c r="J220" s="191" t="str" cm="1">
        <f t="array" ref="J220">_xlfn.TEXTJOIN(", ", TRUE, IFERROR(_xlfn._xlws.FILTER(Table3[Holiday Name], (DIST!K220 &gt;= Table3[start]) * (DIST!K220&lt;= Table3[end])), ""))</f>
        <v/>
      </c>
      <c r="K220" s="57"/>
      <c r="L220" s="80"/>
      <c r="M220" s="80"/>
      <c r="N220" s="80"/>
      <c r="O220" s="81"/>
      <c r="P220" s="102"/>
      <c r="Q220" s="190"/>
      <c r="R220" s="139"/>
      <c r="S220" s="138"/>
    </row>
    <row r="221" spans="3:19" x14ac:dyDescent="0.35">
      <c r="C221" s="126"/>
      <c r="D221" s="80"/>
      <c r="E221" s="80"/>
      <c r="F221" s="80"/>
      <c r="G221" s="80"/>
      <c r="H221" s="102"/>
      <c r="I221" s="95"/>
      <c r="J221" s="191" t="str" cm="1">
        <f t="array" ref="J221">_xlfn.TEXTJOIN(", ", TRUE, IFERROR(_xlfn._xlws.FILTER(Table3[Holiday Name], (DIST!K221 &gt;= Table3[start]) * (DIST!K221&lt;= Table3[end])), ""))</f>
        <v/>
      </c>
      <c r="K221" s="57"/>
      <c r="L221" s="80"/>
      <c r="M221" s="80"/>
      <c r="N221" s="80"/>
      <c r="O221" s="81"/>
      <c r="P221" s="102"/>
      <c r="Q221" s="190"/>
      <c r="R221" s="139"/>
      <c r="S221" s="138"/>
    </row>
    <row r="222" spans="3:19" x14ac:dyDescent="0.35">
      <c r="C222" s="126"/>
      <c r="D222" s="80"/>
      <c r="E222" s="80"/>
      <c r="F222" s="80"/>
      <c r="G222" s="80"/>
      <c r="H222" s="102"/>
      <c r="I222" s="95"/>
      <c r="J222" s="191" t="str" cm="1">
        <f t="array" ref="J222">_xlfn.TEXTJOIN(", ", TRUE, IFERROR(_xlfn._xlws.FILTER(Table3[Holiday Name], (DIST!K222 &gt;= Table3[start]) * (DIST!K222&lt;= Table3[end])), ""))</f>
        <v/>
      </c>
      <c r="K222" s="57"/>
      <c r="L222" s="80"/>
      <c r="M222" s="80"/>
      <c r="N222" s="80"/>
      <c r="O222" s="81"/>
      <c r="P222" s="102"/>
      <c r="Q222" s="190"/>
      <c r="R222" s="139"/>
      <c r="S222" s="138"/>
    </row>
    <row r="223" spans="3:19" x14ac:dyDescent="0.35">
      <c r="C223" s="126"/>
      <c r="D223" s="80"/>
      <c r="E223" s="80"/>
      <c r="F223" s="80"/>
      <c r="G223" s="80"/>
      <c r="H223" s="102"/>
      <c r="I223" s="95"/>
      <c r="J223" s="191" t="str" cm="1">
        <f t="array" ref="J223">_xlfn.TEXTJOIN(", ", TRUE, IFERROR(_xlfn._xlws.FILTER(Table3[Holiday Name], (DIST!K223 &gt;= Table3[start]) * (DIST!K223&lt;= Table3[end])), ""))</f>
        <v/>
      </c>
      <c r="K223" s="57"/>
      <c r="L223" s="80"/>
      <c r="M223" s="80"/>
      <c r="N223" s="80"/>
      <c r="O223" s="81"/>
      <c r="P223" s="102"/>
      <c r="Q223" s="190"/>
      <c r="R223" s="139"/>
      <c r="S223" s="138"/>
    </row>
    <row r="224" spans="3:19" x14ac:dyDescent="0.35">
      <c r="C224" s="126"/>
      <c r="D224" s="80"/>
      <c r="E224" s="80"/>
      <c r="F224" s="80"/>
      <c r="G224" s="80"/>
      <c r="H224" s="102"/>
      <c r="I224" s="95"/>
      <c r="J224" s="191" t="str" cm="1">
        <f t="array" ref="J224">_xlfn.TEXTJOIN(", ", TRUE, IFERROR(_xlfn._xlws.FILTER(Table3[Holiday Name], (DIST!K224 &gt;= Table3[start]) * (DIST!K224&lt;= Table3[end])), ""))</f>
        <v/>
      </c>
      <c r="K224" s="57"/>
      <c r="L224" s="80"/>
      <c r="M224" s="80"/>
      <c r="N224" s="80"/>
      <c r="O224" s="81"/>
      <c r="P224" s="102"/>
      <c r="Q224" s="190"/>
      <c r="R224" s="139"/>
      <c r="S224" s="138"/>
    </row>
    <row r="225" spans="3:19" x14ac:dyDescent="0.35">
      <c r="C225" s="126"/>
      <c r="D225" s="80"/>
      <c r="E225" s="80"/>
      <c r="F225" s="80"/>
      <c r="G225" s="80"/>
      <c r="H225" s="102"/>
      <c r="I225" s="95"/>
      <c r="J225" s="191" t="str" cm="1">
        <f t="array" ref="J225">_xlfn.TEXTJOIN(", ", TRUE, IFERROR(_xlfn._xlws.FILTER(Table3[Holiday Name], (DIST!K225 &gt;= Table3[start]) * (DIST!K225&lt;= Table3[end])), ""))</f>
        <v/>
      </c>
      <c r="K225" s="57"/>
      <c r="L225" s="80"/>
      <c r="M225" s="80"/>
      <c r="N225" s="80"/>
      <c r="O225" s="81"/>
      <c r="P225" s="102"/>
      <c r="Q225" s="190"/>
      <c r="R225" s="139"/>
      <c r="S225" s="138"/>
    </row>
    <row r="226" spans="3:19" x14ac:dyDescent="0.35">
      <c r="C226" s="126"/>
      <c r="D226" s="80"/>
      <c r="E226" s="80"/>
      <c r="F226" s="80"/>
      <c r="G226" s="80"/>
      <c r="H226" s="102"/>
      <c r="I226" s="95"/>
      <c r="J226" s="191" t="str" cm="1">
        <f t="array" ref="J226">_xlfn.TEXTJOIN(", ", TRUE, IFERROR(_xlfn._xlws.FILTER(Table3[Holiday Name], (DIST!K226 &gt;= Table3[start]) * (DIST!K226&lt;= Table3[end])), ""))</f>
        <v/>
      </c>
      <c r="K226" s="57"/>
      <c r="L226" s="80"/>
      <c r="M226" s="80"/>
      <c r="N226" s="80"/>
      <c r="O226" s="81"/>
      <c r="P226" s="102"/>
      <c r="Q226" s="190"/>
      <c r="R226" s="139"/>
      <c r="S226" s="138"/>
    </row>
    <row r="227" spans="3:19" x14ac:dyDescent="0.35">
      <c r="C227" s="126"/>
      <c r="D227" s="80"/>
      <c r="E227" s="80"/>
      <c r="F227" s="80"/>
      <c r="G227" s="80"/>
      <c r="H227" s="102"/>
      <c r="I227" s="95"/>
      <c r="J227" s="191" t="str" cm="1">
        <f t="array" ref="J227">_xlfn.TEXTJOIN(", ", TRUE, IFERROR(_xlfn._xlws.FILTER(Table3[Holiday Name], (DIST!K227 &gt;= Table3[start]) * (DIST!K227&lt;= Table3[end])), ""))</f>
        <v/>
      </c>
      <c r="K227" s="57"/>
      <c r="L227" s="80"/>
      <c r="M227" s="80"/>
      <c r="N227" s="80"/>
      <c r="O227" s="81"/>
      <c r="P227" s="102"/>
      <c r="Q227" s="190"/>
      <c r="R227" s="139"/>
      <c r="S227" s="138"/>
    </row>
    <row r="228" spans="3:19" x14ac:dyDescent="0.35">
      <c r="C228" s="126"/>
      <c r="D228" s="80"/>
      <c r="E228" s="80"/>
      <c r="F228" s="80"/>
      <c r="G228" s="80"/>
      <c r="H228" s="102"/>
      <c r="I228" s="95"/>
      <c r="J228" s="191" t="str" cm="1">
        <f t="array" ref="J228">_xlfn.TEXTJOIN(", ", TRUE, IFERROR(_xlfn._xlws.FILTER(Table3[Holiday Name], (DIST!K228 &gt;= Table3[start]) * (DIST!K228&lt;= Table3[end])), ""))</f>
        <v/>
      </c>
      <c r="K228" s="57"/>
      <c r="L228" s="80"/>
      <c r="M228" s="80"/>
      <c r="N228" s="80"/>
      <c r="O228" s="81"/>
      <c r="P228" s="102"/>
      <c r="Q228" s="190"/>
      <c r="R228" s="139"/>
      <c r="S228" s="138"/>
    </row>
    <row r="229" spans="3:19" x14ac:dyDescent="0.35">
      <c r="C229" s="126"/>
      <c r="D229" s="80"/>
      <c r="E229" s="80"/>
      <c r="F229" s="80"/>
      <c r="G229" s="80"/>
      <c r="H229" s="102"/>
      <c r="I229" s="95"/>
      <c r="J229" s="191" t="str" cm="1">
        <f t="array" ref="J229">_xlfn.TEXTJOIN(", ", TRUE, IFERROR(_xlfn._xlws.FILTER(Table3[Holiday Name], (DIST!K229 &gt;= Table3[start]) * (DIST!K229&lt;= Table3[end])), ""))</f>
        <v/>
      </c>
      <c r="K229" s="57"/>
      <c r="L229" s="80"/>
      <c r="M229" s="80"/>
      <c r="N229" s="80"/>
      <c r="O229" s="81"/>
      <c r="P229" s="102"/>
      <c r="Q229" s="190"/>
      <c r="R229" s="139"/>
      <c r="S229" s="138"/>
    </row>
    <row r="230" spans="3:19" x14ac:dyDescent="0.35">
      <c r="C230" s="126"/>
      <c r="D230" s="80"/>
      <c r="E230" s="80"/>
      <c r="F230" s="80"/>
      <c r="G230" s="80"/>
      <c r="H230" s="102"/>
      <c r="I230" s="95"/>
      <c r="J230" s="191" t="str" cm="1">
        <f t="array" ref="J230">_xlfn.TEXTJOIN(", ", TRUE, IFERROR(_xlfn._xlws.FILTER(Table3[Holiday Name], (DIST!K230 &gt;= Table3[start]) * (DIST!K230&lt;= Table3[end])), ""))</f>
        <v/>
      </c>
      <c r="K230" s="57"/>
      <c r="L230" s="80"/>
      <c r="M230" s="80"/>
      <c r="N230" s="80"/>
      <c r="O230" s="81"/>
      <c r="P230" s="102"/>
      <c r="Q230" s="190"/>
      <c r="R230" s="139"/>
      <c r="S230" s="138"/>
    </row>
    <row r="231" spans="3:19" x14ac:dyDescent="0.35">
      <c r="C231" s="126"/>
      <c r="D231" s="80"/>
      <c r="E231" s="80"/>
      <c r="F231" s="80"/>
      <c r="G231" s="80"/>
      <c r="H231" s="102"/>
      <c r="I231" s="95"/>
      <c r="J231" s="191" t="str" cm="1">
        <f t="array" ref="J231">_xlfn.TEXTJOIN(", ", TRUE, IFERROR(_xlfn._xlws.FILTER(Table3[Holiday Name], (DIST!K231 &gt;= Table3[start]) * (DIST!K231&lt;= Table3[end])), ""))</f>
        <v/>
      </c>
      <c r="K231" s="57"/>
      <c r="L231" s="80"/>
      <c r="M231" s="80"/>
      <c r="N231" s="80"/>
      <c r="O231" s="81"/>
      <c r="P231" s="102"/>
      <c r="Q231" s="190"/>
      <c r="R231" s="139"/>
      <c r="S231" s="138"/>
    </row>
    <row r="232" spans="3:19" x14ac:dyDescent="0.35">
      <c r="C232" s="126"/>
      <c r="D232" s="80"/>
      <c r="E232" s="80"/>
      <c r="F232" s="80"/>
      <c r="G232" s="80"/>
      <c r="H232" s="102"/>
      <c r="I232" s="95"/>
      <c r="J232" s="191" t="str" cm="1">
        <f t="array" ref="J232">_xlfn.TEXTJOIN(", ", TRUE, IFERROR(_xlfn._xlws.FILTER(Table3[Holiday Name], (DIST!K232 &gt;= Table3[start]) * (DIST!K232&lt;= Table3[end])), ""))</f>
        <v/>
      </c>
      <c r="K232" s="57"/>
      <c r="L232" s="80"/>
      <c r="M232" s="80"/>
      <c r="N232" s="80"/>
      <c r="O232" s="81"/>
      <c r="P232" s="102"/>
      <c r="Q232" s="190"/>
      <c r="R232" s="139"/>
      <c r="S232" s="138"/>
    </row>
    <row r="233" spans="3:19" x14ac:dyDescent="0.35">
      <c r="C233" s="126"/>
      <c r="D233" s="80"/>
      <c r="E233" s="80"/>
      <c r="F233" s="80"/>
      <c r="G233" s="80"/>
      <c r="H233" s="102"/>
      <c r="I233" s="95"/>
      <c r="J233" s="191" t="str" cm="1">
        <f t="array" ref="J233">_xlfn.TEXTJOIN(", ", TRUE, IFERROR(_xlfn._xlws.FILTER(Table3[Holiday Name], (DIST!K233 &gt;= Table3[start]) * (DIST!K233&lt;= Table3[end])), ""))</f>
        <v/>
      </c>
      <c r="K233" s="57"/>
      <c r="L233" s="80"/>
      <c r="M233" s="80"/>
      <c r="N233" s="80"/>
      <c r="O233" s="81"/>
      <c r="P233" s="102"/>
      <c r="Q233" s="190"/>
      <c r="R233" s="139"/>
      <c r="S233" s="138"/>
    </row>
    <row r="234" spans="3:19" x14ac:dyDescent="0.35">
      <c r="C234" s="126"/>
      <c r="D234" s="80"/>
      <c r="E234" s="80"/>
      <c r="F234" s="80"/>
      <c r="G234" s="80"/>
      <c r="H234" s="102"/>
      <c r="I234" s="95"/>
      <c r="J234" s="191" t="str" cm="1">
        <f t="array" ref="J234">_xlfn.TEXTJOIN(", ", TRUE, IFERROR(_xlfn._xlws.FILTER(Table3[Holiday Name], (DIST!K234 &gt;= Table3[start]) * (DIST!K234&lt;= Table3[end])), ""))</f>
        <v/>
      </c>
      <c r="K234" s="57"/>
      <c r="L234" s="80"/>
      <c r="M234" s="80"/>
      <c r="N234" s="80"/>
      <c r="O234" s="81"/>
      <c r="P234" s="102"/>
      <c r="Q234" s="190"/>
      <c r="R234" s="139"/>
      <c r="S234" s="138"/>
    </row>
    <row r="235" spans="3:19" x14ac:dyDescent="0.35">
      <c r="C235" s="126"/>
      <c r="D235" s="80"/>
      <c r="E235" s="80"/>
      <c r="F235" s="80"/>
      <c r="G235" s="80"/>
      <c r="H235" s="102"/>
      <c r="I235" s="95"/>
      <c r="J235" s="191" t="str" cm="1">
        <f t="array" ref="J235">_xlfn.TEXTJOIN(", ", TRUE, IFERROR(_xlfn._xlws.FILTER(Table3[Holiday Name], (DIST!K235 &gt;= Table3[start]) * (DIST!K235&lt;= Table3[end])), ""))</f>
        <v/>
      </c>
      <c r="K235" s="57"/>
      <c r="L235" s="80"/>
      <c r="M235" s="80"/>
      <c r="N235" s="80"/>
      <c r="O235" s="81"/>
      <c r="P235" s="102"/>
      <c r="Q235" s="190"/>
      <c r="R235" s="139"/>
      <c r="S235" s="138"/>
    </row>
    <row r="236" spans="3:19" x14ac:dyDescent="0.35">
      <c r="C236" s="126"/>
      <c r="D236" s="80"/>
      <c r="E236" s="80"/>
      <c r="F236" s="80"/>
      <c r="G236" s="80"/>
      <c r="H236" s="102"/>
      <c r="I236" s="95"/>
      <c r="J236" s="191" t="str" cm="1">
        <f t="array" ref="J236">_xlfn.TEXTJOIN(", ", TRUE, IFERROR(_xlfn._xlws.FILTER(Table3[Holiday Name], (DIST!K236 &gt;= Table3[start]) * (DIST!K236&lt;= Table3[end])), ""))</f>
        <v/>
      </c>
      <c r="K236" s="57"/>
      <c r="L236" s="80"/>
      <c r="M236" s="80"/>
      <c r="N236" s="80"/>
      <c r="O236" s="81"/>
      <c r="P236" s="102"/>
      <c r="Q236" s="190"/>
      <c r="R236" s="139"/>
      <c r="S236" s="138"/>
    </row>
    <row r="237" spans="3:19" x14ac:dyDescent="0.35">
      <c r="C237" s="126"/>
      <c r="D237" s="80"/>
      <c r="E237" s="80"/>
      <c r="F237" s="80"/>
      <c r="G237" s="80"/>
      <c r="H237" s="102"/>
      <c r="I237" s="95"/>
      <c r="J237" s="191" t="str" cm="1">
        <f t="array" ref="J237">_xlfn.TEXTJOIN(", ", TRUE, IFERROR(_xlfn._xlws.FILTER(Table3[Holiday Name], (DIST!K237 &gt;= Table3[start]) * (DIST!K237&lt;= Table3[end])), ""))</f>
        <v/>
      </c>
      <c r="K237" s="57"/>
      <c r="L237" s="80"/>
      <c r="M237" s="80"/>
      <c r="N237" s="80"/>
      <c r="O237" s="81"/>
      <c r="P237" s="102"/>
      <c r="Q237" s="190"/>
      <c r="R237" s="139"/>
      <c r="S237" s="138"/>
    </row>
    <row r="238" spans="3:19" x14ac:dyDescent="0.35">
      <c r="C238" s="126"/>
      <c r="D238" s="80"/>
      <c r="E238" s="80"/>
      <c r="F238" s="80"/>
      <c r="G238" s="80"/>
      <c r="H238" s="102"/>
      <c r="I238" s="95"/>
      <c r="J238" s="191" t="str" cm="1">
        <f t="array" ref="J238">_xlfn.TEXTJOIN(", ", TRUE, IFERROR(_xlfn._xlws.FILTER(Table3[Holiday Name], (DIST!K238 &gt;= Table3[start]) * (DIST!K238&lt;= Table3[end])), ""))</f>
        <v/>
      </c>
      <c r="K238" s="57"/>
      <c r="L238" s="80"/>
      <c r="M238" s="80"/>
      <c r="N238" s="80"/>
      <c r="O238" s="81"/>
      <c r="P238" s="102"/>
      <c r="Q238" s="190"/>
      <c r="R238" s="139"/>
      <c r="S238" s="138"/>
    </row>
    <row r="239" spans="3:19" x14ac:dyDescent="0.35">
      <c r="C239" s="126"/>
      <c r="D239" s="80"/>
      <c r="E239" s="80"/>
      <c r="F239" s="80"/>
      <c r="G239" s="80"/>
      <c r="H239" s="102"/>
      <c r="I239" s="95"/>
      <c r="J239" s="191" t="str" cm="1">
        <f t="array" ref="J239">_xlfn.TEXTJOIN(", ", TRUE, IFERROR(_xlfn._xlws.FILTER(Table3[Holiday Name], (DIST!K239 &gt;= Table3[start]) * (DIST!K239&lt;= Table3[end])), ""))</f>
        <v/>
      </c>
      <c r="K239" s="57"/>
      <c r="L239" s="80"/>
      <c r="M239" s="80"/>
      <c r="N239" s="80"/>
      <c r="O239" s="81"/>
      <c r="P239" s="102"/>
      <c r="Q239" s="190"/>
      <c r="R239" s="139"/>
      <c r="S239" s="138"/>
    </row>
    <row r="240" spans="3:19" x14ac:dyDescent="0.35">
      <c r="C240" s="126"/>
      <c r="D240" s="80"/>
      <c r="E240" s="80"/>
      <c r="F240" s="80"/>
      <c r="G240" s="80"/>
      <c r="H240" s="102"/>
      <c r="I240" s="95"/>
      <c r="J240" s="191" t="str" cm="1">
        <f t="array" ref="J240">_xlfn.TEXTJOIN(", ", TRUE, IFERROR(_xlfn._xlws.FILTER(Table3[Holiday Name], (DIST!K240 &gt;= Table3[start]) * (DIST!K240&lt;= Table3[end])), ""))</f>
        <v/>
      </c>
      <c r="K240" s="57"/>
      <c r="L240" s="80"/>
      <c r="M240" s="80"/>
      <c r="N240" s="80"/>
      <c r="O240" s="81"/>
      <c r="P240" s="102"/>
      <c r="Q240" s="190"/>
      <c r="R240" s="139"/>
      <c r="S240" s="138"/>
    </row>
    <row r="241" spans="3:19" x14ac:dyDescent="0.35">
      <c r="C241" s="126"/>
      <c r="D241" s="80"/>
      <c r="E241" s="80"/>
      <c r="F241" s="80"/>
      <c r="G241" s="80"/>
      <c r="H241" s="102"/>
      <c r="I241" s="95"/>
      <c r="J241" s="191" t="str" cm="1">
        <f t="array" ref="J241">_xlfn.TEXTJOIN(", ", TRUE, IFERROR(_xlfn._xlws.FILTER(Table3[Holiday Name], (DIST!K241 &gt;= Table3[start]) * (DIST!K241&lt;= Table3[end])), ""))</f>
        <v/>
      </c>
      <c r="K241" s="57"/>
      <c r="L241" s="80"/>
      <c r="M241" s="80"/>
      <c r="N241" s="80"/>
      <c r="O241" s="81"/>
      <c r="P241" s="102"/>
      <c r="Q241" s="190"/>
      <c r="R241" s="139"/>
      <c r="S241" s="138"/>
    </row>
    <row r="242" spans="3:19" x14ac:dyDescent="0.35">
      <c r="C242" s="126"/>
      <c r="D242" s="80"/>
      <c r="E242" s="80"/>
      <c r="F242" s="80"/>
      <c r="G242" s="80"/>
      <c r="H242" s="102"/>
      <c r="I242" s="95"/>
      <c r="J242" s="191" t="str" cm="1">
        <f t="array" ref="J242">_xlfn.TEXTJOIN(", ", TRUE, IFERROR(_xlfn._xlws.FILTER(Table3[Holiday Name], (DIST!K242 &gt;= Table3[start]) * (DIST!K242&lt;= Table3[end])), ""))</f>
        <v/>
      </c>
      <c r="K242" s="57"/>
      <c r="L242" s="80"/>
      <c r="M242" s="80"/>
      <c r="N242" s="80"/>
      <c r="O242" s="81"/>
      <c r="P242" s="102"/>
      <c r="Q242" s="190"/>
      <c r="R242" s="139"/>
      <c r="S242" s="138"/>
    </row>
    <row r="243" spans="3:19" x14ac:dyDescent="0.35">
      <c r="C243" s="126"/>
      <c r="D243" s="80"/>
      <c r="E243" s="80"/>
      <c r="F243" s="80"/>
      <c r="G243" s="80"/>
      <c r="H243" s="102"/>
      <c r="I243" s="95"/>
      <c r="J243" s="191" t="str" cm="1">
        <f t="array" ref="J243">_xlfn.TEXTJOIN(", ", TRUE, IFERROR(_xlfn._xlws.FILTER(Table3[Holiday Name], (DIST!K243 &gt;= Table3[start]) * (DIST!K243&lt;= Table3[end])), ""))</f>
        <v/>
      </c>
      <c r="K243" s="57"/>
      <c r="L243" s="80"/>
      <c r="M243" s="80"/>
      <c r="N243" s="80"/>
      <c r="O243" s="81"/>
      <c r="P243" s="102"/>
      <c r="Q243" s="190"/>
      <c r="R243" s="139"/>
      <c r="S243" s="138"/>
    </row>
    <row r="244" spans="3:19" x14ac:dyDescent="0.35">
      <c r="C244" s="126"/>
      <c r="D244" s="80"/>
      <c r="E244" s="80"/>
      <c r="F244" s="80"/>
      <c r="G244" s="80"/>
      <c r="H244" s="102"/>
      <c r="I244" s="95"/>
      <c r="J244" s="191" t="str" cm="1">
        <f t="array" ref="J244">_xlfn.TEXTJOIN(", ", TRUE, IFERROR(_xlfn._xlws.FILTER(Table3[Holiday Name], (DIST!K244 &gt;= Table3[start]) * (DIST!K244&lt;= Table3[end])), ""))</f>
        <v/>
      </c>
      <c r="K244" s="57"/>
      <c r="L244" s="80"/>
      <c r="M244" s="80"/>
      <c r="N244" s="80"/>
      <c r="O244" s="81"/>
      <c r="P244" s="102"/>
      <c r="Q244" s="190"/>
      <c r="R244" s="139"/>
      <c r="S244" s="138"/>
    </row>
    <row r="245" spans="3:19" x14ac:dyDescent="0.35">
      <c r="C245" s="126"/>
      <c r="D245" s="80"/>
      <c r="E245" s="80"/>
      <c r="F245" s="80"/>
      <c r="G245" s="80"/>
      <c r="H245" s="102"/>
      <c r="I245" s="95"/>
      <c r="J245" s="191" t="str" cm="1">
        <f t="array" ref="J245">_xlfn.TEXTJOIN(", ", TRUE, IFERROR(_xlfn._xlws.FILTER(Table3[Holiday Name], (DIST!K245 &gt;= Table3[start]) * (DIST!K245&lt;= Table3[end])), ""))</f>
        <v/>
      </c>
      <c r="K245" s="57"/>
      <c r="L245" s="80"/>
      <c r="M245" s="80"/>
      <c r="N245" s="80"/>
      <c r="O245" s="81"/>
      <c r="P245" s="102"/>
      <c r="Q245" s="190"/>
      <c r="R245" s="139"/>
      <c r="S245" s="138"/>
    </row>
    <row r="246" spans="3:19" x14ac:dyDescent="0.35">
      <c r="C246" s="126"/>
      <c r="D246" s="80"/>
      <c r="E246" s="80"/>
      <c r="F246" s="80"/>
      <c r="G246" s="80"/>
      <c r="H246" s="102"/>
      <c r="I246" s="95"/>
      <c r="J246" s="191" t="str" cm="1">
        <f t="array" ref="J246">_xlfn.TEXTJOIN(", ", TRUE, IFERROR(_xlfn._xlws.FILTER(Table3[Holiday Name], (DIST!K246 &gt;= Table3[start]) * (DIST!K246&lt;= Table3[end])), ""))</f>
        <v/>
      </c>
      <c r="K246" s="57"/>
      <c r="L246" s="80"/>
      <c r="M246" s="80"/>
      <c r="N246" s="80"/>
      <c r="O246" s="81"/>
      <c r="P246" s="102"/>
      <c r="Q246" s="190"/>
      <c r="R246" s="139"/>
      <c r="S246" s="138"/>
    </row>
    <row r="247" spans="3:19" x14ac:dyDescent="0.35">
      <c r="C247" s="126"/>
      <c r="D247" s="80"/>
      <c r="E247" s="80"/>
      <c r="F247" s="80"/>
      <c r="G247" s="80"/>
      <c r="H247" s="102"/>
      <c r="I247" s="95"/>
      <c r="J247" s="191" t="str" cm="1">
        <f t="array" ref="J247">_xlfn.TEXTJOIN(", ", TRUE, IFERROR(_xlfn._xlws.FILTER(Table3[Holiday Name], (DIST!K247 &gt;= Table3[start]) * (DIST!K247&lt;= Table3[end])), ""))</f>
        <v/>
      </c>
      <c r="K247" s="57"/>
      <c r="L247" s="80"/>
      <c r="M247" s="80"/>
      <c r="N247" s="80"/>
      <c r="O247" s="81"/>
      <c r="P247" s="102"/>
      <c r="Q247" s="190"/>
      <c r="R247" s="139"/>
      <c r="S247" s="138"/>
    </row>
    <row r="248" spans="3:19" x14ac:dyDescent="0.35">
      <c r="C248" s="126"/>
      <c r="D248" s="80"/>
      <c r="E248" s="80"/>
      <c r="F248" s="80"/>
      <c r="G248" s="80"/>
      <c r="H248" s="102"/>
      <c r="I248" s="95"/>
      <c r="J248" s="191" t="str" cm="1">
        <f t="array" ref="J248">_xlfn.TEXTJOIN(", ", TRUE, IFERROR(_xlfn._xlws.FILTER(Table3[Holiday Name], (DIST!K248 &gt;= Table3[start]) * (DIST!K248&lt;= Table3[end])), ""))</f>
        <v/>
      </c>
      <c r="K248" s="57"/>
      <c r="L248" s="80"/>
      <c r="M248" s="80"/>
      <c r="N248" s="80"/>
      <c r="O248" s="81"/>
      <c r="P248" s="102"/>
      <c r="Q248" s="190"/>
      <c r="R248" s="139"/>
      <c r="S248" s="138"/>
    </row>
    <row r="249" spans="3:19" x14ac:dyDescent="0.35">
      <c r="C249" s="126"/>
      <c r="D249" s="80"/>
      <c r="E249" s="80"/>
      <c r="F249" s="80"/>
      <c r="G249" s="80"/>
      <c r="H249" s="102"/>
      <c r="I249" s="95"/>
      <c r="J249" s="191" t="str" cm="1">
        <f t="array" ref="J249">_xlfn.TEXTJOIN(", ", TRUE, IFERROR(_xlfn._xlws.FILTER(Table3[Holiday Name], (DIST!K249 &gt;= Table3[start]) * (DIST!K249&lt;= Table3[end])), ""))</f>
        <v/>
      </c>
      <c r="K249" s="57"/>
      <c r="L249" s="80"/>
      <c r="M249" s="80"/>
      <c r="N249" s="80"/>
      <c r="O249" s="81"/>
      <c r="P249" s="102"/>
      <c r="Q249" s="190"/>
      <c r="R249" s="139"/>
      <c r="S249" s="138"/>
    </row>
    <row r="250" spans="3:19" x14ac:dyDescent="0.35">
      <c r="C250" s="126"/>
      <c r="D250" s="80"/>
      <c r="E250" s="80"/>
      <c r="F250" s="80"/>
      <c r="G250" s="80"/>
      <c r="H250" s="102"/>
      <c r="I250" s="95"/>
      <c r="J250" s="191" t="str" cm="1">
        <f t="array" ref="J250">_xlfn.TEXTJOIN(", ", TRUE, IFERROR(_xlfn._xlws.FILTER(Table3[Holiday Name], (DIST!K250 &gt;= Table3[start]) * (DIST!K250&lt;= Table3[end])), ""))</f>
        <v/>
      </c>
      <c r="K250" s="57"/>
      <c r="L250" s="80"/>
      <c r="M250" s="80"/>
      <c r="N250" s="80"/>
      <c r="O250" s="81"/>
      <c r="P250" s="102"/>
      <c r="Q250" s="190"/>
      <c r="R250" s="139"/>
      <c r="S250" s="138"/>
    </row>
    <row r="251" spans="3:19" x14ac:dyDescent="0.35">
      <c r="C251" s="126"/>
      <c r="D251" s="80"/>
      <c r="E251" s="80"/>
      <c r="F251" s="80"/>
      <c r="G251" s="80"/>
      <c r="H251" s="102"/>
      <c r="I251" s="95"/>
      <c r="J251" s="191" t="str" cm="1">
        <f t="array" ref="J251">_xlfn.TEXTJOIN(", ", TRUE, IFERROR(_xlfn._xlws.FILTER(Table3[Holiday Name], (DIST!K251 &gt;= Table3[start]) * (DIST!K251&lt;= Table3[end])), ""))</f>
        <v/>
      </c>
      <c r="K251" s="57"/>
      <c r="L251" s="80"/>
      <c r="M251" s="80"/>
      <c r="N251" s="80"/>
      <c r="O251" s="81"/>
      <c r="P251" s="102"/>
      <c r="Q251" s="190"/>
      <c r="R251" s="139"/>
      <c r="S251" s="138"/>
    </row>
    <row r="252" spans="3:19" x14ac:dyDescent="0.35">
      <c r="C252" s="126"/>
      <c r="D252" s="80"/>
      <c r="E252" s="80"/>
      <c r="F252" s="80"/>
      <c r="G252" s="80"/>
      <c r="H252" s="102"/>
      <c r="I252" s="95"/>
      <c r="J252" s="191" t="str" cm="1">
        <f t="array" ref="J252">_xlfn.TEXTJOIN(", ", TRUE, IFERROR(_xlfn._xlws.FILTER(Table3[Holiday Name], (DIST!K252 &gt;= Table3[start]) * (DIST!K252&lt;= Table3[end])), ""))</f>
        <v/>
      </c>
      <c r="K252" s="57"/>
      <c r="L252" s="80"/>
      <c r="M252" s="80"/>
      <c r="N252" s="80"/>
      <c r="O252" s="81"/>
      <c r="P252" s="102"/>
      <c r="Q252" s="190"/>
      <c r="R252" s="139"/>
      <c r="S252" s="138"/>
    </row>
    <row r="253" spans="3:19" x14ac:dyDescent="0.35">
      <c r="C253" s="126"/>
      <c r="D253" s="80"/>
      <c r="E253" s="80"/>
      <c r="F253" s="80"/>
      <c r="G253" s="80"/>
      <c r="H253" s="102"/>
      <c r="I253" s="95"/>
      <c r="J253" s="191" t="str" cm="1">
        <f t="array" ref="J253">_xlfn.TEXTJOIN(", ", TRUE, IFERROR(_xlfn._xlws.FILTER(Table3[Holiday Name], (DIST!K253 &gt;= Table3[start]) * (DIST!K253&lt;= Table3[end])), ""))</f>
        <v/>
      </c>
      <c r="K253" s="57"/>
      <c r="L253" s="80"/>
      <c r="M253" s="80"/>
      <c r="N253" s="80"/>
      <c r="O253" s="81"/>
      <c r="P253" s="102"/>
      <c r="Q253" s="190"/>
      <c r="R253" s="139"/>
      <c r="S253" s="138"/>
    </row>
    <row r="254" spans="3:19" x14ac:dyDescent="0.35">
      <c r="C254" s="126"/>
      <c r="D254" s="80"/>
      <c r="E254" s="80"/>
      <c r="F254" s="80"/>
      <c r="G254" s="80"/>
      <c r="H254" s="102"/>
      <c r="I254" s="95"/>
      <c r="J254" s="191" t="str" cm="1">
        <f t="array" ref="J254">_xlfn.TEXTJOIN(", ", TRUE, IFERROR(_xlfn._xlws.FILTER(Table3[Holiday Name], (DIST!K254 &gt;= Table3[start]) * (DIST!K254&lt;= Table3[end])), ""))</f>
        <v/>
      </c>
      <c r="K254" s="57"/>
      <c r="L254" s="80"/>
      <c r="M254" s="80"/>
      <c r="N254" s="80"/>
      <c r="O254" s="81"/>
      <c r="P254" s="102"/>
      <c r="Q254" s="190"/>
      <c r="R254" s="139"/>
      <c r="S254" s="138"/>
    </row>
    <row r="255" spans="3:19" x14ac:dyDescent="0.35">
      <c r="C255" s="126"/>
      <c r="D255" s="80"/>
      <c r="E255" s="80"/>
      <c r="F255" s="80"/>
      <c r="G255" s="80"/>
      <c r="H255" s="102"/>
      <c r="I255" s="95"/>
      <c r="J255" s="191" t="str" cm="1">
        <f t="array" ref="J255">_xlfn.TEXTJOIN(", ", TRUE, IFERROR(_xlfn._xlws.FILTER(Table3[Holiday Name], (DIST!K255 &gt;= Table3[start]) * (DIST!K255&lt;= Table3[end])), ""))</f>
        <v/>
      </c>
      <c r="K255" s="57"/>
      <c r="L255" s="80"/>
      <c r="M255" s="80"/>
      <c r="N255" s="80"/>
      <c r="O255" s="81"/>
      <c r="P255" s="102"/>
      <c r="Q255" s="190"/>
      <c r="R255" s="139"/>
      <c r="S255" s="138"/>
    </row>
    <row r="256" spans="3:19" x14ac:dyDescent="0.35">
      <c r="C256" s="126"/>
      <c r="D256" s="80"/>
      <c r="E256" s="80"/>
      <c r="F256" s="80"/>
      <c r="G256" s="80"/>
      <c r="H256" s="102"/>
      <c r="I256" s="95"/>
      <c r="J256" s="191" t="str" cm="1">
        <f t="array" ref="J256">_xlfn.TEXTJOIN(", ", TRUE, IFERROR(_xlfn._xlws.FILTER(Table3[Holiday Name], (DIST!K256 &gt;= Table3[start]) * (DIST!K256&lt;= Table3[end])), ""))</f>
        <v/>
      </c>
      <c r="K256" s="57"/>
      <c r="L256" s="80"/>
      <c r="M256" s="80"/>
      <c r="N256" s="80"/>
      <c r="O256" s="81"/>
      <c r="P256" s="102"/>
      <c r="Q256" s="190"/>
      <c r="R256" s="139"/>
      <c r="S256" s="138"/>
    </row>
    <row r="257" spans="3:19" x14ac:dyDescent="0.35">
      <c r="C257" s="126"/>
      <c r="D257" s="80"/>
      <c r="E257" s="80"/>
      <c r="F257" s="80"/>
      <c r="G257" s="80"/>
      <c r="H257" s="102"/>
      <c r="I257" s="95"/>
      <c r="J257" s="191" t="str" cm="1">
        <f t="array" ref="J257">_xlfn.TEXTJOIN(", ", TRUE, IFERROR(_xlfn._xlws.FILTER(Table3[Holiday Name], (DIST!K257 &gt;= Table3[start]) * (DIST!K257&lt;= Table3[end])), ""))</f>
        <v/>
      </c>
      <c r="K257" s="57"/>
      <c r="L257" s="80"/>
      <c r="M257" s="80"/>
      <c r="N257" s="80"/>
      <c r="O257" s="81"/>
      <c r="P257" s="102"/>
      <c r="Q257" s="190"/>
      <c r="R257" s="139"/>
      <c r="S257" s="138"/>
    </row>
    <row r="258" spans="3:19" x14ac:dyDescent="0.35">
      <c r="C258" s="126"/>
      <c r="D258" s="80"/>
      <c r="E258" s="80"/>
      <c r="F258" s="80"/>
      <c r="G258" s="80"/>
      <c r="H258" s="102"/>
      <c r="I258" s="95"/>
      <c r="J258" s="191" t="str" cm="1">
        <f t="array" ref="J258">_xlfn.TEXTJOIN(", ", TRUE, IFERROR(_xlfn._xlws.FILTER(Table3[Holiday Name], (DIST!K258 &gt;= Table3[start]) * (DIST!K258&lt;= Table3[end])), ""))</f>
        <v/>
      </c>
      <c r="K258" s="57"/>
      <c r="L258" s="80"/>
      <c r="M258" s="80"/>
      <c r="N258" s="80"/>
      <c r="O258" s="81"/>
      <c r="P258" s="102"/>
      <c r="Q258" s="190"/>
      <c r="R258" s="139"/>
      <c r="S258" s="138"/>
    </row>
    <row r="259" spans="3:19" x14ac:dyDescent="0.35">
      <c r="C259" s="126"/>
      <c r="D259" s="80"/>
      <c r="E259" s="80"/>
      <c r="F259" s="80"/>
      <c r="G259" s="80"/>
      <c r="H259" s="102"/>
      <c r="I259" s="95"/>
      <c r="J259" s="191" t="str" cm="1">
        <f t="array" ref="J259">_xlfn.TEXTJOIN(", ", TRUE, IFERROR(_xlfn._xlws.FILTER(Table3[Holiday Name], (DIST!K259 &gt;= Table3[start]) * (DIST!K259&lt;= Table3[end])), ""))</f>
        <v/>
      </c>
      <c r="K259" s="57"/>
      <c r="L259" s="80"/>
      <c r="M259" s="80"/>
      <c r="N259" s="80"/>
      <c r="O259" s="81"/>
      <c r="P259" s="102"/>
      <c r="Q259" s="190"/>
      <c r="R259" s="139"/>
      <c r="S259" s="138"/>
    </row>
    <row r="260" spans="3:19" x14ac:dyDescent="0.35">
      <c r="C260" s="126"/>
      <c r="D260" s="80"/>
      <c r="E260" s="80"/>
      <c r="F260" s="80"/>
      <c r="G260" s="80"/>
      <c r="H260" s="102"/>
      <c r="I260" s="95"/>
      <c r="J260" s="191" t="str" cm="1">
        <f t="array" ref="J260">_xlfn.TEXTJOIN(", ", TRUE, IFERROR(_xlfn._xlws.FILTER(Table3[Holiday Name], (DIST!K260 &gt;= Table3[start]) * (DIST!K260&lt;= Table3[end])), ""))</f>
        <v/>
      </c>
      <c r="K260" s="57"/>
      <c r="L260" s="80"/>
      <c r="M260" s="80"/>
      <c r="N260" s="80"/>
      <c r="O260" s="81"/>
      <c r="P260" s="102"/>
      <c r="Q260" s="190"/>
      <c r="R260" s="139"/>
      <c r="S260" s="138"/>
    </row>
    <row r="261" spans="3:19" x14ac:dyDescent="0.35">
      <c r="C261" s="126"/>
      <c r="D261" s="80"/>
      <c r="E261" s="80"/>
      <c r="F261" s="80"/>
      <c r="G261" s="80"/>
      <c r="H261" s="102"/>
      <c r="I261" s="95"/>
      <c r="J261" s="191" t="str" cm="1">
        <f t="array" ref="J261">_xlfn.TEXTJOIN(", ", TRUE, IFERROR(_xlfn._xlws.FILTER(Table3[Holiday Name], (DIST!K261 &gt;= Table3[start]) * (DIST!K261&lt;= Table3[end])), ""))</f>
        <v/>
      </c>
      <c r="K261" s="57"/>
      <c r="L261" s="80"/>
      <c r="M261" s="80"/>
      <c r="N261" s="80"/>
      <c r="O261" s="81"/>
      <c r="P261" s="102"/>
      <c r="Q261" s="190"/>
      <c r="R261" s="139"/>
      <c r="S261" s="138"/>
    </row>
    <row r="262" spans="3:19" x14ac:dyDescent="0.35">
      <c r="C262" s="126"/>
      <c r="D262" s="80"/>
      <c r="E262" s="80"/>
      <c r="F262" s="80"/>
      <c r="G262" s="80"/>
      <c r="H262" s="102"/>
      <c r="I262" s="95"/>
      <c r="J262" s="191" t="str" cm="1">
        <f t="array" ref="J262">_xlfn.TEXTJOIN(", ", TRUE, IFERROR(_xlfn._xlws.FILTER(Table3[Holiday Name], (DIST!K262 &gt;= Table3[start]) * (DIST!K262&lt;= Table3[end])), ""))</f>
        <v/>
      </c>
      <c r="K262" s="57"/>
      <c r="L262" s="80"/>
      <c r="M262" s="80"/>
      <c r="N262" s="80"/>
      <c r="O262" s="81"/>
      <c r="P262" s="102"/>
      <c r="Q262" s="190"/>
      <c r="R262" s="139"/>
      <c r="S262" s="138"/>
    </row>
    <row r="263" spans="3:19" x14ac:dyDescent="0.35">
      <c r="C263" s="126"/>
      <c r="D263" s="80"/>
      <c r="E263" s="80"/>
      <c r="F263" s="80"/>
      <c r="G263" s="80"/>
      <c r="H263" s="102"/>
      <c r="I263" s="95"/>
      <c r="J263" s="191" t="str" cm="1">
        <f t="array" ref="J263">_xlfn.TEXTJOIN(", ", TRUE, IFERROR(_xlfn._xlws.FILTER(Table3[Holiday Name], (DIST!K263 &gt;= Table3[start]) * (DIST!K263&lt;= Table3[end])), ""))</f>
        <v/>
      </c>
      <c r="K263" s="57"/>
      <c r="L263" s="80"/>
      <c r="M263" s="80"/>
      <c r="N263" s="80"/>
      <c r="O263" s="81"/>
      <c r="P263" s="102"/>
      <c r="Q263" s="190"/>
      <c r="R263" s="139"/>
      <c r="S263" s="138"/>
    </row>
    <row r="264" spans="3:19" x14ac:dyDescent="0.35">
      <c r="C264" s="126"/>
      <c r="D264" s="80"/>
      <c r="E264" s="80"/>
      <c r="F264" s="80"/>
      <c r="G264" s="80"/>
      <c r="H264" s="102"/>
      <c r="I264" s="95"/>
      <c r="J264" s="191" t="str" cm="1">
        <f t="array" ref="J264">_xlfn.TEXTJOIN(", ", TRUE, IFERROR(_xlfn._xlws.FILTER(Table3[Holiday Name], (DIST!K264 &gt;= Table3[start]) * (DIST!K264&lt;= Table3[end])), ""))</f>
        <v/>
      </c>
      <c r="K264" s="57"/>
      <c r="L264" s="80"/>
      <c r="M264" s="80"/>
      <c r="N264" s="80"/>
      <c r="O264" s="81"/>
      <c r="P264" s="102"/>
      <c r="Q264" s="190"/>
      <c r="R264" s="139"/>
      <c r="S264" s="138"/>
    </row>
    <row r="265" spans="3:19" x14ac:dyDescent="0.35">
      <c r="C265" s="126"/>
      <c r="D265" s="80"/>
      <c r="E265" s="80"/>
      <c r="F265" s="80"/>
      <c r="G265" s="80"/>
      <c r="H265" s="102"/>
      <c r="I265" s="95"/>
      <c r="J265" s="191" t="str" cm="1">
        <f t="array" ref="J265">_xlfn.TEXTJOIN(", ", TRUE, IFERROR(_xlfn._xlws.FILTER(Table3[Holiday Name], (DIST!K265 &gt;= Table3[start]) * (DIST!K265&lt;= Table3[end])), ""))</f>
        <v/>
      </c>
      <c r="K265" s="57"/>
      <c r="L265" s="80"/>
      <c r="M265" s="80"/>
      <c r="N265" s="80"/>
      <c r="O265" s="81"/>
      <c r="P265" s="102"/>
      <c r="Q265" s="190"/>
      <c r="R265" s="139"/>
      <c r="S265" s="138"/>
    </row>
    <row r="266" spans="3:19" x14ac:dyDescent="0.35">
      <c r="C266" s="126"/>
      <c r="D266" s="80"/>
      <c r="E266" s="80"/>
      <c r="F266" s="80"/>
      <c r="G266" s="80"/>
      <c r="H266" s="102"/>
      <c r="I266" s="95"/>
      <c r="J266" s="191" t="str" cm="1">
        <f t="array" ref="J266">_xlfn.TEXTJOIN(", ", TRUE, IFERROR(_xlfn._xlws.FILTER(Table3[Holiday Name], (DIST!K266 &gt;= Table3[start]) * (DIST!K266&lt;= Table3[end])), ""))</f>
        <v/>
      </c>
      <c r="K266" s="57"/>
      <c r="L266" s="80"/>
      <c r="M266" s="80"/>
      <c r="N266" s="80"/>
      <c r="O266" s="81"/>
      <c r="P266" s="102"/>
      <c r="Q266" s="190"/>
      <c r="R266" s="139"/>
      <c r="S266" s="138"/>
    </row>
    <row r="267" spans="3:19" x14ac:dyDescent="0.35">
      <c r="C267" s="126"/>
      <c r="D267" s="80"/>
      <c r="E267" s="80"/>
      <c r="F267" s="80"/>
      <c r="G267" s="80"/>
      <c r="H267" s="102"/>
      <c r="I267" s="95"/>
      <c r="J267" s="191" t="str" cm="1">
        <f t="array" ref="J267">_xlfn.TEXTJOIN(", ", TRUE, IFERROR(_xlfn._xlws.FILTER(Table3[Holiday Name], (DIST!K267 &gt;= Table3[start]) * (DIST!K267&lt;= Table3[end])), ""))</f>
        <v/>
      </c>
      <c r="K267" s="57"/>
      <c r="L267" s="80"/>
      <c r="M267" s="80"/>
      <c r="N267" s="80"/>
      <c r="O267" s="81"/>
      <c r="P267" s="102"/>
      <c r="Q267" s="190"/>
      <c r="R267" s="139"/>
      <c r="S267" s="138"/>
    </row>
    <row r="268" spans="3:19" x14ac:dyDescent="0.35">
      <c r="C268" s="126"/>
      <c r="D268" s="80"/>
      <c r="E268" s="80"/>
      <c r="F268" s="80"/>
      <c r="G268" s="80"/>
      <c r="H268" s="102"/>
      <c r="I268" s="95"/>
      <c r="J268" s="191" t="str" cm="1">
        <f t="array" ref="J268">_xlfn.TEXTJOIN(", ", TRUE, IFERROR(_xlfn._xlws.FILTER(Table3[Holiday Name], (DIST!K268 &gt;= Table3[start]) * (DIST!K268&lt;= Table3[end])), ""))</f>
        <v/>
      </c>
      <c r="K268" s="57"/>
      <c r="L268" s="80"/>
      <c r="M268" s="80"/>
      <c r="N268" s="80"/>
      <c r="O268" s="81"/>
      <c r="P268" s="102"/>
      <c r="Q268" s="190"/>
      <c r="R268" s="139"/>
      <c r="S268" s="138"/>
    </row>
    <row r="269" spans="3:19" x14ac:dyDescent="0.35">
      <c r="C269" s="126"/>
      <c r="D269" s="80"/>
      <c r="E269" s="80"/>
      <c r="F269" s="80"/>
      <c r="G269" s="80"/>
      <c r="H269" s="102"/>
      <c r="I269" s="95"/>
      <c r="J269" s="191" t="str" cm="1">
        <f t="array" ref="J269">_xlfn.TEXTJOIN(", ", TRUE, IFERROR(_xlfn._xlws.FILTER(Table3[Holiday Name], (DIST!K269 &gt;= Table3[start]) * (DIST!K269&lt;= Table3[end])), ""))</f>
        <v/>
      </c>
      <c r="K269" s="57"/>
      <c r="L269" s="80"/>
      <c r="M269" s="80"/>
      <c r="N269" s="80"/>
      <c r="O269" s="81"/>
      <c r="P269" s="102"/>
      <c r="Q269" s="190"/>
      <c r="R269" s="139"/>
      <c r="S269" s="138"/>
    </row>
    <row r="270" spans="3:19" x14ac:dyDescent="0.35">
      <c r="C270" s="126"/>
      <c r="D270" s="80"/>
      <c r="E270" s="80"/>
      <c r="F270" s="80"/>
      <c r="G270" s="80"/>
      <c r="H270" s="102"/>
      <c r="I270" s="95"/>
      <c r="J270" s="191" t="str" cm="1">
        <f t="array" ref="J270">_xlfn.TEXTJOIN(", ", TRUE, IFERROR(_xlfn._xlws.FILTER(Table3[Holiday Name], (DIST!K270 &gt;= Table3[start]) * (DIST!K270&lt;= Table3[end])), ""))</f>
        <v/>
      </c>
      <c r="K270" s="57"/>
      <c r="L270" s="80"/>
      <c r="M270" s="80"/>
      <c r="N270" s="80"/>
      <c r="O270" s="81"/>
      <c r="P270" s="102"/>
      <c r="Q270" s="190"/>
      <c r="R270" s="139"/>
      <c r="S270" s="138"/>
    </row>
    <row r="271" spans="3:19" x14ac:dyDescent="0.35">
      <c r="C271" s="126"/>
      <c r="D271" s="80"/>
      <c r="E271" s="80"/>
      <c r="F271" s="80"/>
      <c r="G271" s="80"/>
      <c r="H271" s="102"/>
      <c r="I271" s="95"/>
      <c r="J271" s="191" t="str" cm="1">
        <f t="array" ref="J271">_xlfn.TEXTJOIN(", ", TRUE, IFERROR(_xlfn._xlws.FILTER(Table3[Holiday Name], (DIST!K271 &gt;= Table3[start]) * (DIST!K271&lt;= Table3[end])), ""))</f>
        <v/>
      </c>
      <c r="K271" s="57"/>
      <c r="L271" s="80"/>
      <c r="M271" s="80"/>
      <c r="N271" s="80"/>
      <c r="O271" s="81"/>
      <c r="P271" s="102"/>
      <c r="Q271" s="190"/>
      <c r="R271" s="139"/>
      <c r="S271" s="138"/>
    </row>
    <row r="272" spans="3:19" x14ac:dyDescent="0.35">
      <c r="C272" s="126"/>
      <c r="D272" s="80"/>
      <c r="E272" s="80"/>
      <c r="F272" s="80"/>
      <c r="G272" s="80"/>
      <c r="H272" s="102"/>
      <c r="I272" s="95"/>
      <c r="J272" s="191" t="str" cm="1">
        <f t="array" ref="J272">_xlfn.TEXTJOIN(", ", TRUE, IFERROR(_xlfn._xlws.FILTER(Table3[Holiday Name], (DIST!K272 &gt;= Table3[start]) * (DIST!K272&lt;= Table3[end])), ""))</f>
        <v/>
      </c>
      <c r="K272" s="57"/>
      <c r="L272" s="80"/>
      <c r="M272" s="80"/>
      <c r="N272" s="80"/>
      <c r="O272" s="81"/>
      <c r="P272" s="102"/>
      <c r="Q272" s="190"/>
      <c r="R272" s="139"/>
      <c r="S272" s="138"/>
    </row>
    <row r="273" spans="3:19" x14ac:dyDescent="0.35">
      <c r="C273" s="126"/>
      <c r="D273" s="80"/>
      <c r="E273" s="80"/>
      <c r="F273" s="80"/>
      <c r="G273" s="80"/>
      <c r="H273" s="102"/>
      <c r="I273" s="95"/>
      <c r="J273" s="191" t="str" cm="1">
        <f t="array" ref="J273">_xlfn.TEXTJOIN(", ", TRUE, IFERROR(_xlfn._xlws.FILTER(Table3[Holiday Name], (DIST!K273 &gt;= Table3[start]) * (DIST!K273&lt;= Table3[end])), ""))</f>
        <v/>
      </c>
      <c r="K273" s="57"/>
      <c r="L273" s="80"/>
      <c r="M273" s="80"/>
      <c r="N273" s="80"/>
      <c r="O273" s="81"/>
      <c r="P273" s="102"/>
      <c r="Q273" s="190"/>
      <c r="R273" s="139"/>
      <c r="S273" s="138"/>
    </row>
    <row r="274" spans="3:19" x14ac:dyDescent="0.35">
      <c r="C274" s="126"/>
      <c r="D274" s="80"/>
      <c r="E274" s="80"/>
      <c r="F274" s="80"/>
      <c r="G274" s="80"/>
      <c r="H274" s="102"/>
      <c r="I274" s="95"/>
      <c r="J274" s="191" t="str" cm="1">
        <f t="array" ref="J274">_xlfn.TEXTJOIN(", ", TRUE, IFERROR(_xlfn._xlws.FILTER(Table3[Holiday Name], (DIST!K274 &gt;= Table3[start]) * (DIST!K274&lt;= Table3[end])), ""))</f>
        <v/>
      </c>
      <c r="K274" s="57"/>
      <c r="L274" s="80"/>
      <c r="M274" s="80"/>
      <c r="N274" s="80"/>
      <c r="O274" s="81"/>
      <c r="P274" s="102"/>
      <c r="Q274" s="190"/>
      <c r="R274" s="139"/>
      <c r="S274" s="138"/>
    </row>
    <row r="275" spans="3:19" x14ac:dyDescent="0.35">
      <c r="C275" s="126"/>
      <c r="D275" s="80"/>
      <c r="E275" s="80"/>
      <c r="F275" s="80"/>
      <c r="G275" s="80"/>
      <c r="H275" s="102"/>
      <c r="I275" s="95"/>
      <c r="J275" s="191" t="str" cm="1">
        <f t="array" ref="J275">_xlfn.TEXTJOIN(", ", TRUE, IFERROR(_xlfn._xlws.FILTER(Table3[Holiday Name], (DIST!K275 &gt;= Table3[start]) * (DIST!K275&lt;= Table3[end])), ""))</f>
        <v/>
      </c>
      <c r="K275" s="57"/>
      <c r="L275" s="80"/>
      <c r="M275" s="80"/>
      <c r="N275" s="80"/>
      <c r="O275" s="81"/>
      <c r="P275" s="102"/>
      <c r="Q275" s="190"/>
      <c r="R275" s="139"/>
      <c r="S275" s="138"/>
    </row>
    <row r="276" spans="3:19" x14ac:dyDescent="0.35">
      <c r="C276" s="126"/>
      <c r="D276" s="80"/>
      <c r="E276" s="80"/>
      <c r="F276" s="80"/>
      <c r="G276" s="80"/>
      <c r="H276" s="102"/>
      <c r="I276" s="95"/>
      <c r="J276" s="191" t="str" cm="1">
        <f t="array" ref="J276">_xlfn.TEXTJOIN(", ", TRUE, IFERROR(_xlfn._xlws.FILTER(Table3[Holiday Name], (DIST!K276 &gt;= Table3[start]) * (DIST!K276&lt;= Table3[end])), ""))</f>
        <v/>
      </c>
      <c r="K276" s="57"/>
      <c r="L276" s="80"/>
      <c r="M276" s="80"/>
      <c r="N276" s="80"/>
      <c r="O276" s="81"/>
      <c r="P276" s="102"/>
      <c r="Q276" s="190"/>
      <c r="R276" s="139"/>
      <c r="S276" s="138"/>
    </row>
    <row r="277" spans="3:19" x14ac:dyDescent="0.35">
      <c r="C277" s="126"/>
      <c r="D277" s="80"/>
      <c r="E277" s="80"/>
      <c r="F277" s="80"/>
      <c r="G277" s="80"/>
      <c r="H277" s="102"/>
      <c r="I277" s="95"/>
      <c r="J277" s="191" t="str" cm="1">
        <f t="array" ref="J277">_xlfn.TEXTJOIN(", ", TRUE, IFERROR(_xlfn._xlws.FILTER(Table3[Holiday Name], (DIST!K277 &gt;= Table3[start]) * (DIST!K277&lt;= Table3[end])), ""))</f>
        <v/>
      </c>
      <c r="K277" s="57"/>
      <c r="L277" s="80"/>
      <c r="M277" s="80"/>
      <c r="N277" s="80"/>
      <c r="O277" s="81"/>
      <c r="P277" s="102"/>
      <c r="Q277" s="190"/>
      <c r="R277" s="139"/>
      <c r="S277" s="138"/>
    </row>
    <row r="278" spans="3:19" x14ac:dyDescent="0.35">
      <c r="C278" s="126"/>
      <c r="D278" s="80"/>
      <c r="E278" s="80"/>
      <c r="F278" s="80"/>
      <c r="G278" s="80"/>
      <c r="H278" s="102"/>
      <c r="I278" s="95"/>
      <c r="J278" s="191" t="str" cm="1">
        <f t="array" ref="J278">_xlfn.TEXTJOIN(", ", TRUE, IFERROR(_xlfn._xlws.FILTER(Table3[Holiday Name], (DIST!K278 &gt;= Table3[start]) * (DIST!K278&lt;= Table3[end])), ""))</f>
        <v/>
      </c>
      <c r="K278" s="57"/>
      <c r="L278" s="80"/>
      <c r="M278" s="80"/>
      <c r="N278" s="80"/>
      <c r="O278" s="81"/>
      <c r="P278" s="102"/>
      <c r="Q278" s="190"/>
      <c r="R278" s="139"/>
      <c r="S278" s="138"/>
    </row>
    <row r="279" spans="3:19" x14ac:dyDescent="0.35">
      <c r="C279" s="126"/>
      <c r="D279" s="80"/>
      <c r="E279" s="80"/>
      <c r="F279" s="80"/>
      <c r="G279" s="80"/>
      <c r="H279" s="102"/>
      <c r="I279" s="95"/>
      <c r="J279" s="191" t="str" cm="1">
        <f t="array" ref="J279">_xlfn.TEXTJOIN(", ", TRUE, IFERROR(_xlfn._xlws.FILTER(Table3[Holiday Name], (DIST!K279 &gt;= Table3[start]) * (DIST!K279&lt;= Table3[end])), ""))</f>
        <v/>
      </c>
      <c r="K279" s="57"/>
      <c r="L279" s="80"/>
      <c r="M279" s="80"/>
      <c r="N279" s="80"/>
      <c r="O279" s="81"/>
      <c r="P279" s="102"/>
      <c r="Q279" s="190"/>
      <c r="R279" s="139"/>
      <c r="S279" s="138"/>
    </row>
    <row r="280" spans="3:19" x14ac:dyDescent="0.35">
      <c r="C280" s="126"/>
      <c r="D280" s="80"/>
      <c r="E280" s="80"/>
      <c r="F280" s="80"/>
      <c r="G280" s="80"/>
      <c r="H280" s="102"/>
      <c r="I280" s="95"/>
      <c r="J280" s="191" t="str" cm="1">
        <f t="array" ref="J280">_xlfn.TEXTJOIN(", ", TRUE, IFERROR(_xlfn._xlws.FILTER(Table3[Holiday Name], (DIST!K280 &gt;= Table3[start]) * (DIST!K280&lt;= Table3[end])), ""))</f>
        <v/>
      </c>
      <c r="K280" s="57"/>
      <c r="L280" s="80"/>
      <c r="M280" s="80"/>
      <c r="N280" s="80"/>
      <c r="O280" s="81"/>
      <c r="P280" s="102"/>
      <c r="Q280" s="190"/>
      <c r="R280" s="139"/>
      <c r="S280" s="138"/>
    </row>
    <row r="281" spans="3:19" x14ac:dyDescent="0.35">
      <c r="C281" s="126"/>
      <c r="D281" s="80"/>
      <c r="E281" s="80"/>
      <c r="F281" s="80"/>
      <c r="G281" s="80"/>
      <c r="H281" s="102"/>
      <c r="I281" s="95"/>
      <c r="J281" s="191" t="str" cm="1">
        <f t="array" ref="J281">_xlfn.TEXTJOIN(", ", TRUE, IFERROR(_xlfn._xlws.FILTER(Table3[Holiday Name], (DIST!K281 &gt;= Table3[start]) * (DIST!K281&lt;= Table3[end])), ""))</f>
        <v/>
      </c>
      <c r="K281" s="57"/>
      <c r="L281" s="80"/>
      <c r="M281" s="80"/>
      <c r="N281" s="80"/>
      <c r="O281" s="81"/>
      <c r="P281" s="102"/>
      <c r="Q281" s="190"/>
      <c r="R281" s="139"/>
      <c r="S281" s="138"/>
    </row>
    <row r="282" spans="3:19" x14ac:dyDescent="0.35">
      <c r="C282" s="126"/>
      <c r="D282" s="80"/>
      <c r="E282" s="80"/>
      <c r="F282" s="80"/>
      <c r="G282" s="80"/>
      <c r="H282" s="102"/>
      <c r="I282" s="95"/>
      <c r="J282" s="191" t="str" cm="1">
        <f t="array" ref="J282">_xlfn.TEXTJOIN(", ", TRUE, IFERROR(_xlfn._xlws.FILTER(Table3[Holiday Name], (DIST!K282 &gt;= Table3[start]) * (DIST!K282&lt;= Table3[end])), ""))</f>
        <v/>
      </c>
      <c r="K282" s="57"/>
      <c r="L282" s="80"/>
      <c r="M282" s="80"/>
      <c r="N282" s="80"/>
      <c r="O282" s="81"/>
      <c r="P282" s="102"/>
      <c r="Q282" s="190"/>
      <c r="R282" s="139"/>
      <c r="S282" s="138"/>
    </row>
    <row r="283" spans="3:19" x14ac:dyDescent="0.35">
      <c r="C283" s="126"/>
      <c r="D283" s="80"/>
      <c r="E283" s="80"/>
      <c r="F283" s="80"/>
      <c r="G283" s="80"/>
      <c r="H283" s="102"/>
      <c r="I283" s="95"/>
      <c r="J283" s="191" t="str" cm="1">
        <f t="array" ref="J283">_xlfn.TEXTJOIN(", ", TRUE, IFERROR(_xlfn._xlws.FILTER(Table3[Holiday Name], (DIST!K283 &gt;= Table3[start]) * (DIST!K283&lt;= Table3[end])), ""))</f>
        <v/>
      </c>
      <c r="K283" s="57"/>
      <c r="L283" s="80"/>
      <c r="M283" s="80"/>
      <c r="N283" s="80"/>
      <c r="O283" s="81"/>
      <c r="P283" s="102"/>
      <c r="Q283" s="190"/>
      <c r="R283" s="139"/>
      <c r="S283" s="138"/>
    </row>
    <row r="284" spans="3:19" x14ac:dyDescent="0.35">
      <c r="C284" s="126"/>
      <c r="D284" s="80"/>
      <c r="E284" s="80"/>
      <c r="F284" s="80"/>
      <c r="G284" s="80"/>
      <c r="H284" s="102"/>
      <c r="I284" s="95"/>
      <c r="J284" s="191" t="str" cm="1">
        <f t="array" ref="J284">_xlfn.TEXTJOIN(", ", TRUE, IFERROR(_xlfn._xlws.FILTER(Table3[Holiday Name], (DIST!K284 &gt;= Table3[start]) * (DIST!K284&lt;= Table3[end])), ""))</f>
        <v/>
      </c>
      <c r="K284" s="57"/>
      <c r="L284" s="80"/>
      <c r="M284" s="80"/>
      <c r="N284" s="80"/>
      <c r="O284" s="81"/>
      <c r="P284" s="102"/>
      <c r="Q284" s="190"/>
      <c r="R284" s="139"/>
      <c r="S284" s="138"/>
    </row>
    <row r="285" spans="3:19" x14ac:dyDescent="0.35">
      <c r="C285" s="126"/>
      <c r="D285" s="80"/>
      <c r="E285" s="80"/>
      <c r="F285" s="80"/>
      <c r="G285" s="80"/>
      <c r="H285" s="102"/>
      <c r="I285" s="95"/>
      <c r="J285" s="191" t="str" cm="1">
        <f t="array" ref="J285">_xlfn.TEXTJOIN(", ", TRUE, IFERROR(_xlfn._xlws.FILTER(Table3[Holiday Name], (DIST!K285 &gt;= Table3[start]) * (DIST!K285&lt;= Table3[end])), ""))</f>
        <v/>
      </c>
      <c r="K285" s="57"/>
      <c r="L285" s="80"/>
      <c r="M285" s="80"/>
      <c r="N285" s="80"/>
      <c r="O285" s="81"/>
      <c r="P285" s="102"/>
      <c r="Q285" s="190"/>
      <c r="R285" s="139"/>
      <c r="S285" s="138"/>
    </row>
    <row r="286" spans="3:19" x14ac:dyDescent="0.35">
      <c r="C286" s="126"/>
      <c r="D286" s="80"/>
      <c r="E286" s="80"/>
      <c r="F286" s="80"/>
      <c r="G286" s="80"/>
      <c r="H286" s="102"/>
      <c r="I286" s="95"/>
      <c r="J286" s="191" t="str" cm="1">
        <f t="array" ref="J286">_xlfn.TEXTJOIN(", ", TRUE, IFERROR(_xlfn._xlws.FILTER(Table3[Holiday Name], (DIST!K286 &gt;= Table3[start]) * (DIST!K286&lt;= Table3[end])), ""))</f>
        <v/>
      </c>
      <c r="K286" s="57"/>
      <c r="L286" s="80"/>
      <c r="M286" s="80"/>
      <c r="N286" s="80"/>
      <c r="O286" s="81"/>
      <c r="P286" s="102"/>
      <c r="Q286" s="190"/>
      <c r="R286" s="139"/>
      <c r="S286" s="138"/>
    </row>
    <row r="287" spans="3:19" x14ac:dyDescent="0.35">
      <c r="C287" s="126"/>
      <c r="D287" s="80"/>
      <c r="E287" s="80"/>
      <c r="F287" s="80"/>
      <c r="G287" s="80"/>
      <c r="H287" s="102"/>
      <c r="I287" s="95"/>
      <c r="J287" s="191" t="str" cm="1">
        <f t="array" ref="J287">_xlfn.TEXTJOIN(", ", TRUE, IFERROR(_xlfn._xlws.FILTER(Table3[Holiday Name], (DIST!K287 &gt;= Table3[start]) * (DIST!K287&lt;= Table3[end])), ""))</f>
        <v/>
      </c>
      <c r="K287" s="57"/>
      <c r="L287" s="80"/>
      <c r="M287" s="80"/>
      <c r="N287" s="80"/>
      <c r="O287" s="81"/>
      <c r="P287" s="102"/>
      <c r="Q287" s="190"/>
      <c r="R287" s="139"/>
      <c r="S287" s="138"/>
    </row>
    <row r="288" spans="3:19" x14ac:dyDescent="0.35">
      <c r="C288" s="126"/>
      <c r="D288" s="80"/>
      <c r="E288" s="80"/>
      <c r="F288" s="80"/>
      <c r="G288" s="80"/>
      <c r="H288" s="102"/>
      <c r="I288" s="95"/>
      <c r="J288" s="191" t="str" cm="1">
        <f t="array" ref="J288">_xlfn.TEXTJOIN(", ", TRUE, IFERROR(_xlfn._xlws.FILTER(Table3[Holiday Name], (DIST!K288 &gt;= Table3[start]) * (DIST!K288&lt;= Table3[end])), ""))</f>
        <v/>
      </c>
      <c r="K288" s="57"/>
      <c r="L288" s="80"/>
      <c r="M288" s="80"/>
      <c r="N288" s="80"/>
      <c r="O288" s="81"/>
      <c r="P288" s="102"/>
      <c r="Q288" s="190"/>
      <c r="R288" s="139"/>
      <c r="S288" s="138"/>
    </row>
    <row r="289" spans="3:19" x14ac:dyDescent="0.35">
      <c r="C289" s="126"/>
      <c r="D289" s="80"/>
      <c r="E289" s="80"/>
      <c r="F289" s="80"/>
      <c r="G289" s="80"/>
      <c r="H289" s="102"/>
      <c r="I289" s="95"/>
      <c r="J289" s="191" t="str" cm="1">
        <f t="array" ref="J289">_xlfn.TEXTJOIN(", ", TRUE, IFERROR(_xlfn._xlws.FILTER(Table3[Holiday Name], (DIST!K289 &gt;= Table3[start]) * (DIST!K289&lt;= Table3[end])), ""))</f>
        <v/>
      </c>
      <c r="K289" s="57"/>
      <c r="L289" s="80"/>
      <c r="M289" s="80"/>
      <c r="N289" s="80"/>
      <c r="O289" s="81"/>
      <c r="P289" s="102"/>
      <c r="Q289" s="190"/>
      <c r="R289" s="139"/>
      <c r="S289" s="138"/>
    </row>
    <row r="290" spans="3:19" x14ac:dyDescent="0.35">
      <c r="C290" s="126"/>
      <c r="D290" s="80"/>
      <c r="E290" s="80"/>
      <c r="F290" s="80"/>
      <c r="G290" s="80"/>
      <c r="H290" s="102"/>
      <c r="I290" s="95"/>
      <c r="J290" s="191" t="str" cm="1">
        <f t="array" ref="J290">_xlfn.TEXTJOIN(", ", TRUE, IFERROR(_xlfn._xlws.FILTER(Table3[Holiday Name], (DIST!K290 &gt;= Table3[start]) * (DIST!K290&lt;= Table3[end])), ""))</f>
        <v/>
      </c>
      <c r="K290" s="57"/>
      <c r="L290" s="80"/>
      <c r="M290" s="80"/>
      <c r="N290" s="80"/>
      <c r="O290" s="81"/>
      <c r="P290" s="102"/>
      <c r="Q290" s="190"/>
      <c r="R290" s="139"/>
      <c r="S290" s="138"/>
    </row>
    <row r="291" spans="3:19" x14ac:dyDescent="0.35">
      <c r="C291" s="126"/>
      <c r="D291" s="80"/>
      <c r="E291" s="80"/>
      <c r="F291" s="80"/>
      <c r="G291" s="80"/>
      <c r="H291" s="102"/>
      <c r="I291" s="95"/>
      <c r="J291" s="191" t="str" cm="1">
        <f t="array" ref="J291">_xlfn.TEXTJOIN(", ", TRUE, IFERROR(_xlfn._xlws.FILTER(Table3[Holiday Name], (DIST!K291 &gt;= Table3[start]) * (DIST!K291&lt;= Table3[end])), ""))</f>
        <v/>
      </c>
      <c r="K291" s="57"/>
      <c r="L291" s="80"/>
      <c r="M291" s="80"/>
      <c r="N291" s="80"/>
      <c r="O291" s="81"/>
      <c r="P291" s="102"/>
      <c r="Q291" s="190"/>
      <c r="R291" s="139"/>
      <c r="S291" s="138"/>
    </row>
    <row r="292" spans="3:19" x14ac:dyDescent="0.35">
      <c r="C292" s="126"/>
      <c r="D292" s="80"/>
      <c r="E292" s="80"/>
      <c r="F292" s="80"/>
      <c r="G292" s="80"/>
      <c r="H292" s="102"/>
      <c r="I292" s="95"/>
      <c r="J292" s="191" t="str" cm="1">
        <f t="array" ref="J292">_xlfn.TEXTJOIN(", ", TRUE, IFERROR(_xlfn._xlws.FILTER(Table3[Holiday Name], (DIST!K292 &gt;= Table3[start]) * (DIST!K292&lt;= Table3[end])), ""))</f>
        <v/>
      </c>
      <c r="K292" s="57"/>
      <c r="L292" s="80"/>
      <c r="M292" s="80"/>
      <c r="N292" s="80"/>
      <c r="O292" s="81"/>
      <c r="P292" s="102"/>
      <c r="Q292" s="190"/>
      <c r="R292" s="139"/>
      <c r="S292" s="138"/>
    </row>
    <row r="293" spans="3:19" x14ac:dyDescent="0.35">
      <c r="C293" s="126"/>
      <c r="D293" s="80"/>
      <c r="E293" s="80"/>
      <c r="F293" s="80"/>
      <c r="G293" s="80"/>
      <c r="H293" s="102"/>
      <c r="I293" s="95"/>
      <c r="J293" s="191" t="str" cm="1">
        <f t="array" ref="J293">_xlfn.TEXTJOIN(", ", TRUE, IFERROR(_xlfn._xlws.FILTER(Table3[Holiday Name], (DIST!K293 &gt;= Table3[start]) * (DIST!K293&lt;= Table3[end])), ""))</f>
        <v/>
      </c>
      <c r="K293" s="57"/>
      <c r="L293" s="80"/>
      <c r="M293" s="80"/>
      <c r="N293" s="80"/>
      <c r="O293" s="81"/>
      <c r="P293" s="102"/>
      <c r="Q293" s="190"/>
      <c r="R293" s="139"/>
      <c r="S293" s="138"/>
    </row>
    <row r="294" spans="3:19" x14ac:dyDescent="0.35">
      <c r="C294" s="126"/>
      <c r="D294" s="80"/>
      <c r="E294" s="80"/>
      <c r="F294" s="80"/>
      <c r="G294" s="80"/>
      <c r="H294" s="102"/>
      <c r="I294" s="95"/>
      <c r="J294" s="191" t="str" cm="1">
        <f t="array" ref="J294">_xlfn.TEXTJOIN(", ", TRUE, IFERROR(_xlfn._xlws.FILTER(Table3[Holiday Name], (DIST!K294 &gt;= Table3[start]) * (DIST!K294&lt;= Table3[end])), ""))</f>
        <v/>
      </c>
      <c r="K294" s="57"/>
      <c r="L294" s="80"/>
      <c r="M294" s="80"/>
      <c r="N294" s="80"/>
      <c r="O294" s="81"/>
      <c r="P294" s="102"/>
      <c r="Q294" s="190"/>
      <c r="R294" s="139"/>
      <c r="S294" s="138"/>
    </row>
    <row r="295" spans="3:19" x14ac:dyDescent="0.35">
      <c r="C295" s="126"/>
      <c r="D295" s="80"/>
      <c r="E295" s="80"/>
      <c r="F295" s="80"/>
      <c r="G295" s="80"/>
      <c r="H295" s="102"/>
      <c r="I295" s="95"/>
      <c r="J295" s="191" t="str" cm="1">
        <f t="array" ref="J295">_xlfn.TEXTJOIN(", ", TRUE, IFERROR(_xlfn._xlws.FILTER(Table3[Holiday Name], (DIST!K295 &gt;= Table3[start]) * (DIST!K295&lt;= Table3[end])), ""))</f>
        <v/>
      </c>
      <c r="K295" s="57"/>
      <c r="L295" s="80"/>
      <c r="M295" s="80"/>
      <c r="N295" s="80"/>
      <c r="O295" s="81"/>
      <c r="P295" s="102"/>
      <c r="Q295" s="190"/>
      <c r="R295" s="139"/>
      <c r="S295" s="138"/>
    </row>
    <row r="296" spans="3:19" x14ac:dyDescent="0.35">
      <c r="C296" s="126"/>
      <c r="D296" s="80"/>
      <c r="E296" s="80"/>
      <c r="F296" s="80"/>
      <c r="G296" s="80"/>
      <c r="H296" s="102"/>
      <c r="I296" s="95"/>
      <c r="J296" s="191" t="str" cm="1">
        <f t="array" ref="J296">_xlfn.TEXTJOIN(", ", TRUE, IFERROR(_xlfn._xlws.FILTER(Table3[Holiday Name], (DIST!K296 &gt;= Table3[start]) * (DIST!K296&lt;= Table3[end])), ""))</f>
        <v/>
      </c>
      <c r="K296" s="57"/>
      <c r="L296" s="80"/>
      <c r="M296" s="80"/>
      <c r="N296" s="80"/>
      <c r="O296" s="81"/>
      <c r="P296" s="102"/>
      <c r="Q296" s="190"/>
      <c r="R296" s="139"/>
      <c r="S296" s="138"/>
    </row>
    <row r="297" spans="3:19" x14ac:dyDescent="0.35">
      <c r="C297" s="126"/>
      <c r="D297" s="80"/>
      <c r="E297" s="80"/>
      <c r="F297" s="80"/>
      <c r="G297" s="80"/>
      <c r="H297" s="102"/>
      <c r="I297" s="95"/>
      <c r="J297" s="191" t="str" cm="1">
        <f t="array" ref="J297">_xlfn.TEXTJOIN(", ", TRUE, IFERROR(_xlfn._xlws.FILTER(Table3[Holiday Name], (DIST!K297 &gt;= Table3[start]) * (DIST!K297&lt;= Table3[end])), ""))</f>
        <v/>
      </c>
      <c r="K297" s="57"/>
      <c r="L297" s="80"/>
      <c r="M297" s="80"/>
      <c r="N297" s="80"/>
      <c r="O297" s="81"/>
      <c r="P297" s="102"/>
      <c r="Q297" s="190"/>
      <c r="R297" s="139"/>
      <c r="S297" s="138"/>
    </row>
    <row r="298" spans="3:19" x14ac:dyDescent="0.35">
      <c r="C298" s="126"/>
      <c r="D298" s="80"/>
      <c r="E298" s="80"/>
      <c r="F298" s="80"/>
      <c r="G298" s="80"/>
      <c r="H298" s="102"/>
      <c r="I298" s="95"/>
      <c r="J298" s="191" t="str" cm="1">
        <f t="array" ref="J298">_xlfn.TEXTJOIN(", ", TRUE, IFERROR(_xlfn._xlws.FILTER(Table3[Holiday Name], (DIST!K298 &gt;= Table3[start]) * (DIST!K298&lt;= Table3[end])), ""))</f>
        <v/>
      </c>
      <c r="K298" s="57"/>
      <c r="L298" s="80"/>
      <c r="M298" s="80"/>
      <c r="N298" s="80"/>
      <c r="O298" s="81"/>
      <c r="P298" s="102"/>
      <c r="Q298" s="190"/>
      <c r="R298" s="139"/>
      <c r="S298" s="138"/>
    </row>
    <row r="299" spans="3:19" x14ac:dyDescent="0.35">
      <c r="C299" s="126"/>
      <c r="D299" s="80"/>
      <c r="E299" s="80"/>
      <c r="F299" s="80"/>
      <c r="G299" s="80"/>
      <c r="H299" s="102"/>
      <c r="I299" s="95"/>
      <c r="J299" s="191" t="str" cm="1">
        <f t="array" ref="J299">_xlfn.TEXTJOIN(", ", TRUE, IFERROR(_xlfn._xlws.FILTER(Table3[Holiday Name], (DIST!K299 &gt;= Table3[start]) * (DIST!K299&lt;= Table3[end])), ""))</f>
        <v/>
      </c>
      <c r="K299" s="57"/>
      <c r="L299" s="80"/>
      <c r="M299" s="80"/>
      <c r="N299" s="80"/>
      <c r="O299" s="81"/>
      <c r="P299" s="102"/>
      <c r="Q299" s="190"/>
      <c r="R299" s="139"/>
      <c r="S299" s="138"/>
    </row>
    <row r="300" spans="3:19" x14ac:dyDescent="0.35">
      <c r="C300" s="126"/>
      <c r="D300" s="80"/>
      <c r="E300" s="80"/>
      <c r="F300" s="80"/>
      <c r="G300" s="80"/>
      <c r="H300" s="102"/>
      <c r="I300" s="95"/>
      <c r="J300" s="191" t="str" cm="1">
        <f t="array" ref="J300">_xlfn.TEXTJOIN(", ", TRUE, IFERROR(_xlfn._xlws.FILTER(Table3[Holiday Name], (DIST!K300 &gt;= Table3[start]) * (DIST!K300&lt;= Table3[end])), ""))</f>
        <v/>
      </c>
      <c r="K300" s="57"/>
      <c r="L300" s="80"/>
      <c r="M300" s="80"/>
      <c r="N300" s="80"/>
      <c r="O300" s="81"/>
      <c r="P300" s="102"/>
      <c r="Q300" s="190"/>
      <c r="R300" s="139"/>
      <c r="S300" s="138"/>
    </row>
    <row r="301" spans="3:19" x14ac:dyDescent="0.35">
      <c r="C301" s="126"/>
      <c r="D301" s="80"/>
      <c r="E301" s="80"/>
      <c r="F301" s="80"/>
      <c r="G301" s="80"/>
      <c r="H301" s="102"/>
      <c r="I301" s="95"/>
      <c r="J301" s="191" t="str" cm="1">
        <f t="array" ref="J301">_xlfn.TEXTJOIN(", ", TRUE, IFERROR(_xlfn._xlws.FILTER(Table3[Holiday Name], (DIST!K301 &gt;= Table3[start]) * (DIST!K301&lt;= Table3[end])), ""))</f>
        <v/>
      </c>
      <c r="K301" s="57"/>
      <c r="L301" s="80"/>
      <c r="M301" s="80"/>
      <c r="N301" s="80"/>
      <c r="O301" s="81"/>
      <c r="P301" s="102"/>
      <c r="Q301" s="190"/>
      <c r="R301" s="139"/>
      <c r="S301" s="138"/>
    </row>
    <row r="302" spans="3:19" x14ac:dyDescent="0.35">
      <c r="C302" s="126"/>
      <c r="D302" s="80"/>
      <c r="E302" s="80"/>
      <c r="F302" s="80"/>
      <c r="G302" s="80"/>
      <c r="H302" s="102"/>
      <c r="I302" s="95"/>
      <c r="J302" s="191" t="str" cm="1">
        <f t="array" ref="J302">_xlfn.TEXTJOIN(", ", TRUE, IFERROR(_xlfn._xlws.FILTER(Table3[Holiday Name], (DIST!K302 &gt;= Table3[start]) * (DIST!K302&lt;= Table3[end])), ""))</f>
        <v/>
      </c>
      <c r="K302" s="57"/>
      <c r="L302" s="80"/>
      <c r="M302" s="80"/>
      <c r="N302" s="80"/>
      <c r="O302" s="81"/>
      <c r="P302" s="102"/>
      <c r="Q302" s="190"/>
      <c r="R302" s="139"/>
      <c r="S302" s="138"/>
    </row>
    <row r="303" spans="3:19" x14ac:dyDescent="0.35">
      <c r="C303" s="126"/>
      <c r="D303" s="80"/>
      <c r="E303" s="80"/>
      <c r="F303" s="80"/>
      <c r="G303" s="80"/>
      <c r="H303" s="102"/>
      <c r="I303" s="95"/>
      <c r="J303" s="191" t="str" cm="1">
        <f t="array" ref="J303">_xlfn.TEXTJOIN(", ", TRUE, IFERROR(_xlfn._xlws.FILTER(Table3[Holiday Name], (DIST!K303 &gt;= Table3[start]) * (DIST!K303&lt;= Table3[end])), ""))</f>
        <v/>
      </c>
      <c r="K303" s="57"/>
      <c r="L303" s="80"/>
      <c r="M303" s="80"/>
      <c r="N303" s="80"/>
      <c r="O303" s="81"/>
      <c r="P303" s="102"/>
      <c r="Q303" s="190"/>
      <c r="R303" s="139"/>
      <c r="S303" s="138"/>
    </row>
    <row r="304" spans="3:19" x14ac:dyDescent="0.35">
      <c r="C304" s="126"/>
      <c r="D304" s="80"/>
      <c r="E304" s="80"/>
      <c r="F304" s="80"/>
      <c r="G304" s="80"/>
      <c r="H304" s="102"/>
      <c r="I304" s="95"/>
      <c r="J304" s="191" t="str" cm="1">
        <f t="array" ref="J304">_xlfn.TEXTJOIN(", ", TRUE, IFERROR(_xlfn._xlws.FILTER(Table3[Holiday Name], (DIST!K304 &gt;= Table3[start]) * (DIST!K304&lt;= Table3[end])), ""))</f>
        <v/>
      </c>
      <c r="K304" s="57"/>
      <c r="L304" s="80"/>
      <c r="M304" s="80"/>
      <c r="N304" s="80"/>
      <c r="O304" s="81"/>
      <c r="P304" s="102"/>
      <c r="Q304" s="190"/>
      <c r="R304" s="139"/>
      <c r="S304" s="138"/>
    </row>
    <row r="305" spans="3:19" x14ac:dyDescent="0.35">
      <c r="C305" s="126"/>
      <c r="D305" s="80"/>
      <c r="E305" s="80"/>
      <c r="F305" s="80"/>
      <c r="G305" s="80"/>
      <c r="H305" s="102"/>
      <c r="I305" s="95"/>
      <c r="J305" s="191" t="str" cm="1">
        <f t="array" ref="J305">_xlfn.TEXTJOIN(", ", TRUE, IFERROR(_xlfn._xlws.FILTER(Table3[Holiday Name], (DIST!K305 &gt;= Table3[start]) * (DIST!K305&lt;= Table3[end])), ""))</f>
        <v/>
      </c>
      <c r="K305" s="57"/>
      <c r="L305" s="80"/>
      <c r="M305" s="80"/>
      <c r="N305" s="80"/>
      <c r="O305" s="81"/>
      <c r="P305" s="102"/>
      <c r="Q305" s="190"/>
      <c r="R305" s="139"/>
      <c r="S305" s="138"/>
    </row>
    <row r="306" spans="3:19" x14ac:dyDescent="0.35">
      <c r="C306" s="126"/>
      <c r="D306" s="80"/>
      <c r="E306" s="80"/>
      <c r="F306" s="80"/>
      <c r="G306" s="80"/>
      <c r="H306" s="102"/>
      <c r="I306" s="95"/>
      <c r="J306" s="191" t="str" cm="1">
        <f t="array" ref="J306">_xlfn.TEXTJOIN(", ", TRUE, IFERROR(_xlfn._xlws.FILTER(Table3[Holiday Name], (DIST!K306 &gt;= Table3[start]) * (DIST!K306&lt;= Table3[end])), ""))</f>
        <v/>
      </c>
      <c r="K306" s="57"/>
      <c r="L306" s="80"/>
      <c r="M306" s="80"/>
      <c r="N306" s="80"/>
      <c r="O306" s="81"/>
      <c r="P306" s="102"/>
      <c r="Q306" s="190"/>
      <c r="R306" s="139"/>
      <c r="S306" s="138"/>
    </row>
    <row r="307" spans="3:19" x14ac:dyDescent="0.35">
      <c r="C307" s="126"/>
      <c r="D307" s="80"/>
      <c r="E307" s="80"/>
      <c r="F307" s="80"/>
      <c r="G307" s="80"/>
      <c r="H307" s="102"/>
      <c r="I307" s="95"/>
      <c r="J307" s="191" t="str" cm="1">
        <f t="array" ref="J307">_xlfn.TEXTJOIN(", ", TRUE, IFERROR(_xlfn._xlws.FILTER(Table3[Holiday Name], (DIST!K307 &gt;= Table3[start]) * (DIST!K307&lt;= Table3[end])), ""))</f>
        <v/>
      </c>
      <c r="K307" s="57"/>
      <c r="L307" s="80"/>
      <c r="M307" s="80"/>
      <c r="N307" s="80"/>
      <c r="O307" s="81"/>
      <c r="P307" s="102"/>
      <c r="Q307" s="190"/>
      <c r="R307" s="139"/>
      <c r="S307" s="138"/>
    </row>
    <row r="308" spans="3:19" x14ac:dyDescent="0.35">
      <c r="C308" s="126"/>
      <c r="D308" s="80"/>
      <c r="E308" s="80"/>
      <c r="F308" s="80"/>
      <c r="G308" s="80"/>
      <c r="H308" s="102"/>
      <c r="I308" s="95"/>
      <c r="J308" s="191" t="str" cm="1">
        <f t="array" ref="J308">_xlfn.TEXTJOIN(", ", TRUE, IFERROR(_xlfn._xlws.FILTER(Table3[Holiday Name], (DIST!K308 &gt;= Table3[start]) * (DIST!K308&lt;= Table3[end])), ""))</f>
        <v/>
      </c>
      <c r="K308" s="57"/>
      <c r="L308" s="80"/>
      <c r="M308" s="80"/>
      <c r="N308" s="80"/>
      <c r="O308" s="81"/>
      <c r="P308" s="102"/>
      <c r="Q308" s="190"/>
      <c r="R308" s="139"/>
      <c r="S308" s="138"/>
    </row>
    <row r="309" spans="3:19" x14ac:dyDescent="0.35">
      <c r="C309" s="126"/>
      <c r="D309" s="80"/>
      <c r="E309" s="80"/>
      <c r="F309" s="80"/>
      <c r="G309" s="80"/>
      <c r="H309" s="102"/>
      <c r="I309" s="95"/>
      <c r="J309" s="191" t="str" cm="1">
        <f t="array" ref="J309">_xlfn.TEXTJOIN(", ", TRUE, IFERROR(_xlfn._xlws.FILTER(Table3[Holiday Name], (DIST!K309 &gt;= Table3[start]) * (DIST!K309&lt;= Table3[end])), ""))</f>
        <v/>
      </c>
      <c r="K309" s="57"/>
      <c r="L309" s="80"/>
      <c r="M309" s="80"/>
      <c r="N309" s="80"/>
      <c r="O309" s="81"/>
      <c r="P309" s="102"/>
      <c r="Q309" s="190"/>
      <c r="R309" s="139"/>
      <c r="S309" s="138"/>
    </row>
    <row r="310" spans="3:19" x14ac:dyDescent="0.35">
      <c r="C310" s="126"/>
      <c r="D310" s="80"/>
      <c r="E310" s="80"/>
      <c r="F310" s="80"/>
      <c r="G310" s="80"/>
      <c r="H310" s="102"/>
      <c r="I310" s="95"/>
      <c r="J310" s="191" t="str" cm="1">
        <f t="array" ref="J310">_xlfn.TEXTJOIN(", ", TRUE, IFERROR(_xlfn._xlws.FILTER(Table3[Holiday Name], (DIST!K310 &gt;= Table3[start]) * (DIST!K310&lt;= Table3[end])), ""))</f>
        <v/>
      </c>
      <c r="K310" s="57"/>
      <c r="L310" s="80"/>
      <c r="M310" s="80"/>
      <c r="N310" s="80"/>
      <c r="O310" s="81"/>
      <c r="P310" s="102"/>
      <c r="Q310" s="190"/>
      <c r="R310" s="139"/>
      <c r="S310" s="138"/>
    </row>
    <row r="311" spans="3:19" x14ac:dyDescent="0.35">
      <c r="C311" s="126"/>
      <c r="D311" s="80"/>
      <c r="E311" s="80"/>
      <c r="F311" s="80"/>
      <c r="G311" s="80"/>
      <c r="H311" s="102"/>
      <c r="I311" s="95"/>
      <c r="J311" s="191" t="str" cm="1">
        <f t="array" ref="J311">_xlfn.TEXTJOIN(", ", TRUE, IFERROR(_xlfn._xlws.FILTER(Table3[Holiday Name], (DIST!K311 &gt;= Table3[start]) * (DIST!K311&lt;= Table3[end])), ""))</f>
        <v/>
      </c>
      <c r="K311" s="57"/>
      <c r="L311" s="80"/>
      <c r="M311" s="80"/>
      <c r="N311" s="80"/>
      <c r="O311" s="81"/>
      <c r="P311" s="102"/>
      <c r="Q311" s="190"/>
      <c r="R311" s="139"/>
      <c r="S311" s="138"/>
    </row>
    <row r="312" spans="3:19" x14ac:dyDescent="0.35">
      <c r="C312" s="126"/>
      <c r="D312" s="80"/>
      <c r="E312" s="80"/>
      <c r="F312" s="80"/>
      <c r="G312" s="80"/>
      <c r="H312" s="102"/>
      <c r="I312" s="95"/>
      <c r="J312" s="191" t="str" cm="1">
        <f t="array" ref="J312">_xlfn.TEXTJOIN(", ", TRUE, IFERROR(_xlfn._xlws.FILTER(Table3[Holiday Name], (DIST!K312 &gt;= Table3[start]) * (DIST!K312&lt;= Table3[end])), ""))</f>
        <v/>
      </c>
      <c r="K312" s="57"/>
      <c r="L312" s="80"/>
      <c r="M312" s="80"/>
      <c r="N312" s="80"/>
      <c r="O312" s="81"/>
      <c r="P312" s="102"/>
      <c r="Q312" s="190"/>
      <c r="R312" s="139"/>
      <c r="S312" s="138"/>
    </row>
    <row r="313" spans="3:19" x14ac:dyDescent="0.35">
      <c r="C313" s="126"/>
      <c r="D313" s="80"/>
      <c r="E313" s="80"/>
      <c r="F313" s="80"/>
      <c r="G313" s="80"/>
      <c r="H313" s="102"/>
      <c r="I313" s="95"/>
      <c r="J313" s="191" t="str" cm="1">
        <f t="array" ref="J313">_xlfn.TEXTJOIN(", ", TRUE, IFERROR(_xlfn._xlws.FILTER(Table3[Holiday Name], (DIST!K313 &gt;= Table3[start]) * (DIST!K313&lt;= Table3[end])), ""))</f>
        <v/>
      </c>
      <c r="K313" s="57"/>
      <c r="L313" s="80"/>
      <c r="M313" s="80"/>
      <c r="N313" s="80"/>
      <c r="O313" s="81"/>
      <c r="P313" s="102"/>
      <c r="Q313" s="190"/>
      <c r="R313" s="139"/>
      <c r="S313" s="138"/>
    </row>
    <row r="314" spans="3:19" x14ac:dyDescent="0.35">
      <c r="C314" s="126"/>
      <c r="D314" s="80"/>
      <c r="E314" s="80"/>
      <c r="F314" s="80"/>
      <c r="G314" s="80"/>
      <c r="H314" s="102"/>
      <c r="I314" s="95"/>
      <c r="J314" s="191" t="str" cm="1">
        <f t="array" ref="J314">_xlfn.TEXTJOIN(", ", TRUE, IFERROR(_xlfn._xlws.FILTER(Table3[Holiday Name], (DIST!K314 &gt;= Table3[start]) * (DIST!K314&lt;= Table3[end])), ""))</f>
        <v/>
      </c>
      <c r="K314" s="57"/>
      <c r="L314" s="80"/>
      <c r="M314" s="80"/>
      <c r="N314" s="80"/>
      <c r="O314" s="81"/>
      <c r="P314" s="102"/>
      <c r="Q314" s="190"/>
      <c r="R314" s="139"/>
      <c r="S314" s="138"/>
    </row>
    <row r="315" spans="3:19" x14ac:dyDescent="0.35">
      <c r="C315" s="126"/>
      <c r="D315" s="80"/>
      <c r="E315" s="80"/>
      <c r="F315" s="80"/>
      <c r="G315" s="80"/>
      <c r="H315" s="102"/>
      <c r="I315" s="95"/>
      <c r="J315" s="191" t="str" cm="1">
        <f t="array" ref="J315">_xlfn.TEXTJOIN(", ", TRUE, IFERROR(_xlfn._xlws.FILTER(Table3[Holiday Name], (DIST!K315 &gt;= Table3[start]) * (DIST!K315&lt;= Table3[end])), ""))</f>
        <v/>
      </c>
      <c r="K315" s="57"/>
      <c r="L315" s="80"/>
      <c r="M315" s="80"/>
      <c r="N315" s="80"/>
      <c r="O315" s="81"/>
      <c r="P315" s="102"/>
      <c r="Q315" s="190"/>
      <c r="R315" s="139"/>
      <c r="S315" s="138"/>
    </row>
    <row r="316" spans="3:19" x14ac:dyDescent="0.35">
      <c r="C316" s="126"/>
      <c r="D316" s="80"/>
      <c r="E316" s="80"/>
      <c r="F316" s="80"/>
      <c r="G316" s="80"/>
      <c r="H316" s="102"/>
      <c r="I316" s="95"/>
      <c r="J316" s="191" t="str" cm="1">
        <f t="array" ref="J316">_xlfn.TEXTJOIN(", ", TRUE, IFERROR(_xlfn._xlws.FILTER(Table3[Holiday Name], (DIST!K316 &gt;= Table3[start]) * (DIST!K316&lt;= Table3[end])), ""))</f>
        <v/>
      </c>
      <c r="K316" s="57"/>
      <c r="L316" s="80"/>
      <c r="M316" s="80"/>
      <c r="N316" s="80"/>
      <c r="O316" s="81"/>
      <c r="P316" s="102"/>
      <c r="Q316" s="190"/>
      <c r="R316" s="139"/>
      <c r="S316" s="138"/>
    </row>
    <row r="317" spans="3:19" x14ac:dyDescent="0.35">
      <c r="C317" s="126"/>
      <c r="D317" s="80"/>
      <c r="E317" s="80"/>
      <c r="F317" s="80"/>
      <c r="G317" s="80"/>
      <c r="H317" s="102"/>
      <c r="I317" s="95"/>
      <c r="J317" s="191" t="str" cm="1">
        <f t="array" ref="J317">_xlfn.TEXTJOIN(", ", TRUE, IFERROR(_xlfn._xlws.FILTER(Table3[Holiday Name], (DIST!K317 &gt;= Table3[start]) * (DIST!K317&lt;= Table3[end])), ""))</f>
        <v/>
      </c>
      <c r="K317" s="57"/>
      <c r="L317" s="80"/>
      <c r="M317" s="80"/>
      <c r="N317" s="80"/>
      <c r="O317" s="81"/>
      <c r="P317" s="102"/>
      <c r="Q317" s="190"/>
      <c r="R317" s="139"/>
      <c r="S317" s="138"/>
    </row>
    <row r="318" spans="3:19" x14ac:dyDescent="0.35">
      <c r="C318" s="126"/>
      <c r="D318" s="80"/>
      <c r="E318" s="80"/>
      <c r="F318" s="80"/>
      <c r="G318" s="80"/>
      <c r="H318" s="102"/>
      <c r="I318" s="95"/>
      <c r="J318" s="191" t="str" cm="1">
        <f t="array" ref="J318">_xlfn.TEXTJOIN(", ", TRUE, IFERROR(_xlfn._xlws.FILTER(Table3[Holiday Name], (DIST!K318 &gt;= Table3[start]) * (DIST!K318&lt;= Table3[end])), ""))</f>
        <v/>
      </c>
      <c r="K318" s="57"/>
      <c r="L318" s="80"/>
      <c r="M318" s="80"/>
      <c r="N318" s="80"/>
      <c r="O318" s="81"/>
      <c r="P318" s="102"/>
      <c r="Q318" s="190"/>
      <c r="R318" s="139"/>
      <c r="S318" s="138"/>
    </row>
    <row r="319" spans="3:19" x14ac:dyDescent="0.35">
      <c r="C319" s="126"/>
      <c r="D319" s="80"/>
      <c r="E319" s="80"/>
      <c r="F319" s="80"/>
      <c r="G319" s="80"/>
      <c r="H319" s="102"/>
      <c r="I319" s="95"/>
      <c r="J319" s="191" t="str" cm="1">
        <f t="array" ref="J319">_xlfn.TEXTJOIN(", ", TRUE, IFERROR(_xlfn._xlws.FILTER(Table3[Holiday Name], (DIST!K319 &gt;= Table3[start]) * (DIST!K319&lt;= Table3[end])), ""))</f>
        <v/>
      </c>
      <c r="K319" s="57"/>
      <c r="L319" s="80"/>
      <c r="M319" s="80"/>
      <c r="N319" s="80"/>
      <c r="O319" s="81"/>
      <c r="P319" s="102"/>
      <c r="Q319" s="190"/>
      <c r="R319" s="139"/>
      <c r="S319" s="138"/>
    </row>
    <row r="320" spans="3:19" x14ac:dyDescent="0.35">
      <c r="C320" s="126"/>
      <c r="D320" s="80"/>
      <c r="E320" s="80"/>
      <c r="F320" s="80"/>
      <c r="G320" s="80"/>
      <c r="H320" s="102"/>
      <c r="I320" s="95"/>
      <c r="J320" s="191" t="str" cm="1">
        <f t="array" ref="J320">_xlfn.TEXTJOIN(", ", TRUE, IFERROR(_xlfn._xlws.FILTER(Table3[Holiday Name], (DIST!K320 &gt;= Table3[start]) * (DIST!K320&lt;= Table3[end])), ""))</f>
        <v/>
      </c>
      <c r="K320" s="57"/>
      <c r="L320" s="80"/>
      <c r="M320" s="80"/>
      <c r="N320" s="80"/>
      <c r="O320" s="81"/>
      <c r="P320" s="102"/>
      <c r="Q320" s="190"/>
      <c r="R320" s="139"/>
      <c r="S320" s="138"/>
    </row>
    <row r="321" spans="3:19" x14ac:dyDescent="0.35">
      <c r="C321" s="126"/>
      <c r="D321" s="80"/>
      <c r="E321" s="80"/>
      <c r="F321" s="80"/>
      <c r="G321" s="80"/>
      <c r="H321" s="102"/>
      <c r="I321" s="95"/>
      <c r="J321" s="191" t="str" cm="1">
        <f t="array" ref="J321">_xlfn.TEXTJOIN(", ", TRUE, IFERROR(_xlfn._xlws.FILTER(Table3[Holiday Name], (DIST!K321 &gt;= Table3[start]) * (DIST!K321&lt;= Table3[end])), ""))</f>
        <v/>
      </c>
      <c r="K321" s="57"/>
      <c r="L321" s="80"/>
      <c r="M321" s="80"/>
      <c r="N321" s="80"/>
      <c r="O321" s="81"/>
      <c r="P321" s="102"/>
      <c r="Q321" s="190"/>
      <c r="R321" s="139"/>
      <c r="S321" s="138"/>
    </row>
    <row r="322" spans="3:19" x14ac:dyDescent="0.35">
      <c r="C322" s="126"/>
      <c r="D322" s="80"/>
      <c r="E322" s="80"/>
      <c r="F322" s="80"/>
      <c r="G322" s="80"/>
      <c r="H322" s="102"/>
      <c r="I322" s="95"/>
      <c r="J322" s="191" t="str" cm="1">
        <f t="array" ref="J322">_xlfn.TEXTJOIN(", ", TRUE, IFERROR(_xlfn._xlws.FILTER(Table3[Holiday Name], (DIST!K322 &gt;= Table3[start]) * (DIST!K322&lt;= Table3[end])), ""))</f>
        <v/>
      </c>
      <c r="K322" s="57"/>
      <c r="L322" s="80"/>
      <c r="M322" s="80"/>
      <c r="N322" s="80"/>
      <c r="O322" s="81"/>
      <c r="P322" s="102"/>
      <c r="Q322" s="190"/>
      <c r="R322" s="139"/>
      <c r="S322" s="138"/>
    </row>
    <row r="323" spans="3:19" x14ac:dyDescent="0.35">
      <c r="C323" s="126"/>
      <c r="D323" s="80"/>
      <c r="E323" s="80"/>
      <c r="F323" s="80"/>
      <c r="G323" s="80"/>
      <c r="H323" s="102"/>
      <c r="I323" s="95"/>
      <c r="J323" s="191" t="str" cm="1">
        <f t="array" ref="J323">_xlfn.TEXTJOIN(", ", TRUE, IFERROR(_xlfn._xlws.FILTER(Table3[Holiday Name], (DIST!K323 &gt;= Table3[start]) * (DIST!K323&lt;= Table3[end])), ""))</f>
        <v/>
      </c>
      <c r="K323" s="57"/>
      <c r="L323" s="80"/>
      <c r="M323" s="80"/>
      <c r="N323" s="80"/>
      <c r="O323" s="81"/>
      <c r="P323" s="102"/>
      <c r="Q323" s="190"/>
      <c r="R323" s="139"/>
      <c r="S323" s="138"/>
    </row>
    <row r="324" spans="3:19" x14ac:dyDescent="0.35">
      <c r="C324" s="126"/>
      <c r="D324" s="80"/>
      <c r="E324" s="80"/>
      <c r="F324" s="80"/>
      <c r="G324" s="80"/>
      <c r="H324" s="102"/>
      <c r="I324" s="95"/>
      <c r="J324" s="191" t="str" cm="1">
        <f t="array" ref="J324">_xlfn.TEXTJOIN(", ", TRUE, IFERROR(_xlfn._xlws.FILTER(Table3[Holiday Name], (DIST!K324 &gt;= Table3[start]) * (DIST!K324&lt;= Table3[end])), ""))</f>
        <v/>
      </c>
      <c r="K324" s="57"/>
      <c r="L324" s="80"/>
      <c r="M324" s="80"/>
      <c r="N324" s="80"/>
      <c r="O324" s="81"/>
      <c r="P324" s="102"/>
      <c r="Q324" s="190"/>
      <c r="R324" s="139"/>
      <c r="S324" s="138"/>
    </row>
    <row r="325" spans="3:19" x14ac:dyDescent="0.35">
      <c r="C325" s="126"/>
      <c r="D325" s="80"/>
      <c r="E325" s="80"/>
      <c r="F325" s="80"/>
      <c r="G325" s="80"/>
      <c r="H325" s="102"/>
      <c r="I325" s="95"/>
      <c r="J325" s="191" t="str" cm="1">
        <f t="array" ref="J325">_xlfn.TEXTJOIN(", ", TRUE, IFERROR(_xlfn._xlws.FILTER(Table3[Holiday Name], (DIST!K325 &gt;= Table3[start]) * (DIST!K325&lt;= Table3[end])), ""))</f>
        <v/>
      </c>
      <c r="K325" s="57"/>
      <c r="L325" s="80"/>
      <c r="M325" s="80"/>
      <c r="N325" s="80"/>
      <c r="O325" s="81"/>
      <c r="P325" s="102"/>
      <c r="Q325" s="190"/>
      <c r="R325" s="139"/>
      <c r="S325" s="138"/>
    </row>
    <row r="326" spans="3:19" x14ac:dyDescent="0.35">
      <c r="C326" s="126"/>
      <c r="D326" s="80"/>
      <c r="E326" s="80"/>
      <c r="F326" s="80"/>
      <c r="G326" s="80"/>
      <c r="H326" s="102"/>
      <c r="I326" s="95"/>
      <c r="J326" s="191" t="str" cm="1">
        <f t="array" ref="J326">_xlfn.TEXTJOIN(", ", TRUE, IFERROR(_xlfn._xlws.FILTER(Table3[Holiday Name], (DIST!K326 &gt;= Table3[start]) * (DIST!K326&lt;= Table3[end])), ""))</f>
        <v/>
      </c>
      <c r="K326" s="57"/>
      <c r="L326" s="80"/>
      <c r="M326" s="80"/>
      <c r="N326" s="80"/>
      <c r="O326" s="81"/>
      <c r="P326" s="102"/>
      <c r="Q326" s="190"/>
      <c r="R326" s="139"/>
      <c r="S326" s="138"/>
    </row>
    <row r="327" spans="3:19" x14ac:dyDescent="0.35">
      <c r="C327" s="126"/>
      <c r="D327" s="80"/>
      <c r="E327" s="80"/>
      <c r="F327" s="80"/>
      <c r="G327" s="80"/>
      <c r="H327" s="102"/>
      <c r="I327" s="95"/>
      <c r="J327" s="191" t="str" cm="1">
        <f t="array" ref="J327">_xlfn.TEXTJOIN(", ", TRUE, IFERROR(_xlfn._xlws.FILTER(Table3[Holiday Name], (DIST!K327 &gt;= Table3[start]) * (DIST!K327&lt;= Table3[end])), ""))</f>
        <v/>
      </c>
      <c r="K327" s="57"/>
      <c r="L327" s="80"/>
      <c r="M327" s="80"/>
      <c r="N327" s="80"/>
      <c r="O327" s="81"/>
      <c r="P327" s="102"/>
      <c r="Q327" s="190"/>
      <c r="R327" s="139"/>
      <c r="S327" s="138"/>
    </row>
    <row r="328" spans="3:19" x14ac:dyDescent="0.35">
      <c r="C328" s="126"/>
      <c r="D328" s="80"/>
      <c r="E328" s="80"/>
      <c r="F328" s="80"/>
      <c r="G328" s="80"/>
      <c r="H328" s="102"/>
      <c r="I328" s="95"/>
      <c r="J328" s="191" t="str" cm="1">
        <f t="array" ref="J328">_xlfn.TEXTJOIN(", ", TRUE, IFERROR(_xlfn._xlws.FILTER(Table3[Holiday Name], (DIST!K328 &gt;= Table3[start]) * (DIST!K328&lt;= Table3[end])), ""))</f>
        <v/>
      </c>
      <c r="K328" s="57"/>
      <c r="L328" s="80"/>
      <c r="M328" s="80"/>
      <c r="N328" s="80"/>
      <c r="O328" s="81"/>
      <c r="P328" s="102"/>
      <c r="Q328" s="190"/>
      <c r="R328" s="139"/>
      <c r="S328" s="138"/>
    </row>
    <row r="329" spans="3:19" x14ac:dyDescent="0.35">
      <c r="C329" s="126"/>
      <c r="D329" s="80"/>
      <c r="E329" s="80"/>
      <c r="F329" s="80"/>
      <c r="G329" s="80"/>
      <c r="H329" s="102"/>
      <c r="I329" s="95"/>
      <c r="J329" s="191" t="str" cm="1">
        <f t="array" ref="J329">_xlfn.TEXTJOIN(", ", TRUE, IFERROR(_xlfn._xlws.FILTER(Table3[Holiday Name], (DIST!K329 &gt;= Table3[start]) * (DIST!K329&lt;= Table3[end])), ""))</f>
        <v/>
      </c>
      <c r="K329" s="57"/>
      <c r="L329" s="80"/>
      <c r="M329" s="80"/>
      <c r="N329" s="80"/>
      <c r="O329" s="81"/>
      <c r="P329" s="102"/>
      <c r="Q329" s="190"/>
      <c r="R329" s="139"/>
      <c r="S329" s="138"/>
    </row>
    <row r="330" spans="3:19" x14ac:dyDescent="0.35">
      <c r="C330" s="126"/>
      <c r="D330" s="80"/>
      <c r="E330" s="80"/>
      <c r="F330" s="80"/>
      <c r="G330" s="80"/>
      <c r="H330" s="102"/>
      <c r="I330" s="95"/>
      <c r="J330" s="191" t="str" cm="1">
        <f t="array" ref="J330">_xlfn.TEXTJOIN(", ", TRUE, IFERROR(_xlfn._xlws.FILTER(Table3[Holiday Name], (DIST!K330 &gt;= Table3[start]) * (DIST!K330&lt;= Table3[end])), ""))</f>
        <v/>
      </c>
      <c r="K330" s="57"/>
      <c r="L330" s="80"/>
      <c r="M330" s="80"/>
      <c r="N330" s="80"/>
      <c r="O330" s="81"/>
      <c r="P330" s="102"/>
      <c r="Q330" s="190"/>
      <c r="R330" s="139"/>
      <c r="S330" s="138"/>
    </row>
    <row r="331" spans="3:19" x14ac:dyDescent="0.35">
      <c r="C331" s="126"/>
      <c r="D331" s="80"/>
      <c r="E331" s="80"/>
      <c r="F331" s="80"/>
      <c r="G331" s="80"/>
      <c r="H331" s="102"/>
      <c r="I331" s="95"/>
      <c r="J331" s="191" t="str" cm="1">
        <f t="array" ref="J331">_xlfn.TEXTJOIN(", ", TRUE, IFERROR(_xlfn._xlws.FILTER(Table3[Holiday Name], (DIST!K331 &gt;= Table3[start]) * (DIST!K331&lt;= Table3[end])), ""))</f>
        <v/>
      </c>
      <c r="K331" s="57"/>
      <c r="L331" s="80"/>
      <c r="M331" s="80"/>
      <c r="N331" s="80"/>
      <c r="O331" s="81"/>
      <c r="P331" s="102"/>
      <c r="Q331" s="190"/>
      <c r="R331" s="139"/>
      <c r="S331" s="138"/>
    </row>
    <row r="332" spans="3:19" ht="15" thickBot="1" x14ac:dyDescent="0.4">
      <c r="C332" s="127"/>
      <c r="D332" s="109"/>
      <c r="E332" s="109"/>
      <c r="F332" s="109"/>
      <c r="G332" s="109"/>
      <c r="H332" s="150"/>
      <c r="I332" s="107"/>
      <c r="J332" s="192" t="str" cm="1">
        <f t="array" ref="J332">_xlfn.TEXTJOIN(", ", TRUE, IFERROR(_xlfn._xlws.FILTER(Table3[Holiday Name], (DIST!K332 &gt;= Table3[start]) * (DIST!K332&lt;= Table3[end])), ""))</f>
        <v/>
      </c>
      <c r="K332" s="152"/>
      <c r="L332" s="109"/>
      <c r="M332" s="109"/>
      <c r="N332" s="109"/>
      <c r="O332" s="108"/>
      <c r="P332" s="150"/>
      <c r="Q332" s="186"/>
      <c r="R332" s="139"/>
      <c r="S332" s="138"/>
    </row>
    <row r="333" spans="3:19" x14ac:dyDescent="0.35">
      <c r="J333" t="str" cm="1">
        <f t="array" ref="J333">_xlfn.TEXTJOIN(", ", TRUE, IFERROR(_xlfn._xlws.FILTER(Table3[Holiday Name], (DIST!K333 &gt;= Table3[start]) * (DIST!K333&lt;= Table3[end])), ""))</f>
        <v/>
      </c>
      <c r="K333" s="36"/>
      <c r="O333" s="22"/>
      <c r="R333" s="139"/>
      <c r="S333" s="138"/>
    </row>
    <row r="334" spans="3:19" x14ac:dyDescent="0.35">
      <c r="J334" t="str" cm="1">
        <f t="array" ref="J334">_xlfn.TEXTJOIN(", ", TRUE, IFERROR(_xlfn._xlws.FILTER(Table3[Holiday Name], (DIST!K334 &gt;= Table3[start]) * (DIST!K334&lt;= Table3[end])), ""))</f>
        <v/>
      </c>
      <c r="K334" s="36"/>
      <c r="O334" s="22"/>
      <c r="R334" s="139"/>
      <c r="S334" s="138"/>
    </row>
    <row r="335" spans="3:19" x14ac:dyDescent="0.35">
      <c r="J335" t="str" cm="1">
        <f t="array" ref="J335">_xlfn.TEXTJOIN(", ", TRUE, IFERROR(_xlfn._xlws.FILTER(Table3[Holiday Name], (DIST!K335 &gt;= Table3[start]) * (DIST!K335&lt;= Table3[end])), ""))</f>
        <v/>
      </c>
      <c r="K335" s="36"/>
      <c r="O335" s="22"/>
      <c r="R335" s="139"/>
      <c r="S335" s="138"/>
    </row>
    <row r="336" spans="3:19" x14ac:dyDescent="0.35">
      <c r="J336" t="str" cm="1">
        <f t="array" ref="J336">_xlfn.TEXTJOIN(", ", TRUE, IFERROR(_xlfn._xlws.FILTER(Table3[Holiday Name], (DIST!K336 &gt;= Table3[start]) * (DIST!K336&lt;= Table3[end])), ""))</f>
        <v/>
      </c>
      <c r="K336" s="36"/>
      <c r="O336" s="22"/>
      <c r="R336" s="139"/>
      <c r="S336" s="138"/>
    </row>
    <row r="337" spans="10:19" x14ac:dyDescent="0.35">
      <c r="J337" t="str" cm="1">
        <f t="array" ref="J337">_xlfn.TEXTJOIN(", ", TRUE, IFERROR(_xlfn._xlws.FILTER(Table3[Holiday Name], (DIST!K337 &gt;= Table3[start]) * (DIST!K337&lt;= Table3[end])), ""))</f>
        <v/>
      </c>
      <c r="K337" s="36"/>
      <c r="O337" s="22"/>
      <c r="R337" s="139"/>
      <c r="S337" s="138"/>
    </row>
    <row r="338" spans="10:19" x14ac:dyDescent="0.35">
      <c r="J338" t="str" cm="1">
        <f t="array" ref="J338">_xlfn.TEXTJOIN(", ", TRUE, IFERROR(_xlfn._xlws.FILTER(Table3[Holiday Name], (DIST!K338 &gt;= Table3[start]) * (DIST!K338&lt;= Table3[end])), ""))</f>
        <v/>
      </c>
      <c r="K338" s="36"/>
      <c r="O338" s="22"/>
      <c r="R338" s="139"/>
      <c r="S338" s="138"/>
    </row>
    <row r="339" spans="10:19" x14ac:dyDescent="0.35">
      <c r="J339" t="str" cm="1">
        <f t="array" ref="J339">_xlfn.TEXTJOIN(", ", TRUE, IFERROR(_xlfn._xlws.FILTER(Table3[Holiday Name], (DIST!K339 &gt;= Table3[start]) * (DIST!K339&lt;= Table3[end])), ""))</f>
        <v/>
      </c>
      <c r="K339" s="36"/>
      <c r="O339" s="22"/>
      <c r="R339" s="139"/>
      <c r="S339" s="138"/>
    </row>
    <row r="340" spans="10:19" x14ac:dyDescent="0.35">
      <c r="J340" t="str" cm="1">
        <f t="array" ref="J340">_xlfn.TEXTJOIN(", ", TRUE, IFERROR(_xlfn._xlws.FILTER(Table3[Holiday Name], (DIST!K340 &gt;= Table3[start]) * (DIST!K340&lt;= Table3[end])), ""))</f>
        <v/>
      </c>
      <c r="K340" s="36"/>
      <c r="O340" s="22"/>
      <c r="R340" s="139"/>
      <c r="S340" s="138"/>
    </row>
    <row r="341" spans="10:19" x14ac:dyDescent="0.35">
      <c r="J341" t="str" cm="1">
        <f t="array" ref="J341">_xlfn.TEXTJOIN(", ", TRUE, IFERROR(_xlfn._xlws.FILTER(Table3[Holiday Name], (DIST!K341 &gt;= Table3[start]) * (DIST!K341&lt;= Table3[end])), ""))</f>
        <v/>
      </c>
      <c r="K341" s="36"/>
      <c r="O341" s="22"/>
      <c r="R341" s="139"/>
      <c r="S341" s="138"/>
    </row>
    <row r="342" spans="10:19" x14ac:dyDescent="0.35">
      <c r="J342" t="str" cm="1">
        <f t="array" ref="J342">_xlfn.TEXTJOIN(", ", TRUE, IFERROR(_xlfn._xlws.FILTER(Table3[Holiday Name], (DIST!K342 &gt;= Table3[start]) * (DIST!K342&lt;= Table3[end])), ""))</f>
        <v/>
      </c>
      <c r="K342" s="36"/>
      <c r="O342" s="22"/>
      <c r="R342" s="139"/>
      <c r="S342" s="138"/>
    </row>
    <row r="343" spans="10:19" x14ac:dyDescent="0.35">
      <c r="J343" t="str" cm="1">
        <f t="array" ref="J343">_xlfn.TEXTJOIN(", ", TRUE, IFERROR(_xlfn._xlws.FILTER(Table3[Holiday Name], (DIST!K343 &gt;= Table3[start]) * (DIST!K343&lt;= Table3[end])), ""))</f>
        <v/>
      </c>
      <c r="K343" s="36"/>
      <c r="O343" s="22"/>
      <c r="R343" s="139"/>
      <c r="S343" s="138"/>
    </row>
    <row r="344" spans="10:19" x14ac:dyDescent="0.35">
      <c r="J344" t="str" cm="1">
        <f t="array" ref="J344">_xlfn.TEXTJOIN(", ", TRUE, IFERROR(_xlfn._xlws.FILTER(Table3[Holiday Name], (DIST!K344 &gt;= Table3[start]) * (DIST!K344&lt;= Table3[end])), ""))</f>
        <v/>
      </c>
      <c r="K344" s="36"/>
      <c r="O344" s="22"/>
      <c r="R344" s="139"/>
      <c r="S344" s="138"/>
    </row>
  </sheetData>
  <mergeCells count="11">
    <mergeCell ref="B2:Q4"/>
    <mergeCell ref="C5:H6"/>
    <mergeCell ref="I5:N6"/>
    <mergeCell ref="O5:Q6"/>
    <mergeCell ref="I54:I90"/>
    <mergeCell ref="C40:H41"/>
    <mergeCell ref="I49:Q50"/>
    <mergeCell ref="C38:F38"/>
    <mergeCell ref="D31:F31"/>
    <mergeCell ref="C29:F30"/>
    <mergeCell ref="C39:F39"/>
  </mergeCells>
  <phoneticPr fontId="10" type="noConversion"/>
  <conditionalFormatting sqref="D37:F37">
    <cfRule type="containsText" dxfId="7" priority="7" operator="containsText" text="Outside Limits">
      <formula>NOT(ISERROR(SEARCH("Outside Limits",D37)))</formula>
    </cfRule>
    <cfRule type="containsText" dxfId="6" priority="8" operator="containsText" text="Within Limits">
      <formula>NOT(ISERROR(SEARCH("Within Limits",D37)))</formula>
    </cfRule>
  </conditionalFormatting>
  <conditionalFormatting sqref="O54:O146">
    <cfRule type="cellIs" dxfId="5" priority="5" operator="greaterThan">
      <formula>$L$52</formula>
    </cfRule>
    <cfRule type="cellIs" dxfId="4" priority="6" operator="lessThan">
      <formula>$J$52</formula>
    </cfRule>
  </conditionalFormatting>
  <conditionalFormatting sqref="Q8:Q28">
    <cfRule type="cellIs" dxfId="3" priority="1" operator="equal">
      <formula>""</formula>
    </cfRule>
    <cfRule type="cellIs" dxfId="2" priority="2" operator="lessThan">
      <formula>-0.05</formula>
    </cfRule>
    <cfRule type="cellIs" dxfId="1" priority="9" operator="between">
      <formula>-0.05</formula>
      <formula>0.05</formula>
    </cfRule>
    <cfRule type="cellIs" dxfId="0" priority="10" operator="greaterThan">
      <formula>0.05</formula>
    </cfRule>
  </conditionalFormatting>
  <pageMargins left="0.7" right="0.7" top="0.75" bottom="0.75" header="0.3" footer="0.3"/>
  <customProperties>
    <customPr name="LastActive" r:id="rId1"/>
  </customProperties>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735FDB23-5E38-4890-8ABE-C61BD8F52925}">
          <x14:formula1>
            <xm:f>'DROPDOWN LISTS'!$A$2:$A$4</xm:f>
          </x14:formula1>
          <xm:sqref>B6</xm:sqref>
        </x14:dataValidation>
        <x14:dataValidation type="list" allowBlank="1" showInputMessage="1" showErrorMessage="1" xr:uid="{C52FF501-B89D-426E-84B2-FA5F8C160C70}">
          <x14:formula1>
            <xm:f>'DROPDOWN LISTS'!$D$2:$D$5</xm:f>
          </x14:formula1>
          <xm:sqref>B9</xm:sqref>
        </x14:dataValidation>
        <x14:dataValidation type="list" allowBlank="1" showInputMessage="1" showErrorMessage="1" xr:uid="{2097227A-C838-416A-AE72-F12431BAB8D7}">
          <x14:formula1>
            <xm:f>OFFSET('DROPDOWN LISTS'!$A$1,1,MATCH($B$6,'DROPDOWN LISTS'!$B$1:$C$1,0),COUNTA(_xlfn.ANCHORARRAY('DROPDOWN LISTS'!$F$2))-COUNTBLANK(_xlfn.ANCHORARRAY('DROPDOWN LISTS'!$F$2)),1)</xm:f>
          </x14:formula1>
          <xm:sqref>B7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BFEF9-3ACB-4C1B-8A9E-FA4C50E817B5}">
  <sheetPr codeName="Sheet7"/>
  <dimension ref="B5:J40"/>
  <sheetViews>
    <sheetView workbookViewId="0">
      <selection activeCell="K9" sqref="K9"/>
    </sheetView>
  </sheetViews>
  <sheetFormatPr defaultRowHeight="14.5" x14ac:dyDescent="0.35"/>
  <cols>
    <col min="2" max="2" width="10.08984375" style="36" bestFit="1" customWidth="1"/>
    <col min="3" max="3" width="29.26953125" bestFit="1" customWidth="1"/>
    <col min="4" max="4" width="10.90625" customWidth="1"/>
    <col min="5" max="6" width="10.08984375" bestFit="1" customWidth="1"/>
    <col min="7" max="7" width="11.453125" customWidth="1"/>
    <col min="8" max="8" width="10.1796875" customWidth="1"/>
    <col min="9" max="9" width="8.7265625" style="36"/>
  </cols>
  <sheetData>
    <row r="5" spans="2:10" x14ac:dyDescent="0.35">
      <c r="E5" s="306" t="s">
        <v>177</v>
      </c>
      <c r="F5" s="306"/>
      <c r="G5" s="306" t="s">
        <v>180</v>
      </c>
      <c r="H5" s="306"/>
    </row>
    <row r="6" spans="2:10" ht="15" thickBot="1" x14ac:dyDescent="0.4">
      <c r="B6" s="135" t="s">
        <v>126</v>
      </c>
      <c r="C6" s="136" t="s">
        <v>125</v>
      </c>
      <c r="D6" s="137" t="s">
        <v>127</v>
      </c>
      <c r="E6" t="s">
        <v>159</v>
      </c>
      <c r="F6" t="s">
        <v>160</v>
      </c>
      <c r="G6" t="s">
        <v>178</v>
      </c>
      <c r="H6" t="s">
        <v>179</v>
      </c>
    </row>
    <row r="7" spans="2:10" ht="15" thickBot="1" x14ac:dyDescent="0.4">
      <c r="B7" s="294">
        <v>44927</v>
      </c>
      <c r="C7" t="s">
        <v>128</v>
      </c>
      <c r="D7" s="295" t="s">
        <v>129</v>
      </c>
      <c r="E7" s="36">
        <f>Table3[[#This Row],[Date]]-Sheet1!$F$29</f>
        <v>44925</v>
      </c>
      <c r="F7" s="36">
        <f>Table3[[#This Row],[Date]]+Sheet1!$F$29</f>
        <v>44929</v>
      </c>
      <c r="G7" s="36">
        <f>Table3[[#This Row],[Date]]-TIPS!$L$51</f>
        <v>44924</v>
      </c>
      <c r="H7" s="36">
        <f>Table3[[#This Row],[Date]]+TIPS!$L$51</f>
        <v>44930</v>
      </c>
    </row>
    <row r="8" spans="2:10" ht="15" thickBot="1" x14ac:dyDescent="0.4">
      <c r="B8" s="294">
        <v>44928</v>
      </c>
      <c r="C8" t="s">
        <v>130</v>
      </c>
      <c r="D8" s="295" t="s">
        <v>131</v>
      </c>
      <c r="E8" s="36">
        <f>Table3[[#This Row],[Date]]-Sheet1!$F$29</f>
        <v>44926</v>
      </c>
      <c r="F8" s="36">
        <f>Table3[[#This Row],[Date]]+Sheet1!$F$29</f>
        <v>44930</v>
      </c>
      <c r="G8" s="36">
        <f>Table3[[#This Row],[Date]]-TIPS!$L$51</f>
        <v>44925</v>
      </c>
      <c r="H8" s="36">
        <f>Table3[[#This Row],[Date]]+TIPS!$L$51</f>
        <v>44931</v>
      </c>
    </row>
    <row r="9" spans="2:10" ht="15" thickBot="1" x14ac:dyDescent="0.4">
      <c r="B9" s="294">
        <v>44942</v>
      </c>
      <c r="C9" t="s">
        <v>132</v>
      </c>
      <c r="D9" s="295" t="s">
        <v>131</v>
      </c>
      <c r="E9" s="36">
        <f>Table3[[#This Row],[Date]]-Sheet1!$F$29</f>
        <v>44940</v>
      </c>
      <c r="F9" s="36">
        <f>Table3[[#This Row],[Date]]+Sheet1!$F$29</f>
        <v>44944</v>
      </c>
      <c r="G9" s="36">
        <f>Table3[[#This Row],[Date]]-TIPS!$L$51</f>
        <v>44939</v>
      </c>
      <c r="H9" s="36">
        <f>Table3[[#This Row],[Date]]+TIPS!$L$51</f>
        <v>44945</v>
      </c>
    </row>
    <row r="10" spans="2:10" ht="15" thickBot="1" x14ac:dyDescent="0.4">
      <c r="B10" s="294">
        <v>44971</v>
      </c>
      <c r="C10" t="s">
        <v>133</v>
      </c>
      <c r="D10" s="295" t="s">
        <v>134</v>
      </c>
      <c r="E10" s="36">
        <f>Table3[[#This Row],[Date]]-Sheet1!$F$29</f>
        <v>44969</v>
      </c>
      <c r="F10" s="36">
        <f>Table3[[#This Row],[Date]]+Sheet1!$F$29</f>
        <v>44973</v>
      </c>
      <c r="G10" s="36">
        <f>Table3[[#This Row],[Date]]-TIPS!$L$51</f>
        <v>44968</v>
      </c>
      <c r="H10" s="36">
        <f>Table3[[#This Row],[Date]]+TIPS!$L$51</f>
        <v>44974</v>
      </c>
    </row>
    <row r="11" spans="2:10" ht="15" thickBot="1" x14ac:dyDescent="0.4">
      <c r="B11" s="294">
        <v>44977</v>
      </c>
      <c r="C11" t="s">
        <v>135</v>
      </c>
      <c r="D11" s="295" t="s">
        <v>131</v>
      </c>
      <c r="E11" s="36">
        <f>Table3[[#This Row],[Date]]-Sheet1!$F$29</f>
        <v>44975</v>
      </c>
      <c r="F11" s="36">
        <f>Table3[[#This Row],[Date]]+Sheet1!$F$29</f>
        <v>44979</v>
      </c>
      <c r="G11" s="36">
        <f>Table3[[#This Row],[Date]]-TIPS!$L$51</f>
        <v>44974</v>
      </c>
      <c r="H11" s="36">
        <f>Table3[[#This Row],[Date]]+TIPS!$L$51</f>
        <v>44980</v>
      </c>
    </row>
    <row r="12" spans="2:10" ht="15" thickBot="1" x14ac:dyDescent="0.4">
      <c r="B12" s="294">
        <v>45002</v>
      </c>
      <c r="C12" t="s">
        <v>136</v>
      </c>
      <c r="D12" s="295" t="s">
        <v>137</v>
      </c>
      <c r="E12" s="36">
        <f>Table3[[#This Row],[Date]]-Sheet1!$F$29</f>
        <v>45000</v>
      </c>
      <c r="F12" s="36">
        <f>Table3[[#This Row],[Date]]+Sheet1!$F$29</f>
        <v>45004</v>
      </c>
      <c r="G12" s="36">
        <f>Table3[[#This Row],[Date]]-TIPS!$L$51</f>
        <v>44999</v>
      </c>
      <c r="H12" s="36">
        <f>Table3[[#This Row],[Date]]+TIPS!$L$51</f>
        <v>45005</v>
      </c>
      <c r="I12" s="134"/>
      <c r="J12" s="133"/>
    </row>
    <row r="13" spans="2:10" ht="15" thickBot="1" x14ac:dyDescent="0.4">
      <c r="B13" s="294">
        <v>45025</v>
      </c>
      <c r="C13" t="s">
        <v>138</v>
      </c>
      <c r="D13" s="295" t="s">
        <v>129</v>
      </c>
      <c r="E13" s="36">
        <f>Table3[[#This Row],[Date]]-Sheet1!$F$29</f>
        <v>45023</v>
      </c>
      <c r="F13" s="36">
        <f>Table3[[#This Row],[Date]]+Sheet1!$F$29</f>
        <v>45027</v>
      </c>
      <c r="G13" s="36">
        <f>Table3[[#This Row],[Date]]-TIPS!$L$51</f>
        <v>45022</v>
      </c>
      <c r="H13" s="36">
        <f>Table3[[#This Row],[Date]]+TIPS!$L$51</f>
        <v>45028</v>
      </c>
    </row>
    <row r="14" spans="2:10" ht="15" thickBot="1" x14ac:dyDescent="0.4">
      <c r="B14" s="294">
        <v>45034</v>
      </c>
      <c r="C14" t="s">
        <v>139</v>
      </c>
      <c r="D14" s="295" t="s">
        <v>134</v>
      </c>
      <c r="E14" s="36">
        <f>Table3[[#This Row],[Date]]-Sheet1!$F$29</f>
        <v>45032</v>
      </c>
      <c r="F14" s="36">
        <f>Table3[[#This Row],[Date]]+Sheet1!$F$29</f>
        <v>45036</v>
      </c>
      <c r="G14" s="36">
        <f>Table3[[#This Row],[Date]]-TIPS!$L$51</f>
        <v>45031</v>
      </c>
      <c r="H14" s="36">
        <f>Table3[[#This Row],[Date]]+TIPS!$L$51</f>
        <v>45037</v>
      </c>
    </row>
    <row r="15" spans="2:10" ht="29.5" thickBot="1" x14ac:dyDescent="0.4">
      <c r="B15" s="294">
        <v>45042</v>
      </c>
      <c r="C15" t="s">
        <v>140</v>
      </c>
      <c r="D15" s="295" t="s">
        <v>141</v>
      </c>
      <c r="E15" s="36">
        <f>Table3[[#This Row],[Date]]-Sheet1!$F$29</f>
        <v>45040</v>
      </c>
      <c r="F15" s="36">
        <f>Table3[[#This Row],[Date]]+Sheet1!$F$29</f>
        <v>45044</v>
      </c>
      <c r="G15" s="36">
        <f>Table3[[#This Row],[Date]]-TIPS!$L$51</f>
        <v>45039</v>
      </c>
      <c r="H15" s="36">
        <f>Table3[[#This Row],[Date]]+TIPS!$L$51</f>
        <v>45045</v>
      </c>
    </row>
    <row r="16" spans="2:10" ht="15" thickBot="1" x14ac:dyDescent="0.4">
      <c r="B16" s="294">
        <v>45060</v>
      </c>
      <c r="C16" t="s">
        <v>142</v>
      </c>
      <c r="D16" s="295" t="s">
        <v>129</v>
      </c>
      <c r="E16" s="36">
        <f>Table3[[#This Row],[Date]]-Sheet1!$F$29</f>
        <v>45058</v>
      </c>
      <c r="F16" s="36">
        <f>Table3[[#This Row],[Date]]+Sheet1!$F$29</f>
        <v>45062</v>
      </c>
      <c r="G16" s="36">
        <f>Table3[[#This Row],[Date]]-TIPS!$L$51</f>
        <v>45057</v>
      </c>
      <c r="H16" s="36">
        <f>Table3[[#This Row],[Date]]+TIPS!$L$51</f>
        <v>45063</v>
      </c>
    </row>
    <row r="17" spans="2:8" ht="15" thickBot="1" x14ac:dyDescent="0.4">
      <c r="B17" s="294">
        <v>45075</v>
      </c>
      <c r="C17" t="s">
        <v>143</v>
      </c>
      <c r="D17" s="295" t="s">
        <v>131</v>
      </c>
      <c r="E17" s="36">
        <f>Table3[[#This Row],[Date]]-Sheet1!$F$29</f>
        <v>45073</v>
      </c>
      <c r="F17" s="36">
        <f>Table3[[#This Row],[Date]]+Sheet1!$F$29</f>
        <v>45077</v>
      </c>
      <c r="G17" s="36">
        <f>Table3[[#This Row],[Date]]-TIPS!$L$51</f>
        <v>45072</v>
      </c>
      <c r="H17" s="36">
        <f>Table3[[#This Row],[Date]]+TIPS!$L$51</f>
        <v>45078</v>
      </c>
    </row>
    <row r="18" spans="2:8" ht="15" thickBot="1" x14ac:dyDescent="0.4">
      <c r="B18" s="294">
        <v>45095</v>
      </c>
      <c r="C18" t="s">
        <v>144</v>
      </c>
      <c r="D18" s="295" t="s">
        <v>129</v>
      </c>
      <c r="E18" s="36">
        <f>Table3[[#This Row],[Date]]-Sheet1!$F$29</f>
        <v>45093</v>
      </c>
      <c r="F18" s="36">
        <f>Table3[[#This Row],[Date]]+Sheet1!$F$29</f>
        <v>45097</v>
      </c>
      <c r="G18" s="36">
        <f>Table3[[#This Row],[Date]]-TIPS!$L$51</f>
        <v>45092</v>
      </c>
      <c r="H18" s="36">
        <f>Table3[[#This Row],[Date]]+TIPS!$L$51</f>
        <v>45098</v>
      </c>
    </row>
    <row r="19" spans="2:8" ht="15" thickBot="1" x14ac:dyDescent="0.4">
      <c r="B19" s="294">
        <v>45096</v>
      </c>
      <c r="C19" t="s">
        <v>145</v>
      </c>
      <c r="D19" s="295" t="s">
        <v>131</v>
      </c>
      <c r="E19" s="36">
        <f>Table3[[#This Row],[Date]]-Sheet1!$F$29</f>
        <v>45094</v>
      </c>
      <c r="F19" s="36">
        <f>Table3[[#This Row],[Date]]+Sheet1!$F$29</f>
        <v>45098</v>
      </c>
      <c r="G19" s="36">
        <f>Table3[[#This Row],[Date]]-TIPS!$L$51</f>
        <v>45093</v>
      </c>
      <c r="H19" s="36">
        <f>Table3[[#This Row],[Date]]+TIPS!$L$51</f>
        <v>45099</v>
      </c>
    </row>
    <row r="20" spans="2:8" ht="15" thickBot="1" x14ac:dyDescent="0.4">
      <c r="B20" s="294">
        <v>45111</v>
      </c>
      <c r="C20" t="s">
        <v>146</v>
      </c>
      <c r="D20" s="295" t="s">
        <v>134</v>
      </c>
      <c r="E20" s="36">
        <f>Table3[[#This Row],[Date]]-Sheet1!$F$29</f>
        <v>45109</v>
      </c>
      <c r="F20" s="36">
        <f>Table3[[#This Row],[Date]]+Sheet1!$F$29</f>
        <v>45113</v>
      </c>
      <c r="G20" s="36">
        <f>Table3[[#This Row],[Date]]-TIPS!$L$51</f>
        <v>45108</v>
      </c>
      <c r="H20" s="36">
        <f>Table3[[#This Row],[Date]]+TIPS!$L$51</f>
        <v>45114</v>
      </c>
    </row>
    <row r="21" spans="2:8" ht="15" thickBot="1" x14ac:dyDescent="0.4">
      <c r="B21" s="294">
        <v>45173</v>
      </c>
      <c r="C21" t="s">
        <v>147</v>
      </c>
      <c r="D21" s="295" t="s">
        <v>131</v>
      </c>
      <c r="E21" s="36">
        <f>Table3[[#This Row],[Date]]-Sheet1!$F$29</f>
        <v>45171</v>
      </c>
      <c r="F21" s="36">
        <f>Table3[[#This Row],[Date]]+Sheet1!$F$29</f>
        <v>45175</v>
      </c>
      <c r="G21" s="36">
        <f>Table3[[#This Row],[Date]]-TIPS!$L$51</f>
        <v>45170</v>
      </c>
      <c r="H21" s="36">
        <f>Table3[[#This Row],[Date]]+TIPS!$L$51</f>
        <v>45176</v>
      </c>
    </row>
    <row r="22" spans="2:8" ht="15" thickBot="1" x14ac:dyDescent="0.4">
      <c r="B22" s="294">
        <v>45208</v>
      </c>
      <c r="C22" t="s">
        <v>148</v>
      </c>
      <c r="D22" s="295" t="s">
        <v>131</v>
      </c>
      <c r="E22" s="36">
        <f>Table3[[#This Row],[Date]]-Sheet1!$F$29</f>
        <v>45206</v>
      </c>
      <c r="F22" s="36">
        <f>Table3[[#This Row],[Date]]+Sheet1!$F$29</f>
        <v>45210</v>
      </c>
      <c r="G22" s="36">
        <f>Table3[[#This Row],[Date]]-TIPS!$L$51</f>
        <v>45205</v>
      </c>
      <c r="H22" s="36">
        <f>Table3[[#This Row],[Date]]+TIPS!$L$51</f>
        <v>45211</v>
      </c>
    </row>
    <row r="23" spans="2:8" ht="15" thickBot="1" x14ac:dyDescent="0.4">
      <c r="B23" s="294">
        <v>45230</v>
      </c>
      <c r="C23" t="s">
        <v>149</v>
      </c>
      <c r="D23" s="295" t="s">
        <v>134</v>
      </c>
      <c r="E23" s="36">
        <f>Table3[[#This Row],[Date]]-Sheet1!$F$29</f>
        <v>45228</v>
      </c>
      <c r="F23" s="36">
        <f>Table3[[#This Row],[Date]]+Sheet1!$F$29</f>
        <v>45232</v>
      </c>
      <c r="G23" s="36">
        <f>Table3[[#This Row],[Date]]-TIPS!$L$51</f>
        <v>45227</v>
      </c>
      <c r="H23" s="36">
        <f>Table3[[#This Row],[Date]]+TIPS!$L$51</f>
        <v>45233</v>
      </c>
    </row>
    <row r="24" spans="2:8" ht="15" thickBot="1" x14ac:dyDescent="0.4">
      <c r="B24" s="294">
        <v>45240</v>
      </c>
      <c r="C24" t="s">
        <v>150</v>
      </c>
      <c r="D24" s="295" t="s">
        <v>137</v>
      </c>
      <c r="E24" s="36">
        <f>Table3[[#This Row],[Date]]-Sheet1!$F$29</f>
        <v>45238</v>
      </c>
      <c r="F24" s="36">
        <f>Table3[[#This Row],[Date]]+Sheet1!$F$29</f>
        <v>45242</v>
      </c>
      <c r="G24" s="36">
        <f>Table3[[#This Row],[Date]]-TIPS!$L$51</f>
        <v>45237</v>
      </c>
      <c r="H24" s="36">
        <f>Table3[[#This Row],[Date]]+TIPS!$L$51</f>
        <v>45243</v>
      </c>
    </row>
    <row r="25" spans="2:8" ht="15" thickBot="1" x14ac:dyDescent="0.4">
      <c r="B25" s="294">
        <v>45241</v>
      </c>
      <c r="C25" t="s">
        <v>151</v>
      </c>
      <c r="D25" s="295" t="s">
        <v>152</v>
      </c>
      <c r="E25" s="36">
        <f>Table3[[#This Row],[Date]]-Sheet1!$F$29</f>
        <v>45239</v>
      </c>
      <c r="F25" s="36">
        <f>Table3[[#This Row],[Date]]+Sheet1!$F$29</f>
        <v>45243</v>
      </c>
      <c r="G25" s="36">
        <f>Table3[[#This Row],[Date]]-TIPS!$L$51</f>
        <v>45238</v>
      </c>
      <c r="H25" s="36">
        <f>Table3[[#This Row],[Date]]+TIPS!$L$51</f>
        <v>45244</v>
      </c>
    </row>
    <row r="26" spans="2:8" ht="15" thickBot="1" x14ac:dyDescent="0.4">
      <c r="B26" s="294">
        <v>45253</v>
      </c>
      <c r="C26" t="s">
        <v>153</v>
      </c>
      <c r="D26" s="295" t="s">
        <v>154</v>
      </c>
      <c r="E26" s="36">
        <f>Table3[[#This Row],[Date]]-Sheet1!$F$29</f>
        <v>45251</v>
      </c>
      <c r="F26" s="36">
        <f>Table3[[#This Row],[Date]]+Sheet1!$F$29</f>
        <v>45255</v>
      </c>
      <c r="G26" s="36">
        <f>Table3[[#This Row],[Date]]-TIPS!$L$51</f>
        <v>45250</v>
      </c>
      <c r="H26" s="36">
        <f>Table3[[#This Row],[Date]]+TIPS!$L$51</f>
        <v>45256</v>
      </c>
    </row>
    <row r="27" spans="2:8" ht="15" thickBot="1" x14ac:dyDescent="0.4">
      <c r="B27" s="294">
        <v>45254</v>
      </c>
      <c r="C27" t="s">
        <v>155</v>
      </c>
      <c r="D27" s="295" t="s">
        <v>137</v>
      </c>
      <c r="E27" s="36">
        <f>Table3[[#This Row],[Date]]-Sheet1!$F$29</f>
        <v>45252</v>
      </c>
      <c r="F27" s="36">
        <f>Table3[[#This Row],[Date]]+Sheet1!$F$29</f>
        <v>45256</v>
      </c>
      <c r="G27" s="36">
        <f>Table3[[#This Row],[Date]]-TIPS!$L$51</f>
        <v>45251</v>
      </c>
      <c r="H27" s="36">
        <f>Table3[[#This Row],[Date]]+TIPS!$L$51</f>
        <v>45257</v>
      </c>
    </row>
    <row r="28" spans="2:8" ht="15" thickBot="1" x14ac:dyDescent="0.4">
      <c r="B28" s="294">
        <v>45284</v>
      </c>
      <c r="C28" t="s">
        <v>156</v>
      </c>
      <c r="D28" s="295" t="s">
        <v>129</v>
      </c>
      <c r="E28" s="36">
        <f>Table3[[#This Row],[Date]]-Sheet1!$F$29</f>
        <v>45282</v>
      </c>
      <c r="F28" s="36">
        <f>Table3[[#This Row],[Date]]+Sheet1!$F$29</f>
        <v>45286</v>
      </c>
      <c r="G28" s="36">
        <f>Table3[[#This Row],[Date]]-TIPS!$L$51</f>
        <v>45281</v>
      </c>
      <c r="H28" s="36">
        <f>Table3[[#This Row],[Date]]+TIPS!$L$51</f>
        <v>45287</v>
      </c>
    </row>
    <row r="29" spans="2:8" ht="15" thickBot="1" x14ac:dyDescent="0.4">
      <c r="B29" s="294">
        <v>45285</v>
      </c>
      <c r="C29" t="s">
        <v>157</v>
      </c>
      <c r="D29" s="295" t="s">
        <v>131</v>
      </c>
      <c r="E29" s="36">
        <f>Table3[[#This Row],[Date]]-Sheet1!$F$29</f>
        <v>45283</v>
      </c>
      <c r="F29" s="36">
        <f>Table3[[#This Row],[Date]]+Sheet1!$F$29</f>
        <v>45287</v>
      </c>
      <c r="G29" s="36">
        <f>Table3[[#This Row],[Date]]-TIPS!$L$51</f>
        <v>45282</v>
      </c>
      <c r="H29" s="36">
        <f>Table3[[#This Row],[Date]]+TIPS!$L$51</f>
        <v>45288</v>
      </c>
    </row>
    <row r="30" spans="2:8" ht="15" thickBot="1" x14ac:dyDescent="0.4">
      <c r="B30" s="294">
        <v>45291</v>
      </c>
      <c r="C30" t="s">
        <v>158</v>
      </c>
      <c r="D30" s="295" t="s">
        <v>129</v>
      </c>
      <c r="E30" s="36">
        <f>Table3[[#This Row],[Date]]-Sheet1!$F$29</f>
        <v>45289</v>
      </c>
      <c r="F30" s="36">
        <f>Table3[[#This Row],[Date]]+Sheet1!$F$29</f>
        <v>45293</v>
      </c>
      <c r="G30" s="36">
        <f>Table3[[#This Row],[Date]]-TIPS!$L$51</f>
        <v>45288</v>
      </c>
      <c r="H30" s="36">
        <f>Table3[[#This Row],[Date]]+TIPS!$L$51</f>
        <v>45294</v>
      </c>
    </row>
    <row r="31" spans="2:8" ht="15" thickBot="1" x14ac:dyDescent="0.4">
      <c r="B31" s="294">
        <v>45292</v>
      </c>
      <c r="C31" t="s">
        <v>128</v>
      </c>
      <c r="D31" s="295" t="s">
        <v>131</v>
      </c>
      <c r="E31" s="36">
        <f>Table3[[#This Row],[Date]]-Sheet1!$F$29</f>
        <v>45290</v>
      </c>
      <c r="F31" s="36">
        <f>Table3[[#This Row],[Date]]+Sheet1!$F$29</f>
        <v>45294</v>
      </c>
      <c r="G31" s="36">
        <f>Table3[[#This Row],[Date]]-TIPS!$L$51</f>
        <v>45289</v>
      </c>
      <c r="H31" s="36">
        <f>Table3[[#This Row],[Date]]+TIPS!$L$51</f>
        <v>45295</v>
      </c>
    </row>
    <row r="32" spans="2:8" ht="15" thickBot="1" x14ac:dyDescent="0.4">
      <c r="B32" s="294">
        <v>45306</v>
      </c>
      <c r="C32" t="s">
        <v>132</v>
      </c>
      <c r="D32" s="295" t="s">
        <v>131</v>
      </c>
      <c r="E32" s="36">
        <f>Table3[[#This Row],[Date]]-Sheet1!$F$29</f>
        <v>45304</v>
      </c>
      <c r="F32" s="36">
        <f>Table3[[#This Row],[Date]]+Sheet1!$F$29</f>
        <v>45308</v>
      </c>
      <c r="G32" s="36">
        <f>Table3[[#This Row],[Date]]-TIPS!$L$51</f>
        <v>45303</v>
      </c>
      <c r="H32" s="36">
        <f>Table3[[#This Row],[Date]]+TIPS!$L$51</f>
        <v>45309</v>
      </c>
    </row>
    <row r="33" spans="2:8" ht="15" thickBot="1" x14ac:dyDescent="0.4">
      <c r="B33" s="294">
        <v>45336</v>
      </c>
      <c r="C33" t="s">
        <v>133</v>
      </c>
      <c r="D33" s="295" t="s">
        <v>141</v>
      </c>
      <c r="E33" s="36">
        <f>Table3[[#This Row],[Date]]-Sheet1!$F$29</f>
        <v>45334</v>
      </c>
      <c r="F33" s="36">
        <f>Table3[[#This Row],[Date]]+Sheet1!$F$29</f>
        <v>45338</v>
      </c>
      <c r="G33" s="36">
        <f>Table3[[#This Row],[Date]]-TIPS!$L$51</f>
        <v>45333</v>
      </c>
      <c r="H33" s="36">
        <f>Table3[[#This Row],[Date]]+TIPS!$L$51</f>
        <v>45339</v>
      </c>
    </row>
    <row r="34" spans="2:8" ht="15" thickBot="1" x14ac:dyDescent="0.4">
      <c r="B34" s="294">
        <v>45341</v>
      </c>
      <c r="C34" t="s">
        <v>135</v>
      </c>
      <c r="D34" s="295" t="s">
        <v>131</v>
      </c>
      <c r="E34" s="36">
        <f>Table3[[#This Row],[Date]]-Sheet1!$F$29</f>
        <v>45339</v>
      </c>
      <c r="F34" s="36">
        <f>Table3[[#This Row],[Date]]+Sheet1!$F$29</f>
        <v>45343</v>
      </c>
      <c r="G34" s="36">
        <f>Table3[[#This Row],[Date]]-TIPS!$L$51</f>
        <v>45338</v>
      </c>
      <c r="H34" s="36">
        <f>Table3[[#This Row],[Date]]+TIPS!$L$51</f>
        <v>45344</v>
      </c>
    </row>
    <row r="35" spans="2:8" ht="15" thickBot="1" x14ac:dyDescent="0.4">
      <c r="B35" s="294">
        <v>45368</v>
      </c>
      <c r="C35" t="s">
        <v>136</v>
      </c>
      <c r="D35" s="295" t="s">
        <v>129</v>
      </c>
      <c r="E35" s="36">
        <f>Table3[[#This Row],[Date]]-Sheet1!$F$29</f>
        <v>45366</v>
      </c>
      <c r="F35" s="36">
        <f>Table3[[#This Row],[Date]]+Sheet1!$F$29</f>
        <v>45370</v>
      </c>
      <c r="G35" s="36">
        <f>Table3[[#This Row],[Date]]-TIPS!$L$51</f>
        <v>45365</v>
      </c>
      <c r="H35" s="36">
        <f>Table3[[#This Row],[Date]]+TIPS!$L$51</f>
        <v>45371</v>
      </c>
    </row>
    <row r="36" spans="2:8" ht="15" thickBot="1" x14ac:dyDescent="0.4">
      <c r="B36" s="294">
        <v>45382</v>
      </c>
      <c r="C36" t="s">
        <v>138</v>
      </c>
      <c r="D36" s="295" t="s">
        <v>129</v>
      </c>
      <c r="E36" s="36">
        <f>Table3[[#This Row],[Date]]-Sheet1!$F$29</f>
        <v>45380</v>
      </c>
      <c r="F36" s="36">
        <f>Table3[[#This Row],[Date]]+Sheet1!$F$29</f>
        <v>45384</v>
      </c>
      <c r="G36" s="36">
        <f>Table3[[#This Row],[Date]]-TIPS!$L$51</f>
        <v>45379</v>
      </c>
      <c r="H36" s="36">
        <f>Table3[[#This Row],[Date]]+TIPS!$L$51</f>
        <v>45385</v>
      </c>
    </row>
    <row r="37" spans="2:8" ht="15" thickBot="1" x14ac:dyDescent="0.4">
      <c r="B37" s="294">
        <v>45397</v>
      </c>
      <c r="C37" t="s">
        <v>139</v>
      </c>
      <c r="D37" s="295" t="s">
        <v>131</v>
      </c>
      <c r="E37" s="36">
        <f>Table3[[#This Row],[Date]]-Sheet1!$F$29</f>
        <v>45395</v>
      </c>
      <c r="F37" s="36">
        <f>Table3[[#This Row],[Date]]+Sheet1!$F$29</f>
        <v>45399</v>
      </c>
      <c r="G37" s="36">
        <f>Table3[[#This Row],[Date]]-TIPS!$L$51</f>
        <v>45394</v>
      </c>
      <c r="H37" s="36">
        <f>Table3[[#This Row],[Date]]+TIPS!$L$51</f>
        <v>45400</v>
      </c>
    </row>
    <row r="38" spans="2:8" ht="15" thickBot="1" x14ac:dyDescent="0.4">
      <c r="B38" s="294">
        <v>45406</v>
      </c>
      <c r="C38" t="s">
        <v>140</v>
      </c>
      <c r="D38" s="295" t="s">
        <v>141</v>
      </c>
      <c r="E38" s="36">
        <f>Table3[[#This Row],[Date]]-Sheet1!$F$29</f>
        <v>45404</v>
      </c>
      <c r="F38" s="36">
        <f>Table3[[#This Row],[Date]]+Sheet1!$F$29</f>
        <v>45408</v>
      </c>
      <c r="G38" s="36">
        <f>Table3[[#This Row],[Date]]-TIPS!$L$51</f>
        <v>45403</v>
      </c>
      <c r="H38" s="36">
        <f>Table3[[#This Row],[Date]]+TIPS!$L$51</f>
        <v>45409</v>
      </c>
    </row>
    <row r="39" spans="2:8" ht="15" thickBot="1" x14ac:dyDescent="0.4">
      <c r="B39" s="294">
        <v>45424</v>
      </c>
      <c r="C39" t="s">
        <v>142</v>
      </c>
      <c r="D39" s="295" t="s">
        <v>129</v>
      </c>
      <c r="E39" s="36">
        <f>Table3[[#This Row],[Date]]-Sheet1!$F$29</f>
        <v>45422</v>
      </c>
      <c r="F39" s="36">
        <f>Table3[[#This Row],[Date]]+Sheet1!$F$29</f>
        <v>45426</v>
      </c>
      <c r="G39" s="36">
        <f>Table3[[#This Row],[Date]]-TIPS!$L$51</f>
        <v>45421</v>
      </c>
      <c r="H39" s="36">
        <f>Table3[[#This Row],[Date]]+TIPS!$L$51</f>
        <v>45427</v>
      </c>
    </row>
    <row r="40" spans="2:8" x14ac:dyDescent="0.35">
      <c r="B40" s="294">
        <v>45439</v>
      </c>
      <c r="C40" t="s">
        <v>143</v>
      </c>
      <c r="D40" s="295" t="s">
        <v>131</v>
      </c>
      <c r="E40" s="36">
        <f>Table3[[#This Row],[Date]]-Sheet1!$F$29</f>
        <v>45437</v>
      </c>
      <c r="F40" s="36">
        <f>Table3[[#This Row],[Date]]+Sheet1!$F$29</f>
        <v>45441</v>
      </c>
      <c r="G40" s="36">
        <f>Table3[[#This Row],[Date]]-TIPS!$L$51</f>
        <v>45436</v>
      </c>
      <c r="H40" s="36">
        <f>Table3[[#This Row],[Date]]+TIPS!$L$51</f>
        <v>45442</v>
      </c>
    </row>
  </sheetData>
  <mergeCells count="2">
    <mergeCell ref="E5:F5"/>
    <mergeCell ref="G5:H5"/>
  </mergeCells>
  <phoneticPr fontId="10" type="noConversion"/>
  <pageMargins left="0.7" right="0.7" top="0.75" bottom="0.75" header="0.3" footer="0.3"/>
  <customProperties>
    <customPr name="LastActive" r:id="rId1"/>
  </customPropertie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0C226-7BE9-40D1-BF36-9C2173979AFC}">
  <sheetPr codeName="Sheet8"/>
  <dimension ref="A1:V29"/>
  <sheetViews>
    <sheetView workbookViewId="0">
      <selection activeCell="K16" sqref="K16:T26"/>
    </sheetView>
  </sheetViews>
  <sheetFormatPr defaultRowHeight="14.5" x14ac:dyDescent="0.35"/>
  <cols>
    <col min="1" max="1" width="15.26953125" customWidth="1"/>
    <col min="2" max="2" width="13.6328125" customWidth="1"/>
    <col min="3" max="3" width="14.7265625" customWidth="1"/>
    <col min="4" max="4" width="7.7265625" bestFit="1" customWidth="1"/>
    <col min="12" max="12" width="13.36328125" customWidth="1"/>
    <col min="13" max="13" width="14.08984375" customWidth="1"/>
    <col min="14" max="14" width="13.6328125" customWidth="1"/>
    <col min="15" max="15" width="14.7265625" customWidth="1"/>
    <col min="16" max="16" width="12.7265625" customWidth="1"/>
    <col min="17" max="17" width="17.453125" bestFit="1" customWidth="1"/>
  </cols>
  <sheetData>
    <row r="1" spans="1:18" ht="15" thickBot="1" x14ac:dyDescent="0.4">
      <c r="A1" s="73" t="s">
        <v>65</v>
      </c>
      <c r="B1" s="73" t="s">
        <v>66</v>
      </c>
      <c r="C1" s="73" t="s">
        <v>67</v>
      </c>
      <c r="D1" s="198" t="s">
        <v>68</v>
      </c>
      <c r="E1" s="354" t="s">
        <v>175</v>
      </c>
      <c r="F1" s="355"/>
      <c r="G1" s="356"/>
      <c r="H1" s="354" t="s">
        <v>176</v>
      </c>
      <c r="I1" s="355"/>
      <c r="J1" s="356"/>
      <c r="L1" s="221" t="s">
        <v>204</v>
      </c>
      <c r="M1" s="221" t="s">
        <v>205</v>
      </c>
      <c r="N1" s="221" t="s">
        <v>66</v>
      </c>
      <c r="O1" s="221" t="s">
        <v>67</v>
      </c>
      <c r="P1" s="222" t="s">
        <v>68</v>
      </c>
      <c r="Q1" s="233" t="s">
        <v>196</v>
      </c>
    </row>
    <row r="2" spans="1:18" ht="14.5" customHeight="1" x14ac:dyDescent="0.35">
      <c r="A2" s="74" t="s">
        <v>66</v>
      </c>
      <c r="B2" s="75" t="s">
        <v>30</v>
      </c>
      <c r="C2" s="75" t="s">
        <v>39</v>
      </c>
      <c r="D2" s="79" t="s">
        <v>21</v>
      </c>
      <c r="E2" s="92">
        <v>1</v>
      </c>
      <c r="F2" s="199" t="str" cm="1">
        <f t="array" aca="1" ref="F2:F13" ca="1">IF(OFFSET($A$1,1,MATCH(DIST!$B$6,$B$1:$C$1,0),COUNTA(_xlfn.CHOOSECOLS($B$2:$C$13,MATCH(DIST!$B$6,$B$1:$C$1,0))),1)=0,"",OFFSET($A$1,1,MATCH(DIST!$B$6,$B$1:$C$1,0),COUNTA(_xlfn.CHOOSECOLS($B$2:$C$13,MATCH(DIST!$B$6,$B$1:$C$1,0))),1))</f>
        <v>January</v>
      </c>
      <c r="G2" s="92" t="b">
        <f ca="1">ISTEXT(F2)</f>
        <v>1</v>
      </c>
      <c r="H2" s="92">
        <v>1</v>
      </c>
      <c r="I2" s="199" t="e" cm="1">
        <f t="array" aca="1" ref="I2" ca="1">IF(OFFSET($A$1,1,MATCH(DIST!$B$6,$B$1:$C$1,0),COUNTA(_xlfn.CHOOSECOLS($B$2:$C$13,MATCH(TIPS!$B$6,$B$1:$C$1,0))),1)=0,"",OFFSET($A$1,1,MATCH(TIPS!$B$6,$B$1:$C$1,0),COUNTA(_xlfn.CHOOSECOLS($B$2:$C$13,MATCH(TIPS!$B$6,$B$1:$C$1,0))),1))</f>
        <v>#N/A</v>
      </c>
      <c r="J2" s="92" t="b">
        <f ca="1">ISTEXT(I2)</f>
        <v>0</v>
      </c>
      <c r="K2" s="197"/>
      <c r="L2" s="223" t="s">
        <v>206</v>
      </c>
      <c r="M2" s="74" t="s">
        <v>66</v>
      </c>
      <c r="N2" s="75" t="s">
        <v>30</v>
      </c>
      <c r="O2" s="75" t="s">
        <v>39</v>
      </c>
      <c r="P2" s="224" t="s">
        <v>21</v>
      </c>
      <c r="Q2" s="197" t="str" cm="1">
        <f t="array" aca="1" ref="Q2" ca="1">IFERROR(OFFSET($L$1,1,MATCH(Sheet1!$B$7,N1:O1,0)+1,IF(MATCH(Sheet1!$B$7,N1:O1,0)+1=2,COUNTIF($N$2:$N$13,"&lt;&gt;"&amp;""),COUNTIF($O$2:$O$13,"&lt;&gt;"&amp;"")),1),"Entire Year Selected")</f>
        <v>Entire Year Selected</v>
      </c>
      <c r="R2" s="197"/>
    </row>
    <row r="3" spans="1:18" x14ac:dyDescent="0.35">
      <c r="A3" s="76" t="s">
        <v>67</v>
      </c>
      <c r="B3" s="77" t="s">
        <v>31</v>
      </c>
      <c r="C3" s="77" t="s">
        <v>40</v>
      </c>
      <c r="D3" s="77" t="s">
        <v>25</v>
      </c>
      <c r="E3" s="80">
        <v>2</v>
      </c>
      <c r="F3" s="80" t="str">
        <f ca="1"/>
        <v>February</v>
      </c>
      <c r="G3" s="80" t="b">
        <f t="shared" ref="G3:G13" ca="1" si="0">ISTEXT(F3)</f>
        <v>1</v>
      </c>
      <c r="H3" s="80">
        <v>2</v>
      </c>
      <c r="I3" s="80"/>
      <c r="J3" s="80" t="b">
        <f t="shared" ref="J3:J13" si="1">ISTEXT(I3)</f>
        <v>0</v>
      </c>
      <c r="K3" s="197"/>
      <c r="L3" s="225" t="s">
        <v>207</v>
      </c>
      <c r="M3" s="76" t="s">
        <v>67</v>
      </c>
      <c r="N3" s="77" t="s">
        <v>31</v>
      </c>
      <c r="O3" s="77" t="s">
        <v>40</v>
      </c>
      <c r="P3" s="226" t="s">
        <v>25</v>
      </c>
      <c r="Q3" s="197"/>
      <c r="R3" s="197"/>
    </row>
    <row r="4" spans="1:18" ht="16" customHeight="1" x14ac:dyDescent="0.35">
      <c r="A4" s="78" t="s">
        <v>69</v>
      </c>
      <c r="B4" s="79" t="s">
        <v>23</v>
      </c>
      <c r="C4" s="79" t="s">
        <v>41</v>
      </c>
      <c r="D4" s="79" t="s">
        <v>34</v>
      </c>
      <c r="E4" s="80">
        <v>3</v>
      </c>
      <c r="F4" s="80" t="str">
        <f ca="1"/>
        <v>March</v>
      </c>
      <c r="G4" s="80" t="b">
        <f t="shared" ca="1" si="0"/>
        <v>1</v>
      </c>
      <c r="H4" s="80">
        <v>3</v>
      </c>
      <c r="I4" s="80"/>
      <c r="J4" s="80" t="b">
        <f t="shared" si="1"/>
        <v>0</v>
      </c>
      <c r="K4" s="197"/>
      <c r="L4" s="227" t="s">
        <v>208</v>
      </c>
      <c r="M4" s="78" t="s">
        <v>69</v>
      </c>
      <c r="N4" s="79" t="s">
        <v>23</v>
      </c>
      <c r="O4" s="79" t="s">
        <v>41</v>
      </c>
      <c r="P4" s="228" t="s">
        <v>34</v>
      </c>
      <c r="Q4" s="197"/>
      <c r="R4" s="197"/>
    </row>
    <row r="5" spans="1:18" x14ac:dyDescent="0.35">
      <c r="A5" s="76"/>
      <c r="B5" s="77" t="s">
        <v>26</v>
      </c>
      <c r="C5" s="77" t="s">
        <v>54</v>
      </c>
      <c r="D5" s="77" t="s">
        <v>70</v>
      </c>
      <c r="E5" s="80">
        <v>4</v>
      </c>
      <c r="F5" s="80" t="str">
        <f ca="1"/>
        <v>April</v>
      </c>
      <c r="G5" s="80" t="b">
        <f t="shared" ca="1" si="0"/>
        <v>1</v>
      </c>
      <c r="H5" s="80">
        <v>4</v>
      </c>
      <c r="I5" s="80"/>
      <c r="J5" s="80" t="b">
        <f t="shared" si="1"/>
        <v>0</v>
      </c>
      <c r="K5" s="197"/>
      <c r="L5" s="225" t="s">
        <v>209</v>
      </c>
      <c r="M5" s="229"/>
      <c r="N5" s="77" t="s">
        <v>26</v>
      </c>
      <c r="O5" s="77" t="s">
        <v>54</v>
      </c>
      <c r="P5" s="226" t="s">
        <v>70</v>
      </c>
      <c r="Q5" s="197"/>
      <c r="R5" s="197"/>
    </row>
    <row r="6" spans="1:18" x14ac:dyDescent="0.35">
      <c r="A6" s="78"/>
      <c r="B6" s="79" t="s">
        <v>27</v>
      </c>
      <c r="C6" s="79" t="s">
        <v>64</v>
      </c>
      <c r="D6" s="79"/>
      <c r="E6" s="80">
        <v>5</v>
      </c>
      <c r="F6" s="80" t="str">
        <f ca="1"/>
        <v>May</v>
      </c>
      <c r="G6" s="80" t="b">
        <f t="shared" ca="1" si="0"/>
        <v>1</v>
      </c>
      <c r="H6" s="80">
        <v>5</v>
      </c>
      <c r="I6" s="80"/>
      <c r="J6" s="80" t="b">
        <f t="shared" si="1"/>
        <v>0</v>
      </c>
      <c r="K6" s="197"/>
      <c r="L6" s="227" t="s">
        <v>210</v>
      </c>
      <c r="M6" s="230"/>
      <c r="N6" s="79" t="s">
        <v>27</v>
      </c>
      <c r="O6" s="79" t="s">
        <v>64</v>
      </c>
      <c r="P6" s="231"/>
      <c r="Q6" s="197"/>
      <c r="R6" s="197"/>
    </row>
    <row r="7" spans="1:18" ht="15.5" customHeight="1" x14ac:dyDescent="0.35">
      <c r="A7" s="76"/>
      <c r="B7" s="77" t="s">
        <v>28</v>
      </c>
      <c r="C7" s="77" t="s">
        <v>22</v>
      </c>
      <c r="D7" s="77"/>
      <c r="E7" s="80">
        <v>6</v>
      </c>
      <c r="F7" s="80" t="str">
        <f ca="1"/>
        <v>June</v>
      </c>
      <c r="G7" s="80" t="b">
        <f t="shared" ca="1" si="0"/>
        <v>1</v>
      </c>
      <c r="H7" s="80">
        <v>6</v>
      </c>
      <c r="I7" s="80"/>
      <c r="J7" s="80" t="b">
        <f t="shared" si="1"/>
        <v>0</v>
      </c>
      <c r="K7" s="197"/>
      <c r="L7" s="225"/>
      <c r="M7" s="229"/>
      <c r="N7" s="77" t="s">
        <v>28</v>
      </c>
      <c r="O7" s="77" t="s">
        <v>22</v>
      </c>
      <c r="P7" s="232"/>
      <c r="Q7" s="197"/>
      <c r="R7" s="197"/>
    </row>
    <row r="8" spans="1:18" x14ac:dyDescent="0.35">
      <c r="A8" s="78"/>
      <c r="B8" s="79" t="s">
        <v>29</v>
      </c>
      <c r="C8" s="79" t="s">
        <v>32</v>
      </c>
      <c r="D8" s="79"/>
      <c r="E8" s="80">
        <v>7</v>
      </c>
      <c r="F8" s="80" t="str">
        <f ca="1"/>
        <v>July</v>
      </c>
      <c r="G8" s="80" t="b">
        <f t="shared" ca="1" si="0"/>
        <v>1</v>
      </c>
      <c r="H8" s="80">
        <v>7</v>
      </c>
      <c r="I8" s="80"/>
      <c r="J8" s="80" t="b">
        <f t="shared" si="1"/>
        <v>0</v>
      </c>
      <c r="K8" s="197"/>
      <c r="L8" s="227"/>
      <c r="M8" s="230"/>
      <c r="N8" s="79" t="s">
        <v>29</v>
      </c>
      <c r="O8" s="79" t="s">
        <v>32</v>
      </c>
      <c r="P8" s="231"/>
      <c r="Q8" s="197"/>
      <c r="R8" s="197"/>
    </row>
    <row r="9" spans="1:18" x14ac:dyDescent="0.35">
      <c r="A9" s="76"/>
      <c r="B9" s="77"/>
      <c r="C9" s="77" t="s">
        <v>33</v>
      </c>
      <c r="D9" s="77"/>
      <c r="E9" s="80">
        <v>8</v>
      </c>
      <c r="F9" s="80" t="str">
        <f ca="1"/>
        <v>August</v>
      </c>
      <c r="G9" s="80" t="b">
        <f t="shared" ca="1" si="0"/>
        <v>1</v>
      </c>
      <c r="H9" s="80">
        <v>8</v>
      </c>
      <c r="I9" s="80"/>
      <c r="J9" s="80" t="b">
        <f t="shared" si="1"/>
        <v>0</v>
      </c>
      <c r="K9" s="197"/>
      <c r="L9" s="225"/>
      <c r="M9" s="229"/>
      <c r="N9" s="229"/>
      <c r="O9" s="77" t="s">
        <v>33</v>
      </c>
      <c r="P9" s="232"/>
      <c r="Q9" s="197"/>
      <c r="R9" s="197"/>
    </row>
    <row r="10" spans="1:18" x14ac:dyDescent="0.35">
      <c r="A10" s="78"/>
      <c r="B10" s="79"/>
      <c r="C10" s="79" t="s">
        <v>35</v>
      </c>
      <c r="D10" s="79"/>
      <c r="E10" s="80">
        <v>9</v>
      </c>
      <c r="F10" s="80" t="str">
        <f ca="1"/>
        <v>September</v>
      </c>
      <c r="G10" s="80" t="b">
        <f t="shared" ca="1" si="0"/>
        <v>1</v>
      </c>
      <c r="H10" s="80">
        <v>9</v>
      </c>
      <c r="I10" s="80"/>
      <c r="J10" s="80" t="b">
        <f t="shared" si="1"/>
        <v>0</v>
      </c>
      <c r="K10" s="197"/>
      <c r="L10" s="227"/>
      <c r="M10" s="230"/>
      <c r="N10" s="230"/>
      <c r="O10" s="79" t="s">
        <v>35</v>
      </c>
      <c r="P10" s="231"/>
      <c r="Q10" s="197"/>
      <c r="R10" s="197"/>
    </row>
    <row r="11" spans="1:18" x14ac:dyDescent="0.35">
      <c r="A11" s="76"/>
      <c r="B11" s="77"/>
      <c r="C11" s="77" t="s">
        <v>36</v>
      </c>
      <c r="D11" s="77"/>
      <c r="E11" s="80">
        <v>10</v>
      </c>
      <c r="F11" s="80" t="str">
        <f ca="1"/>
        <v>October</v>
      </c>
      <c r="G11" s="80" t="b">
        <f t="shared" ca="1" si="0"/>
        <v>1</v>
      </c>
      <c r="H11" s="80">
        <v>10</v>
      </c>
      <c r="I11" s="80"/>
      <c r="J11" s="80" t="b">
        <f t="shared" si="1"/>
        <v>0</v>
      </c>
      <c r="L11" s="76"/>
      <c r="M11" s="77"/>
      <c r="N11" s="77"/>
      <c r="O11" s="77" t="s">
        <v>36</v>
      </c>
      <c r="P11" s="226"/>
    </row>
    <row r="12" spans="1:18" x14ac:dyDescent="0.35">
      <c r="A12" s="78"/>
      <c r="B12" s="79"/>
      <c r="C12" s="79" t="s">
        <v>37</v>
      </c>
      <c r="D12" s="79"/>
      <c r="E12" s="80">
        <v>11</v>
      </c>
      <c r="F12" s="80" t="str">
        <f ca="1"/>
        <v>November</v>
      </c>
      <c r="G12" s="80" t="b">
        <f t="shared" ca="1" si="0"/>
        <v>1</v>
      </c>
      <c r="H12" s="80">
        <v>11</v>
      </c>
      <c r="I12" s="80"/>
      <c r="J12" s="80" t="b">
        <f t="shared" si="1"/>
        <v>0</v>
      </c>
      <c r="L12" s="78"/>
      <c r="M12" s="79"/>
      <c r="N12" s="79"/>
      <c r="O12" s="79" t="s">
        <v>37</v>
      </c>
      <c r="P12" s="228"/>
      <c r="R12" s="69"/>
    </row>
    <row r="13" spans="1:18" x14ac:dyDescent="0.35">
      <c r="A13" s="76"/>
      <c r="B13" s="77"/>
      <c r="C13" s="77" t="s">
        <v>38</v>
      </c>
      <c r="D13" s="77"/>
      <c r="E13" s="80">
        <v>12</v>
      </c>
      <c r="F13" s="80" t="str">
        <f ca="1"/>
        <v>December</v>
      </c>
      <c r="G13" s="80" t="b">
        <f t="shared" ca="1" si="0"/>
        <v>1</v>
      </c>
      <c r="H13" s="80">
        <v>12</v>
      </c>
      <c r="I13" s="80"/>
      <c r="J13" s="80" t="b">
        <f t="shared" si="1"/>
        <v>0</v>
      </c>
      <c r="L13" s="218"/>
      <c r="M13" s="219"/>
      <c r="N13" s="219"/>
      <c r="O13" s="219" t="s">
        <v>38</v>
      </c>
      <c r="P13" s="220"/>
    </row>
    <row r="14" spans="1:18" x14ac:dyDescent="0.35">
      <c r="A14" s="70"/>
      <c r="B14" s="71"/>
      <c r="C14" s="71"/>
      <c r="D14" s="72"/>
    </row>
    <row r="19" spans="10:22" x14ac:dyDescent="0.35">
      <c r="J19" s="197"/>
      <c r="K19" s="197"/>
      <c r="L19" s="197"/>
      <c r="M19" s="197"/>
      <c r="N19" s="197"/>
      <c r="O19" s="197"/>
      <c r="P19" s="197"/>
      <c r="Q19" s="197"/>
      <c r="R19" s="197"/>
      <c r="S19" s="197"/>
      <c r="T19" s="197"/>
      <c r="U19" s="197"/>
      <c r="V19" s="197"/>
    </row>
    <row r="20" spans="10:22" x14ac:dyDescent="0.35">
      <c r="J20" s="197"/>
      <c r="K20" s="197"/>
      <c r="L20" s="197"/>
      <c r="M20" s="197"/>
      <c r="N20" s="197"/>
      <c r="O20" s="197"/>
      <c r="P20" s="197"/>
      <c r="Q20" s="197"/>
      <c r="R20" s="197"/>
      <c r="S20" s="197"/>
      <c r="T20" s="197"/>
      <c r="U20" s="197"/>
      <c r="V20" s="197"/>
    </row>
    <row r="21" spans="10:22" x14ac:dyDescent="0.35">
      <c r="J21" s="197"/>
      <c r="K21" s="197"/>
      <c r="L21" s="197"/>
      <c r="M21" s="197"/>
      <c r="N21" s="197"/>
      <c r="O21" s="197"/>
      <c r="P21" s="197"/>
      <c r="Q21" s="197"/>
      <c r="R21" s="197"/>
      <c r="S21" s="197"/>
      <c r="T21" s="197"/>
      <c r="U21" s="197"/>
      <c r="V21" s="197"/>
    </row>
    <row r="22" spans="10:22" x14ac:dyDescent="0.35">
      <c r="J22" s="197"/>
      <c r="K22" s="197"/>
      <c r="L22" s="197"/>
      <c r="M22" s="197"/>
      <c r="N22" s="197"/>
      <c r="O22" s="197"/>
      <c r="P22" s="197"/>
      <c r="Q22" s="197"/>
      <c r="R22" s="197"/>
      <c r="S22" s="197"/>
      <c r="T22" s="197"/>
      <c r="U22" s="197"/>
      <c r="V22" s="197"/>
    </row>
    <row r="23" spans="10:22" x14ac:dyDescent="0.35">
      <c r="J23" s="197"/>
      <c r="K23" s="197"/>
      <c r="L23" s="197"/>
      <c r="M23" s="197"/>
      <c r="N23" s="197"/>
      <c r="O23" s="197"/>
      <c r="P23" s="197"/>
      <c r="Q23" s="197"/>
      <c r="R23" s="197"/>
      <c r="S23" s="197"/>
      <c r="T23" s="197"/>
      <c r="U23" s="197"/>
      <c r="V23" s="197"/>
    </row>
    <row r="24" spans="10:22" x14ac:dyDescent="0.35">
      <c r="J24" s="197"/>
      <c r="K24" s="197"/>
      <c r="L24" s="197"/>
      <c r="M24" s="197"/>
      <c r="N24" s="197"/>
      <c r="O24" s="197"/>
      <c r="P24" s="197"/>
      <c r="Q24" s="197"/>
      <c r="R24" s="197"/>
      <c r="S24" s="197"/>
      <c r="T24" s="197"/>
      <c r="U24" s="197"/>
      <c r="V24" s="197"/>
    </row>
    <row r="25" spans="10:22" x14ac:dyDescent="0.35">
      <c r="J25" s="197"/>
      <c r="K25" s="197"/>
      <c r="L25" s="197"/>
      <c r="M25" s="197"/>
      <c r="N25" s="197"/>
      <c r="O25" s="197"/>
      <c r="P25" s="197"/>
      <c r="Q25" s="197"/>
      <c r="R25" s="197"/>
      <c r="S25" s="197"/>
      <c r="T25" s="197"/>
      <c r="U25" s="197"/>
      <c r="V25" s="197"/>
    </row>
    <row r="26" spans="10:22" x14ac:dyDescent="0.35">
      <c r="J26" s="197"/>
      <c r="K26" s="197"/>
      <c r="L26" s="197"/>
      <c r="M26" s="197"/>
      <c r="N26" s="197"/>
      <c r="O26" s="197"/>
      <c r="P26" s="197"/>
      <c r="Q26" s="197"/>
      <c r="R26" s="197"/>
      <c r="S26" s="197"/>
      <c r="T26" s="197"/>
      <c r="U26" s="197"/>
      <c r="V26" s="197"/>
    </row>
    <row r="27" spans="10:22" x14ac:dyDescent="0.35">
      <c r="J27" s="197"/>
      <c r="K27" s="197"/>
      <c r="L27" s="197"/>
      <c r="M27" s="197"/>
      <c r="N27" s="197"/>
      <c r="O27" s="197"/>
      <c r="P27" s="197"/>
      <c r="Q27" s="197"/>
      <c r="R27" s="197"/>
      <c r="S27" s="197"/>
      <c r="T27" s="197"/>
      <c r="U27" s="197"/>
      <c r="V27" s="197"/>
    </row>
    <row r="28" spans="10:22" x14ac:dyDescent="0.35">
      <c r="J28" s="197"/>
      <c r="K28" s="197"/>
      <c r="L28" s="197"/>
      <c r="M28" s="197"/>
      <c r="N28" s="197"/>
      <c r="O28" s="197"/>
      <c r="P28" s="197"/>
      <c r="Q28" s="197"/>
      <c r="R28" s="197"/>
      <c r="S28" s="197"/>
      <c r="T28" s="197"/>
      <c r="U28" s="197"/>
      <c r="V28" s="197"/>
    </row>
    <row r="29" spans="10:22" x14ac:dyDescent="0.35">
      <c r="J29" s="197"/>
      <c r="K29" s="197"/>
      <c r="L29" s="197"/>
      <c r="M29" s="197"/>
      <c r="N29" s="197"/>
      <c r="O29" s="197"/>
      <c r="P29" s="197"/>
      <c r="Q29" s="197"/>
      <c r="R29" s="197"/>
      <c r="S29" s="197"/>
      <c r="T29" s="197"/>
      <c r="U29" s="197"/>
      <c r="V29" s="197"/>
    </row>
  </sheetData>
  <mergeCells count="2">
    <mergeCell ref="E1:G1"/>
    <mergeCell ref="H1:J1"/>
  </mergeCells>
  <dataValidations count="1">
    <dataValidation type="list" allowBlank="1" showInputMessage="1" showErrorMessage="1" sqref="L18" xr:uid="{46269532-3C32-478A-842C-567B80347929}">
      <formula1>OFFSET($M$1, 1, 0, COUNTIF($M$2:$M$13,"&lt;&gt;"&amp;""), 1)</formula1>
    </dataValidation>
  </dataValidations>
  <pageMargins left="0.7" right="0.7" top="0.75" bottom="0.75" header="0.3" footer="0.3"/>
  <customProperties>
    <customPr name="LastActive"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A4276-FCAD-4422-B0D0-E7D0A1CC41ED}">
  <sheetPr codeName="Sheet9"/>
  <dimension ref="A1:W335"/>
  <sheetViews>
    <sheetView topLeftCell="A3" workbookViewId="0">
      <selection activeCell="B11" sqref="B11:C11"/>
    </sheetView>
  </sheetViews>
  <sheetFormatPr defaultRowHeight="14.5" x14ac:dyDescent="0.35"/>
  <cols>
    <col min="1" max="1" width="3.54296875" style="37" customWidth="1"/>
    <col min="2" max="2" width="13.1796875" bestFit="1" customWidth="1"/>
    <col min="3" max="3" width="10.81640625" customWidth="1"/>
    <col min="5" max="5" width="12.08984375" bestFit="1" customWidth="1"/>
    <col min="6" max="6" width="14" style="288" customWidth="1"/>
    <col min="7" max="7" width="15.90625" bestFit="1" customWidth="1"/>
    <col min="8" max="8" width="11.1796875" bestFit="1" customWidth="1"/>
    <col min="9" max="9" width="9.6328125" customWidth="1"/>
    <col min="10" max="10" width="19.08984375" bestFit="1" customWidth="1"/>
    <col min="11" max="11" width="16.90625" style="22" customWidth="1"/>
    <col min="12" max="12" width="8.7265625" customWidth="1"/>
    <col min="14" max="14" width="9.90625" bestFit="1" customWidth="1"/>
    <col min="15" max="15" width="21.54296875" bestFit="1" customWidth="1"/>
    <col min="24" max="24" width="9.90625" bestFit="1" customWidth="1"/>
  </cols>
  <sheetData>
    <row r="1" spans="1:10" customFormat="1" ht="29" customHeight="1" x14ac:dyDescent="0.35">
      <c r="A1" s="37"/>
    </row>
    <row r="2" spans="1:10" customFormat="1" ht="29" customHeight="1" thickBot="1" x14ac:dyDescent="0.4">
      <c r="A2" s="37"/>
    </row>
    <row r="3" spans="1:10" customFormat="1" ht="29" customHeight="1" thickBot="1" x14ac:dyDescent="0.4">
      <c r="A3" s="37"/>
      <c r="B3" s="359" t="s">
        <v>203</v>
      </c>
      <c r="C3" s="360"/>
    </row>
    <row r="4" spans="1:10" customFormat="1" x14ac:dyDescent="0.35">
      <c r="A4" s="37"/>
      <c r="B4" s="361" t="s">
        <v>202</v>
      </c>
      <c r="C4" s="362"/>
      <c r="E4" s="36"/>
      <c r="I4" s="31"/>
      <c r="J4" s="31"/>
    </row>
    <row r="5" spans="1:10" customFormat="1" x14ac:dyDescent="0.35">
      <c r="A5" s="37"/>
      <c r="B5" s="363" t="s">
        <v>206</v>
      </c>
      <c r="C5" s="364"/>
      <c r="E5" s="36"/>
      <c r="F5" s="234"/>
      <c r="I5" s="31"/>
      <c r="J5" s="31"/>
    </row>
    <row r="6" spans="1:10" customFormat="1" x14ac:dyDescent="0.35">
      <c r="A6" s="37"/>
      <c r="B6" s="357" t="s">
        <v>211</v>
      </c>
      <c r="C6" s="358"/>
      <c r="E6" s="36"/>
      <c r="I6" s="31"/>
      <c r="J6" s="31"/>
    </row>
    <row r="7" spans="1:10" customFormat="1" x14ac:dyDescent="0.35">
      <c r="A7" s="37"/>
      <c r="B7" s="363" t="s">
        <v>69</v>
      </c>
      <c r="C7" s="364"/>
      <c r="E7" s="36"/>
      <c r="I7" s="31"/>
      <c r="J7" s="31"/>
    </row>
    <row r="8" spans="1:10" customFormat="1" x14ac:dyDescent="0.35">
      <c r="A8" s="37"/>
      <c r="B8" s="357" t="str">
        <f>IF($B$9="","Make a selection",$B$9&amp;" selected ")</f>
        <v xml:space="preserve">THU selected </v>
      </c>
      <c r="C8" s="358"/>
      <c r="E8" s="36"/>
      <c r="I8" s="31"/>
      <c r="J8" s="31"/>
    </row>
    <row r="9" spans="1:10" customFormat="1" x14ac:dyDescent="0.35">
      <c r="A9" s="37"/>
      <c r="B9" s="363" t="s">
        <v>26</v>
      </c>
      <c r="C9" s="364"/>
      <c r="E9" s="36"/>
      <c r="I9" s="31"/>
      <c r="J9" s="31"/>
    </row>
    <row r="10" spans="1:10" customFormat="1" x14ac:dyDescent="0.35">
      <c r="A10" s="37"/>
      <c r="B10" s="357" t="str">
        <f>IF($B$11="","Select Shift Type",$B$11&amp;" shifts selected")</f>
        <v>ALL shifts selected</v>
      </c>
      <c r="C10" s="358"/>
      <c r="E10" s="36"/>
      <c r="I10" s="31"/>
      <c r="J10" s="31"/>
    </row>
    <row r="11" spans="1:10" customFormat="1" ht="15" thickBot="1" x14ac:dyDescent="0.4">
      <c r="A11" s="37"/>
      <c r="B11" s="381" t="s">
        <v>70</v>
      </c>
      <c r="C11" s="382"/>
      <c r="E11" s="36"/>
      <c r="I11" s="31"/>
      <c r="J11" s="31"/>
    </row>
    <row r="12" spans="1:10" customFormat="1" ht="15" thickBot="1" x14ac:dyDescent="0.4">
      <c r="A12" s="37"/>
      <c r="E12" s="36"/>
      <c r="I12" s="31"/>
      <c r="J12" s="31"/>
    </row>
    <row r="13" spans="1:10" customFormat="1" ht="15" thickBot="1" x14ac:dyDescent="0.4">
      <c r="A13" s="37"/>
      <c r="B13" s="377" t="s">
        <v>212</v>
      </c>
      <c r="C13" s="378"/>
      <c r="E13" s="36"/>
      <c r="I13" s="31"/>
      <c r="J13" s="31"/>
    </row>
    <row r="14" spans="1:10" customFormat="1" x14ac:dyDescent="0.35">
      <c r="A14" s="37"/>
      <c r="B14" s="263" t="s">
        <v>74</v>
      </c>
      <c r="C14" s="259">
        <f>COUNT(FilteredValues)</f>
        <v>304</v>
      </c>
      <c r="E14" s="36"/>
      <c r="I14" s="31"/>
      <c r="J14" s="31"/>
    </row>
    <row r="15" spans="1:10" customFormat="1" x14ac:dyDescent="0.35">
      <c r="A15" s="37"/>
      <c r="B15" s="264" t="s">
        <v>76</v>
      </c>
      <c r="C15" s="262">
        <f>AVERAGE(FilteredValues)</f>
        <v>1005.0628289473685</v>
      </c>
      <c r="E15" s="36"/>
      <c r="I15" s="31"/>
      <c r="J15" s="31"/>
    </row>
    <row r="16" spans="1:10" customFormat="1" x14ac:dyDescent="0.35">
      <c r="A16" s="37"/>
      <c r="B16" s="97" t="s">
        <v>77</v>
      </c>
      <c r="C16" s="260">
        <f>MEDIAN(FilteredValues)</f>
        <v>1018</v>
      </c>
      <c r="E16" s="36"/>
      <c r="I16" s="31"/>
      <c r="J16" s="31"/>
    </row>
    <row r="17" spans="2:23" x14ac:dyDescent="0.35">
      <c r="B17" s="97" t="s">
        <v>224</v>
      </c>
      <c r="C17" s="96">
        <f>_xlfn.MODE.SNGL(FilteredValues)</f>
        <v>1018</v>
      </c>
      <c r="E17" s="36"/>
      <c r="F17"/>
      <c r="I17" s="31"/>
      <c r="J17" s="31"/>
      <c r="K17"/>
    </row>
    <row r="18" spans="2:23" x14ac:dyDescent="0.35">
      <c r="B18" s="97" t="s">
        <v>225</v>
      </c>
      <c r="C18" s="96" cm="1">
        <f t="array" ref="C18:C20">_xlfn.MODE.MULT(FilteredValues)</f>
        <v>1018</v>
      </c>
      <c r="E18" s="36"/>
      <c r="F18"/>
      <c r="I18" s="31"/>
      <c r="J18" s="31"/>
      <c r="K18"/>
    </row>
    <row r="19" spans="2:23" x14ac:dyDescent="0.35">
      <c r="B19" s="379" t="s">
        <v>226</v>
      </c>
      <c r="C19" s="96">
        <v>410</v>
      </c>
      <c r="E19" s="36"/>
      <c r="F19"/>
      <c r="I19" s="31"/>
      <c r="J19" s="31"/>
      <c r="K19"/>
    </row>
    <row r="20" spans="2:23" ht="15" thickBot="1" x14ac:dyDescent="0.4">
      <c r="B20" s="379"/>
      <c r="C20" s="96">
        <v>1427</v>
      </c>
      <c r="E20" s="36"/>
      <c r="F20"/>
      <c r="I20" s="31"/>
      <c r="J20" s="31"/>
      <c r="K20"/>
    </row>
    <row r="21" spans="2:23" x14ac:dyDescent="0.35">
      <c r="B21" s="379"/>
      <c r="C21" s="96"/>
      <c r="E21" s="124" t="s">
        <v>74</v>
      </c>
      <c r="F21" s="257">
        <f>$C$14</f>
        <v>304</v>
      </c>
      <c r="G21" s="171" t="s">
        <v>249</v>
      </c>
      <c r="H21" s="284">
        <v>1</v>
      </c>
      <c r="I21" s="284">
        <v>2</v>
      </c>
      <c r="J21" s="285">
        <v>3</v>
      </c>
      <c r="K21" s="290"/>
      <c r="W21" s="22"/>
    </row>
    <row r="22" spans="2:23" x14ac:dyDescent="0.35">
      <c r="B22" s="379"/>
      <c r="C22" s="96"/>
      <c r="E22" s="126" t="s">
        <v>92</v>
      </c>
      <c r="F22" s="96">
        <f>CEILING(LOG10($C$14)/LOG10(2)+1,1)</f>
        <v>10</v>
      </c>
      <c r="G22" s="90" t="s">
        <v>104</v>
      </c>
      <c r="H22" s="83">
        <f>$C$15-(H$21*$C$34)</f>
        <v>561.89267424934246</v>
      </c>
      <c r="I22" s="83">
        <f>$C$15-(I$21*$C$34)</f>
        <v>118.72251955131651</v>
      </c>
      <c r="J22" s="260">
        <f>$C$15-(J$21*$C$34)</f>
        <v>-324.44763514670956</v>
      </c>
      <c r="K22" s="291"/>
    </row>
    <row r="23" spans="2:23" x14ac:dyDescent="0.35">
      <c r="B23" s="379"/>
      <c r="C23" s="96"/>
      <c r="E23" s="126" t="s">
        <v>79</v>
      </c>
      <c r="F23" s="98">
        <f>$C$30</f>
        <v>55</v>
      </c>
      <c r="G23" s="90" t="s">
        <v>105</v>
      </c>
      <c r="H23" s="83">
        <f>$C$15+(H$21*$C$34)</f>
        <v>1448.2329836453946</v>
      </c>
      <c r="I23" s="83">
        <f>$C$15+(I$21*$C$34)</f>
        <v>1891.4031383434206</v>
      </c>
      <c r="J23" s="260">
        <f>$C$15+(J$21*$C$34)</f>
        <v>2334.5732930414465</v>
      </c>
      <c r="K23" s="291"/>
    </row>
    <row r="24" spans="2:23" x14ac:dyDescent="0.35">
      <c r="B24" s="379"/>
      <c r="C24" s="96"/>
      <c r="E24" s="126" t="s">
        <v>80</v>
      </c>
      <c r="F24" s="98">
        <f>$C$31</f>
        <v>2631.5</v>
      </c>
      <c r="G24" s="90" t="s">
        <v>250</v>
      </c>
      <c r="H24" s="86">
        <v>0.68</v>
      </c>
      <c r="I24" s="86">
        <v>0.95</v>
      </c>
      <c r="J24" s="106">
        <v>0.997</v>
      </c>
      <c r="K24" s="291"/>
    </row>
    <row r="25" spans="2:23" ht="15" thickBot="1" x14ac:dyDescent="0.4">
      <c r="B25" s="379"/>
      <c r="C25" s="96"/>
      <c r="E25" s="126" t="s">
        <v>81</v>
      </c>
      <c r="F25" s="98">
        <f>$C$32</f>
        <v>2576.5</v>
      </c>
      <c r="G25" s="114" t="s">
        <v>108</v>
      </c>
      <c r="H25" s="286" cm="1">
        <f t="array" ref="H25">SUMPRODUCT((FilteredValues&gt;=H22)*(FilteredValues&lt;=H23))/COUNT(FilteredValues)</f>
        <v>0.69736842105263153</v>
      </c>
      <c r="I25" s="286" cm="1">
        <f t="array" ref="I25">SUMPRODUCT((FilteredValues&gt;=I22)*(FilteredValues&lt;=I23))/COUNT(FilteredValues)</f>
        <v>0.95723684210526316</v>
      </c>
      <c r="J25" s="112" cm="1">
        <f t="array" ref="J25">SUMPRODUCT((FilteredValues&gt;=J22)*(FilteredValues&lt;=J23))/COUNT(FilteredValues)</f>
        <v>0.99671052631578949</v>
      </c>
      <c r="K25" s="292"/>
    </row>
    <row r="26" spans="2:23" ht="14.5" customHeight="1" x14ac:dyDescent="0.35">
      <c r="B26" s="379"/>
      <c r="C26" s="96"/>
      <c r="E26" s="126" t="s">
        <v>93</v>
      </c>
      <c r="F26" s="98">
        <f>$F$25/$F$28</f>
        <v>198.19230769230768</v>
      </c>
      <c r="G26" s="365" t="s">
        <v>258</v>
      </c>
      <c r="H26" s="366"/>
      <c r="I26" s="366"/>
      <c r="J26" s="366"/>
      <c r="K26" s="367"/>
    </row>
    <row r="27" spans="2:23" ht="14.5" customHeight="1" x14ac:dyDescent="0.35">
      <c r="B27" s="379"/>
      <c r="C27" s="96"/>
      <c r="E27" s="287" t="s">
        <v>94</v>
      </c>
      <c r="F27" s="293">
        <v>3</v>
      </c>
      <c r="G27" s="368"/>
      <c r="H27" s="369"/>
      <c r="I27" s="369"/>
      <c r="J27" s="369"/>
      <c r="K27" s="370"/>
    </row>
    <row r="28" spans="2:23" ht="15" customHeight="1" thickBot="1" x14ac:dyDescent="0.4">
      <c r="B28" s="380"/>
      <c r="C28" s="258"/>
      <c r="E28" s="126" t="s">
        <v>95</v>
      </c>
      <c r="F28" s="96">
        <f>$F$22+$F$27</f>
        <v>13</v>
      </c>
      <c r="G28" s="368"/>
      <c r="H28" s="369"/>
      <c r="I28" s="369"/>
      <c r="J28" s="369"/>
      <c r="K28" s="370"/>
    </row>
    <row r="29" spans="2:23" ht="44" thickBot="1" x14ac:dyDescent="0.4">
      <c r="B29" s="11"/>
      <c r="E29" s="296" t="s">
        <v>254</v>
      </c>
      <c r="F29" s="297">
        <v>2</v>
      </c>
      <c r="G29" s="371" t="s">
        <v>259</v>
      </c>
      <c r="H29" s="372"/>
      <c r="I29" s="372"/>
      <c r="J29" s="372"/>
      <c r="K29" s="373"/>
    </row>
    <row r="30" spans="2:23" ht="92" customHeight="1" thickBot="1" x14ac:dyDescent="0.4">
      <c r="B30" s="265" t="s">
        <v>213</v>
      </c>
      <c r="C30" s="274">
        <f>MIN(FilteredValues)</f>
        <v>55</v>
      </c>
      <c r="E30" s="298" t="s">
        <v>255</v>
      </c>
      <c r="F30" s="299">
        <v>2.2999999999999998</v>
      </c>
      <c r="G30" s="374"/>
      <c r="H30" s="375"/>
      <c r="I30" s="375"/>
      <c r="J30" s="375"/>
      <c r="K30" s="376"/>
    </row>
    <row r="31" spans="2:23" ht="73" thickBot="1" x14ac:dyDescent="0.4">
      <c r="B31" s="266" t="s">
        <v>214</v>
      </c>
      <c r="C31" s="271">
        <f>MAX(FilteredValues)</f>
        <v>2631.5</v>
      </c>
      <c r="E31" s="300" t="s">
        <v>256</v>
      </c>
      <c r="F31" s="301" t="s">
        <v>257</v>
      </c>
      <c r="G31" s="302" t="s">
        <v>260</v>
      </c>
      <c r="H31" s="302" t="s">
        <v>68</v>
      </c>
      <c r="I31" s="302" t="s">
        <v>164</v>
      </c>
      <c r="J31" s="302" t="s">
        <v>66</v>
      </c>
      <c r="K31" s="303" t="s">
        <v>253</v>
      </c>
    </row>
    <row r="32" spans="2:23" ht="15" thickBot="1" x14ac:dyDescent="0.4">
      <c r="B32" s="267" t="s">
        <v>81</v>
      </c>
      <c r="C32" s="258">
        <f>$C$31-$C$30</f>
        <v>2576.5</v>
      </c>
      <c r="E32" s="289" t="str" cm="1">
        <f t="array" ref="E32">IF(IFERROR(_xlfn.TEXTJOIN(", ",TRUE,TEXT(INDEX(Table3[Date],MATCH(_xlfn.FILTERXML("&lt;root&gt;&lt;item&gt;"&amp;SUBSTITUTE(F32,", ","&lt;/item&gt;&lt;item&gt;")&amp;"&lt;/item&gt;&lt;/root&gt;","//item"),Table3[Holiday Name],0)),"m/d/yyyy")),G32)="","",IFERROR(_xlfn.TEXTJOIN(", ",TRUE,TEXT(INDEX(Table3[Date],MATCH(_xlfn.FILTERXML("&lt;root&gt;&lt;item&gt;"&amp;SUBSTITUTE(F32,", ","&lt;/item&gt;&lt;item&gt;")&amp;"&lt;/item&gt;&lt;/root&gt;","//item"),Table3[Holiday Name],0)),"m/d/yyyy")),G32))</f>
        <v>2/14/2023</v>
      </c>
      <c r="F32" s="234" t="str" cm="1">
        <f t="array" ref="F32">IF(G32="","",IF(_xlfn.TEXTJOIN(", ",TRUE,IFERROR(_xlfn._xlws.FILTER(Table3[Holiday Name],(G32&gt;=Table3[start])*(G32&lt;=Table3[end])),"**No associated Holiday"))="","",_xlfn.TEXTJOIN(", ",TRUE,IFERROR(_xlfn._xlws.FILTER(Table3[Holiday Name],(G32&gt;=Table3[start])*(G32&lt;=Table3[end])),"**No associated Holiday"))))</f>
        <v>Valentine's Day</v>
      </c>
      <c r="G32" s="36" cm="1">
        <f t="array" ref="G32:K37">_xlfn.CHOOSECOLS(OutlierID,1,2,3,4,5)</f>
        <v>45336</v>
      </c>
      <c r="H32" t="str">
        <v>PM</v>
      </c>
      <c r="I32" t="str">
        <v>February</v>
      </c>
      <c r="J32" t="str">
        <v>WED</v>
      </c>
      <c r="K32" s="22">
        <v>2119</v>
      </c>
    </row>
    <row r="33" spans="2:11" ht="44" thickBot="1" x14ac:dyDescent="0.4">
      <c r="B33" s="11"/>
      <c r="E33" s="289" cm="1">
        <f t="array" ref="E33">IF(IFERROR(_xlfn.TEXTJOIN(", ",TRUE,TEXT(INDEX(Table3[Date],MATCH(_xlfn.FILTERXML("&lt;root&gt;&lt;item&gt;"&amp;SUBSTITUTE(F33,", ","&lt;/item&gt;&lt;item&gt;")&amp;"&lt;/item&gt;&lt;/root&gt;","//item"),Table3[Holiday Name],0)),"m/d/yyyy")),G33)="","",IFERROR(_xlfn.TEXTJOIN(", ",TRUE,TEXT(INDEX(Table3[Date],MATCH(_xlfn.FILTERXML("&lt;root&gt;&lt;item&gt;"&amp;SUBSTITUTE(F33,", ","&lt;/item&gt;&lt;item&gt;")&amp;"&lt;/item&gt;&lt;/root&gt;","//item"),Table3[Holiday Name],0)),"m/d/yyyy")),G33))</f>
        <v>45360</v>
      </c>
      <c r="F33" s="234" t="str" cm="1">
        <f t="array" ref="F33">IF(G33="","",IF(_xlfn.TEXTJOIN(", ",TRUE,IFERROR(_xlfn._xlws.FILTER(Table3[Holiday Name],(G33&gt;=Table3[start])*(G33&lt;=Table3[end])),"**No associated Holiday"))="","",_xlfn.TEXTJOIN(", ",TRUE,IFERROR(_xlfn._xlws.FILTER(Table3[Holiday Name],(G33&gt;=Table3[start])*(G33&lt;=Table3[end])),"**No associated Holiday"))))</f>
        <v>**No associated Holiday</v>
      </c>
      <c r="G33" s="36">
        <v>45360</v>
      </c>
      <c r="H33" t="str">
        <v>PM</v>
      </c>
      <c r="I33" t="str">
        <v>March</v>
      </c>
      <c r="J33" t="str">
        <v>SAT</v>
      </c>
      <c r="K33" s="22">
        <v>2225.5</v>
      </c>
    </row>
    <row r="34" spans="2:11" ht="43.5" x14ac:dyDescent="0.35">
      <c r="B34" s="268" t="s">
        <v>215</v>
      </c>
      <c r="C34" s="275">
        <f>_xlfn.STDEV.S(FilteredValues)</f>
        <v>443.17015469802601</v>
      </c>
      <c r="E34" s="289" cm="1">
        <f t="array" ref="E34">IF(IFERROR(_xlfn.TEXTJOIN(", ",TRUE,TEXT(INDEX(Table3[Date],MATCH(_xlfn.FILTERXML("&lt;root&gt;&lt;item&gt;"&amp;SUBSTITUTE(F34,", ","&lt;/item&gt;&lt;item&gt;")&amp;"&lt;/item&gt;&lt;/root&gt;","//item"),Table3[Holiday Name],0)),"m/d/yyyy")),G34)="","",IFERROR(_xlfn.TEXTJOIN(", ",TRUE,TEXT(INDEX(Table3[Date],MATCH(_xlfn.FILTERXML("&lt;root&gt;&lt;item&gt;"&amp;SUBSTITUTE(F34,", ","&lt;/item&gt;&lt;item&gt;")&amp;"&lt;/item&gt;&lt;/root&gt;","//item"),Table3[Holiday Name],0)),"m/d/yyyy")),G34))</f>
        <v>45362</v>
      </c>
      <c r="F34" s="234" t="str" cm="1">
        <f t="array" ref="F34">IF(G34="","",IF(_xlfn.TEXTJOIN(", ",TRUE,IFERROR(_xlfn._xlws.FILTER(Table3[Holiday Name],(G34&gt;=Table3[start])*(G34&lt;=Table3[end])),"**No associated Holiday"))="","",_xlfn.TEXTJOIN(", ",TRUE,IFERROR(_xlfn._xlws.FILTER(Table3[Holiday Name],(G34&gt;=Table3[start])*(G34&lt;=Table3[end])),"**No associated Holiday"))))</f>
        <v>**No associated Holiday</v>
      </c>
      <c r="G34" s="36">
        <v>45362</v>
      </c>
      <c r="H34" t="str">
        <v>PM</v>
      </c>
      <c r="I34" t="str">
        <v>March</v>
      </c>
      <c r="J34" t="str">
        <v>MON</v>
      </c>
      <c r="K34" s="22">
        <v>2178.5</v>
      </c>
    </row>
    <row r="35" spans="2:11" ht="15" thickBot="1" x14ac:dyDescent="0.4">
      <c r="B35" s="269" t="s">
        <v>216</v>
      </c>
      <c r="C35" s="276">
        <f>_xlfn.STDEV.P(FilteredValues)</f>
        <v>442.44065600641994</v>
      </c>
      <c r="E35" s="289" t="str" cm="1">
        <f t="array" ref="E35">IF(IFERROR(_xlfn.TEXTJOIN(", ",TRUE,TEXT(INDEX(Table3[Date],MATCH(_xlfn.FILTERXML("&lt;root&gt;&lt;item&gt;"&amp;SUBSTITUTE(F35,", ","&lt;/item&gt;&lt;item&gt;")&amp;"&lt;/item&gt;&lt;/root&gt;","//item"),Table3[Holiday Name],0)),"m/d/yyyy")),G35)="","",IFERROR(_xlfn.TEXTJOIN(", ",TRUE,TEXT(INDEX(Table3[Date],MATCH(_xlfn.FILTERXML("&lt;root&gt;&lt;item&gt;"&amp;SUBSTITUTE(F35,", ","&lt;/item&gt;&lt;item&gt;")&amp;"&lt;/item&gt;&lt;/root&gt;","//item"),Table3[Holiday Name],0)),"m/d/yyyy")),G35))</f>
        <v>4/9/2023</v>
      </c>
      <c r="F35" s="234" t="str" cm="1">
        <f t="array" ref="F35">IF(G35="","",IF(_xlfn.TEXTJOIN(", ",TRUE,IFERROR(_xlfn._xlws.FILTER(Table3[Holiday Name],(G35&gt;=Table3[start])*(G35&lt;=Table3[end])),"**No associated Holiday"))="","",_xlfn.TEXTJOIN(", ",TRUE,IFERROR(_xlfn._xlws.FILTER(Table3[Holiday Name],(G35&gt;=Table3[start])*(G35&lt;=Table3[end])),"**No associated Holiday"))))</f>
        <v>Easter Sunday</v>
      </c>
      <c r="G35" s="36">
        <v>45380</v>
      </c>
      <c r="H35" t="str">
        <v>PM</v>
      </c>
      <c r="I35" t="str">
        <v>March</v>
      </c>
      <c r="J35" t="str">
        <v>FRI</v>
      </c>
      <c r="K35" s="22">
        <v>2191.5</v>
      </c>
    </row>
    <row r="36" spans="2:11" ht="15" thickBot="1" x14ac:dyDescent="0.4">
      <c r="B36" s="11"/>
      <c r="E36" s="289" t="str" cm="1">
        <f t="array" ref="E36">IF(IFERROR(_xlfn.TEXTJOIN(", ",TRUE,TEXT(INDEX(Table3[Date],MATCH(_xlfn.FILTERXML("&lt;root&gt;&lt;item&gt;"&amp;SUBSTITUTE(F36,", ","&lt;/item&gt;&lt;item&gt;")&amp;"&lt;/item&gt;&lt;/root&gt;","//item"),Table3[Holiday Name],0)),"m/d/yyyy")),G36)="","",IFERROR(_xlfn.TEXTJOIN(", ",TRUE,TEXT(INDEX(Table3[Date],MATCH(_xlfn.FILTERXML("&lt;root&gt;&lt;item&gt;"&amp;SUBSTITUTE(F36,", ","&lt;/item&gt;&lt;item&gt;")&amp;"&lt;/item&gt;&lt;/root&gt;","//item"),Table3[Holiday Name],0)),"m/d/yyyy")),G36))</f>
        <v>4/18/2023</v>
      </c>
      <c r="F36" s="234" t="str" cm="1">
        <f t="array" ref="F36">IF(G36="","",IF(_xlfn.TEXTJOIN(", ",TRUE,IFERROR(_xlfn._xlws.FILTER(Table3[Holiday Name],(G36&gt;=Table3[start])*(G36&lt;=Table3[end])),"**No associated Holiday"))="","",_xlfn.TEXTJOIN(", ",TRUE,IFERROR(_xlfn._xlws.FILTER(Table3[Holiday Name],(G36&gt;=Table3[start])*(G36&lt;=Table3[end])),"**No associated Holiday"))))</f>
        <v>Tax Day</v>
      </c>
      <c r="G36" s="36">
        <v>45396</v>
      </c>
      <c r="H36" t="str">
        <v>PM</v>
      </c>
      <c r="I36" t="str">
        <v>April</v>
      </c>
      <c r="J36" t="str">
        <v>SUN</v>
      </c>
      <c r="K36" s="22">
        <v>2054.5</v>
      </c>
    </row>
    <row r="37" spans="2:11" x14ac:dyDescent="0.35">
      <c r="B37" s="270" t="s">
        <v>217</v>
      </c>
      <c r="C37" s="277">
        <f>_xlfn.VAR.S(FilteredValues)</f>
        <v>196399.78601507228</v>
      </c>
      <c r="E37" s="289" t="str" cm="1">
        <f t="array" ref="E37">IF(IFERROR(_xlfn.TEXTJOIN(", ",TRUE,TEXT(INDEX(Table3[Date],MATCH(_xlfn.FILTERXML("&lt;root&gt;&lt;item&gt;"&amp;SUBSTITUTE(F37,", ","&lt;/item&gt;&lt;item&gt;")&amp;"&lt;/item&gt;&lt;/root&gt;","//item"),Table3[Holiday Name],0)),"m/d/yyyy")),G37)="","",IFERROR(_xlfn.TEXTJOIN(", ",TRUE,TEXT(INDEX(Table3[Date],MATCH(_xlfn.FILTERXML("&lt;root&gt;&lt;item&gt;"&amp;SUBSTITUTE(F37,", ","&lt;/item&gt;&lt;item&gt;")&amp;"&lt;/item&gt;&lt;/root&gt;","//item"),Table3[Holiday Name],0)),"m/d/yyyy")),G37))</f>
        <v>5/14/2023</v>
      </c>
      <c r="F37" s="234" t="str" cm="1">
        <f t="array" ref="F37">IF(G37="","",IF(_xlfn.TEXTJOIN(", ",TRUE,IFERROR(_xlfn._xlws.FILTER(Table3[Holiday Name],(G37&gt;=Table3[start])*(G37&lt;=Table3[end])),"**No associated Holiday"))="","",_xlfn.TEXTJOIN(", ",TRUE,IFERROR(_xlfn._xlws.FILTER(Table3[Holiday Name],(G37&gt;=Table3[start])*(G37&lt;=Table3[end])),"**No associated Holiday"))))</f>
        <v>Mother's Day</v>
      </c>
      <c r="G37" s="36">
        <v>45424</v>
      </c>
      <c r="H37" t="str">
        <v>PM</v>
      </c>
      <c r="I37" s="31" t="str">
        <v>May</v>
      </c>
      <c r="J37" t="str">
        <v>SUN</v>
      </c>
      <c r="K37" s="22">
        <v>2631.5</v>
      </c>
    </row>
    <row r="38" spans="2:11" ht="15" thickBot="1" x14ac:dyDescent="0.4">
      <c r="B38" s="267" t="s">
        <v>218</v>
      </c>
      <c r="C38" s="273">
        <f>_xlfn.VAR.P(FilteredValues)</f>
        <v>195753.73408739123</v>
      </c>
      <c r="E38" s="289" t="str" cm="1">
        <f t="array" ref="E38">IF(IFERROR(_xlfn.TEXTJOIN(", ",TRUE,TEXT(INDEX(Table3[Date],MATCH(_xlfn.FILTERXML("&lt;root&gt;&lt;item&gt;"&amp;SUBSTITUTE(F38,", ","&lt;/item&gt;&lt;item&gt;")&amp;"&lt;/item&gt;&lt;/root&gt;","//item"),Table3[Holiday Name],0)),"m/d/yyyy")),G38)="","",IFERROR(_xlfn.TEXTJOIN(", ",TRUE,TEXT(INDEX(Table3[Date],MATCH(_xlfn.FILTERXML("&lt;root&gt;&lt;item&gt;"&amp;SUBSTITUTE(F38,", ","&lt;/item&gt;&lt;item&gt;")&amp;"&lt;/item&gt;&lt;/root&gt;","//item"),Table3[Holiday Name],0)),"m/d/yyyy")),G38))</f>
        <v/>
      </c>
      <c r="F38" s="234" t="str" cm="1">
        <f t="array" ref="F38">IF(G38="","",IF(_xlfn.TEXTJOIN(", ",TRUE,IFERROR(_xlfn._xlws.FILTER(Table3[Holiday Name],(G38&gt;=Table3[start])*(G38&lt;=Table3[end])),"**No associated Holiday"))="","",_xlfn.TEXTJOIN(", ",TRUE,IFERROR(_xlfn._xlws.FILTER(Table3[Holiday Name],(G38&gt;=Table3[start])*(G38&lt;=Table3[end])),"**No associated Holiday"))))</f>
        <v/>
      </c>
      <c r="G38" s="36"/>
      <c r="I38" s="31"/>
    </row>
    <row r="39" spans="2:11" ht="15" thickBot="1" x14ac:dyDescent="0.4">
      <c r="B39" s="11"/>
      <c r="E39" s="289" t="str" cm="1">
        <f t="array" ref="E39">IF(IFERROR(_xlfn.TEXTJOIN(", ",TRUE,TEXT(INDEX(Table3[Date],MATCH(_xlfn.FILTERXML("&lt;root&gt;&lt;item&gt;"&amp;SUBSTITUTE(F39,", ","&lt;/item&gt;&lt;item&gt;")&amp;"&lt;/item&gt;&lt;/root&gt;","//item"),Table3[Holiday Name],0)),"m/d/yyyy")),G39)="","",IFERROR(_xlfn.TEXTJOIN(", ",TRUE,TEXT(INDEX(Table3[Date],MATCH(_xlfn.FILTERXML("&lt;root&gt;&lt;item&gt;"&amp;SUBSTITUTE(F39,", ","&lt;/item&gt;&lt;item&gt;")&amp;"&lt;/item&gt;&lt;/root&gt;","//item"),Table3[Holiday Name],0)),"m/d/yyyy")),G39))</f>
        <v/>
      </c>
      <c r="F39" s="234" t="str" cm="1">
        <f t="array" ref="F39">IF(G39="","",IF(_xlfn.TEXTJOIN(", ",TRUE,IFERROR(_xlfn._xlws.FILTER(Table3[Holiday Name],(G39&gt;=Table3[start])*(G39&lt;=Table3[end])),"**No associated Holiday"))="","",_xlfn.TEXTJOIN(", ",TRUE,IFERROR(_xlfn._xlws.FILTER(Table3[Holiday Name],(G39&gt;=Table3[start])*(G39&lt;=Table3[end])),"**No associated Holiday"))))</f>
        <v/>
      </c>
      <c r="G39" s="36"/>
      <c r="I39" s="31"/>
    </row>
    <row r="40" spans="2:11" x14ac:dyDescent="0.35">
      <c r="B40" s="270" t="s">
        <v>219</v>
      </c>
      <c r="C40" s="257">
        <f>_xlfn.QUARTILE.INC(FilteredValues,1)</f>
        <v>649.125</v>
      </c>
      <c r="E40" s="289" t="str" cm="1">
        <f t="array" ref="E40">IF(IFERROR(_xlfn.TEXTJOIN(", ",TRUE,TEXT(INDEX(Table3[Date],MATCH(_xlfn.FILTERXML("&lt;root&gt;&lt;item&gt;"&amp;SUBSTITUTE(F40,", ","&lt;/item&gt;&lt;item&gt;")&amp;"&lt;/item&gt;&lt;/root&gt;","//item"),Table3[Holiday Name],0)),"m/d/yyyy")),G40)="","",IFERROR(_xlfn.TEXTJOIN(", ",TRUE,TEXT(INDEX(Table3[Date],MATCH(_xlfn.FILTERXML("&lt;root&gt;&lt;item&gt;"&amp;SUBSTITUTE(F40,", ","&lt;/item&gt;&lt;item&gt;")&amp;"&lt;/item&gt;&lt;/root&gt;","//item"),Table3[Holiday Name],0)),"m/d/yyyy")),G40))</f>
        <v/>
      </c>
      <c r="F40" s="234" t="str" cm="1">
        <f t="array" ref="F40">IF(G40="","",IF(_xlfn.TEXTJOIN(", ",TRUE,IFERROR(_xlfn._xlws.FILTER(Table3[Holiday Name],(G40&gt;=Table3[start])*(G40&lt;=Table3[end])),"**No associated Holiday"))="","",_xlfn.TEXTJOIN(", ",TRUE,IFERROR(_xlfn._xlws.FILTER(Table3[Holiday Name],(G40&gt;=Table3[start])*(G40&lt;=Table3[end])),"**No associated Holiday"))))</f>
        <v/>
      </c>
      <c r="G40" s="36"/>
      <c r="I40" s="31"/>
    </row>
    <row r="41" spans="2:11" x14ac:dyDescent="0.35">
      <c r="B41" s="97" t="s">
        <v>220</v>
      </c>
      <c r="C41" s="96">
        <f>_xlfn.QUARTILE.INC(FilteredValues,2)</f>
        <v>1018</v>
      </c>
      <c r="E41" s="289" t="str" cm="1">
        <f t="array" ref="E41">IF(IFERROR(_xlfn.TEXTJOIN(", ",TRUE,TEXT(INDEX(Table3[Date],MATCH(_xlfn.FILTERXML("&lt;root&gt;&lt;item&gt;"&amp;SUBSTITUTE(F41,", ","&lt;/item&gt;&lt;item&gt;")&amp;"&lt;/item&gt;&lt;/root&gt;","//item"),Table3[Holiday Name],0)),"m/d/yyyy")),G41)="","",IFERROR(_xlfn.TEXTJOIN(", ",TRUE,TEXT(INDEX(Table3[Date],MATCH(_xlfn.FILTERXML("&lt;root&gt;&lt;item&gt;"&amp;SUBSTITUTE(F41,", ","&lt;/item&gt;&lt;item&gt;")&amp;"&lt;/item&gt;&lt;/root&gt;","//item"),Table3[Holiday Name],0)),"m/d/yyyy")),G41))</f>
        <v/>
      </c>
      <c r="F41" s="234" t="str" cm="1">
        <f t="array" ref="F41">IF(G41="","",IF(_xlfn.TEXTJOIN(", ",TRUE,IFERROR(_xlfn._xlws.FILTER(Table3[Holiday Name],(G41&gt;=Table3[start])*(G41&lt;=Table3[end])),"**No associated Holiday"))="","",_xlfn.TEXTJOIN(", ",TRUE,IFERROR(_xlfn._xlws.FILTER(Table3[Holiday Name],(G41&gt;=Table3[start])*(G41&lt;=Table3[end])),"**No associated Holiday"))))</f>
        <v/>
      </c>
      <c r="G41" s="36"/>
      <c r="I41" s="31"/>
    </row>
    <row r="42" spans="2:11" x14ac:dyDescent="0.35">
      <c r="B42" s="97" t="s">
        <v>221</v>
      </c>
      <c r="C42" s="96">
        <f>_xlfn.QUARTILE.INC(FilteredValues,3)</f>
        <v>1284.5</v>
      </c>
      <c r="E42" s="289" t="str" cm="1">
        <f t="array" ref="E42">IF(IFERROR(_xlfn.TEXTJOIN(", ",TRUE,TEXT(INDEX(Table3[Date],MATCH(_xlfn.FILTERXML("&lt;root&gt;&lt;item&gt;"&amp;SUBSTITUTE(F42,", ","&lt;/item&gt;&lt;item&gt;")&amp;"&lt;/item&gt;&lt;/root&gt;","//item"),Table3[Holiday Name],0)),"m/d/yyyy")),G42)="","",IFERROR(_xlfn.TEXTJOIN(", ",TRUE,TEXT(INDEX(Table3[Date],MATCH(_xlfn.FILTERXML("&lt;root&gt;&lt;item&gt;"&amp;SUBSTITUTE(F42,", ","&lt;/item&gt;&lt;item&gt;")&amp;"&lt;/item&gt;&lt;/root&gt;","//item"),Table3[Holiday Name],0)),"m/d/yyyy")),G42))</f>
        <v/>
      </c>
      <c r="F42" s="234" t="str" cm="1">
        <f t="array" ref="F42">IF(G42="","",IF(_xlfn.TEXTJOIN(", ",TRUE,IFERROR(_xlfn._xlws.FILTER(Table3[Holiday Name],(G42&gt;=Table3[start])*(G42&lt;=Table3[end])),"**No associated Holiday"))="","",_xlfn.TEXTJOIN(", ",TRUE,IFERROR(_xlfn._xlws.FILTER(Table3[Holiday Name],(G42&gt;=Table3[start])*(G42&lt;=Table3[end])),"**No associated Holiday"))))</f>
        <v/>
      </c>
      <c r="G42" s="36"/>
      <c r="I42" s="31"/>
    </row>
    <row r="43" spans="2:11" x14ac:dyDescent="0.35">
      <c r="B43" s="97" t="s">
        <v>222</v>
      </c>
      <c r="C43" s="96">
        <f>_xlfn.QUARTILE.INC(FilteredValues,4)</f>
        <v>2631.5</v>
      </c>
      <c r="E43" s="289" t="str" cm="1">
        <f t="array" ref="E43">IF(IFERROR(_xlfn.TEXTJOIN(", ",TRUE,TEXT(INDEX(Table3[Date],MATCH(_xlfn.FILTERXML("&lt;root&gt;&lt;item&gt;"&amp;SUBSTITUTE(F43,", ","&lt;/item&gt;&lt;item&gt;")&amp;"&lt;/item&gt;&lt;/root&gt;","//item"),Table3[Holiday Name],0)),"m/d/yyyy")),G43)="","",IFERROR(_xlfn.TEXTJOIN(", ",TRUE,TEXT(INDEX(Table3[Date],MATCH(_xlfn.FILTERXML("&lt;root&gt;&lt;item&gt;"&amp;SUBSTITUTE(F43,", ","&lt;/item&gt;&lt;item&gt;")&amp;"&lt;/item&gt;&lt;/root&gt;","//item"),Table3[Holiday Name],0)),"m/d/yyyy")),G43))</f>
        <v/>
      </c>
      <c r="F43" s="234" t="str" cm="1">
        <f t="array" ref="F43">IF(G43="","",IF(_xlfn.TEXTJOIN(", ",TRUE,IFERROR(_xlfn._xlws.FILTER(Table3[Holiday Name],(G43&gt;=Table3[start])*(G43&lt;=Table3[end])),"**No associated Holiday"))="","",_xlfn.TEXTJOIN(", ",TRUE,IFERROR(_xlfn._xlws.FILTER(Table3[Holiday Name],(G43&gt;=Table3[start])*(G43&lt;=Table3[end])),"**No associated Holiday"))))</f>
        <v/>
      </c>
      <c r="G43" s="36"/>
      <c r="I43" s="31"/>
    </row>
    <row r="44" spans="2:11" ht="15" thickBot="1" x14ac:dyDescent="0.4">
      <c r="B44" s="267" t="s">
        <v>223</v>
      </c>
      <c r="C44" s="258">
        <f>_xlfn.QUARTILE.INC(FilteredValues,3)-_xlfn.QUARTILE.INC(FilteredValues,1)</f>
        <v>635.375</v>
      </c>
      <c r="E44" s="289" t="str" cm="1">
        <f t="array" ref="E44">IF(IFERROR(_xlfn.TEXTJOIN(", ",TRUE,TEXT(INDEX(Table3[Date],MATCH(_xlfn.FILTERXML("&lt;root&gt;&lt;item&gt;"&amp;SUBSTITUTE(F44,", ","&lt;/item&gt;&lt;item&gt;")&amp;"&lt;/item&gt;&lt;/root&gt;","//item"),Table3[Holiday Name],0)),"m/d/yyyy")),G44)="","",IFERROR(_xlfn.TEXTJOIN(", ",TRUE,TEXT(INDEX(Table3[Date],MATCH(_xlfn.FILTERXML("&lt;root&gt;&lt;item&gt;"&amp;SUBSTITUTE(F44,", ","&lt;/item&gt;&lt;item&gt;")&amp;"&lt;/item&gt;&lt;/root&gt;","//item"),Table3[Holiday Name],0)),"m/d/yyyy")),G44))</f>
        <v/>
      </c>
      <c r="F44" s="234" t="str" cm="1">
        <f t="array" ref="F44">IF(G44="","",IF(_xlfn.TEXTJOIN(", ",TRUE,IFERROR(_xlfn._xlws.FILTER(Table3[Holiday Name],(G44&gt;=Table3[start])*(G44&lt;=Table3[end])),"**No associated Holiday"))="","",_xlfn.TEXTJOIN(", ",TRUE,IFERROR(_xlfn._xlws.FILTER(Table3[Holiday Name],(G44&gt;=Table3[start])*(G44&lt;=Table3[end])),"**No associated Holiday"))))</f>
        <v/>
      </c>
      <c r="G44" s="36"/>
      <c r="I44" s="31"/>
    </row>
    <row r="45" spans="2:11" ht="15" thickBot="1" x14ac:dyDescent="0.4">
      <c r="B45" s="11"/>
      <c r="E45" s="289" t="str" cm="1">
        <f t="array" ref="E45">IF(IFERROR(_xlfn.TEXTJOIN(", ",TRUE,TEXT(INDEX(Table3[Date],MATCH(_xlfn.FILTERXML("&lt;root&gt;&lt;item&gt;"&amp;SUBSTITUTE(F45,", ","&lt;/item&gt;&lt;item&gt;")&amp;"&lt;/item&gt;&lt;/root&gt;","//item"),Table3[Holiday Name],0)),"m/d/yyyy")),G45)="","",IFERROR(_xlfn.TEXTJOIN(", ",TRUE,TEXT(INDEX(Table3[Date],MATCH(_xlfn.FILTERXML("&lt;root&gt;&lt;item&gt;"&amp;SUBSTITUTE(F45,", ","&lt;/item&gt;&lt;item&gt;")&amp;"&lt;/item&gt;&lt;/root&gt;","//item"),Table3[Holiday Name],0)),"m/d/yyyy")),G45))</f>
        <v/>
      </c>
      <c r="F45" s="234" t="str" cm="1">
        <f t="array" ref="F45">IF(G45="","",IF(_xlfn.TEXTJOIN(", ",TRUE,IFERROR(_xlfn._xlws.FILTER(Table3[Holiday Name],(G45&gt;=Table3[start])*(G45&lt;=Table3[end])),"**No associated Holiday"))="","",_xlfn.TEXTJOIN(", ",TRUE,IFERROR(_xlfn._xlws.FILTER(Table3[Holiday Name],(G45&gt;=Table3[start])*(G45&lt;=Table3[end])),"**No associated Holiday"))))</f>
        <v/>
      </c>
      <c r="G45" s="36"/>
      <c r="I45" s="31"/>
    </row>
    <row r="46" spans="2:11" x14ac:dyDescent="0.35">
      <c r="B46" s="270" t="s">
        <v>227</v>
      </c>
      <c r="C46" s="257">
        <f>SKEW(FilteredValues)</f>
        <v>0.29944007961010494</v>
      </c>
      <c r="E46" s="289" t="str" cm="1">
        <f t="array" ref="E46">IF(IFERROR(_xlfn.TEXTJOIN(", ",TRUE,TEXT(INDEX(Table3[Date],MATCH(_xlfn.FILTERXML("&lt;root&gt;&lt;item&gt;"&amp;SUBSTITUTE(F46,", ","&lt;/item&gt;&lt;item&gt;")&amp;"&lt;/item&gt;&lt;/root&gt;","//item"),Table3[Holiday Name],0)),"m/d/yyyy")),G46)="","",IFERROR(_xlfn.TEXTJOIN(", ",TRUE,TEXT(INDEX(Table3[Date],MATCH(_xlfn.FILTERXML("&lt;root&gt;&lt;item&gt;"&amp;SUBSTITUTE(F46,", ","&lt;/item&gt;&lt;item&gt;")&amp;"&lt;/item&gt;&lt;/root&gt;","//item"),Table3[Holiday Name],0)),"m/d/yyyy")),G46))</f>
        <v/>
      </c>
      <c r="F46" s="234" t="str" cm="1">
        <f t="array" ref="F46">IF(G46="","",IF(_xlfn.TEXTJOIN(", ",TRUE,IFERROR(_xlfn._xlws.FILTER(Table3[Holiday Name],(G46&gt;=Table3[start])*(G46&lt;=Table3[end])),"**No associated Holiday"))="","",_xlfn.TEXTJOIN(", ",TRUE,IFERROR(_xlfn._xlws.FILTER(Table3[Holiday Name],(G46&gt;=Table3[start])*(G46&lt;=Table3[end])),"**No associated Holiday"))))</f>
        <v/>
      </c>
      <c r="G46" s="36"/>
      <c r="I46" s="31"/>
    </row>
    <row r="47" spans="2:11" ht="15" thickBot="1" x14ac:dyDescent="0.4">
      <c r="B47" s="267" t="s">
        <v>88</v>
      </c>
      <c r="C47" s="258">
        <f>KURT(FilteredValues)</f>
        <v>0.12988634071409955</v>
      </c>
      <c r="E47" s="289" t="str" cm="1">
        <f t="array" ref="E47">IF(IFERROR(_xlfn.TEXTJOIN(", ",TRUE,TEXT(INDEX(Table3[Date],MATCH(_xlfn.FILTERXML("&lt;root&gt;&lt;item&gt;"&amp;SUBSTITUTE(F47,", ","&lt;/item&gt;&lt;item&gt;")&amp;"&lt;/item&gt;&lt;/root&gt;","//item"),Table3[Holiday Name],0)),"m/d/yyyy")),G47)="","",IFERROR(_xlfn.TEXTJOIN(", ",TRUE,TEXT(INDEX(Table3[Date],MATCH(_xlfn.FILTERXML("&lt;root&gt;&lt;item&gt;"&amp;SUBSTITUTE(F47,", ","&lt;/item&gt;&lt;item&gt;")&amp;"&lt;/item&gt;&lt;/root&gt;","//item"),Table3[Holiday Name],0)),"m/d/yyyy")),G47))</f>
        <v/>
      </c>
      <c r="F47" s="234" t="str" cm="1">
        <f t="array" ref="F47">IF(G47="","",IF(_xlfn.TEXTJOIN(", ",TRUE,IFERROR(_xlfn._xlws.FILTER(Table3[Holiday Name],(G47&gt;=Table3[start])*(G47&lt;=Table3[end])),"**No associated Holiday"))="","",_xlfn.TEXTJOIN(", ",TRUE,IFERROR(_xlfn._xlws.FILTER(Table3[Holiday Name],(G47&gt;=Table3[start])*(G47&lt;=Table3[end])),"**No associated Holiday"))))</f>
        <v/>
      </c>
      <c r="G47" s="36"/>
      <c r="I47" s="31"/>
    </row>
    <row r="48" spans="2:11" ht="15" thickBot="1" x14ac:dyDescent="0.4">
      <c r="B48" s="11"/>
      <c r="E48" s="289" t="str" cm="1">
        <f t="array" ref="E48">IF(IFERROR(_xlfn.TEXTJOIN(", ",TRUE,TEXT(INDEX(Table3[Date],MATCH(_xlfn.FILTERXML("&lt;root&gt;&lt;item&gt;"&amp;SUBSTITUTE(F48,", ","&lt;/item&gt;&lt;item&gt;")&amp;"&lt;/item&gt;&lt;/root&gt;","//item"),Table3[Holiday Name],0)),"m/d/yyyy")),G48)="","",IFERROR(_xlfn.TEXTJOIN(", ",TRUE,TEXT(INDEX(Table3[Date],MATCH(_xlfn.FILTERXML("&lt;root&gt;&lt;item&gt;"&amp;SUBSTITUTE(F48,", ","&lt;/item&gt;&lt;item&gt;")&amp;"&lt;/item&gt;&lt;/root&gt;","//item"),Table3[Holiday Name],0)),"m/d/yyyy")),G48))</f>
        <v/>
      </c>
      <c r="F48" s="234" t="str" cm="1">
        <f t="array" ref="F48">IF(G48="","",IF(_xlfn.TEXTJOIN(", ",TRUE,IFERROR(_xlfn._xlws.FILTER(Table3[Holiday Name],(G48&gt;=Table3[start])*(G48&lt;=Table3[end])),"**No associated Holiday"))="","",_xlfn.TEXTJOIN(", ",TRUE,IFERROR(_xlfn._xlws.FILTER(Table3[Holiday Name],(G48&gt;=Table3[start])*(G48&lt;=Table3[end])),"**No associated Holiday"))))</f>
        <v/>
      </c>
      <c r="G48" s="36"/>
      <c r="I48" s="31"/>
    </row>
    <row r="49" spans="2:9" ht="15" thickBot="1" x14ac:dyDescent="0.4">
      <c r="B49" s="181" t="s">
        <v>86</v>
      </c>
      <c r="C49" s="261">
        <f>$C$34/SQRT($C$14)</f>
        <v>25.417551567394504</v>
      </c>
      <c r="E49" s="289" t="str" cm="1">
        <f t="array" ref="E49">IF(IFERROR(_xlfn.TEXTJOIN(", ",TRUE,TEXT(INDEX(Table3[Date],MATCH(_xlfn.FILTERXML("&lt;root&gt;&lt;item&gt;"&amp;SUBSTITUTE(F49,", ","&lt;/item&gt;&lt;item&gt;")&amp;"&lt;/item&gt;&lt;/root&gt;","//item"),Table3[Holiday Name],0)),"m/d/yyyy")),G49)="","",IFERROR(_xlfn.TEXTJOIN(", ",TRUE,TEXT(INDEX(Table3[Date],MATCH(_xlfn.FILTERXML("&lt;root&gt;&lt;item&gt;"&amp;SUBSTITUTE(F49,", ","&lt;/item&gt;&lt;item&gt;")&amp;"&lt;/item&gt;&lt;/root&gt;","//item"),Table3[Holiday Name],0)),"m/d/yyyy")),G49))</f>
        <v/>
      </c>
      <c r="F49" s="234" t="str" cm="1">
        <f t="array" ref="F49">IF(G49="","",IF(_xlfn.TEXTJOIN(", ",TRUE,IFERROR(_xlfn._xlws.FILTER(Table3[Holiday Name],(G49&gt;=Table3[start])*(G49&lt;=Table3[end])),"**No associated Holiday"))="","",_xlfn.TEXTJOIN(", ",TRUE,IFERROR(_xlfn._xlws.FILTER(Table3[Holiday Name],(G49&gt;=Table3[start])*(G49&lt;=Table3[end])),"**No associated Holiday"))))</f>
        <v/>
      </c>
      <c r="G49" s="36"/>
      <c r="I49" s="31"/>
    </row>
    <row r="50" spans="2:9" x14ac:dyDescent="0.35">
      <c r="E50" s="289" t="str" cm="1">
        <f t="array" ref="E50">IF(IFERROR(_xlfn.TEXTJOIN(", ",TRUE,TEXT(INDEX(Table3[Date],MATCH(_xlfn.FILTERXML("&lt;root&gt;&lt;item&gt;"&amp;SUBSTITUTE(F50,", ","&lt;/item&gt;&lt;item&gt;")&amp;"&lt;/item&gt;&lt;/root&gt;","//item"),Table3[Holiday Name],0)),"m/d/yyyy")),G50)="","",IFERROR(_xlfn.TEXTJOIN(", ",TRUE,TEXT(INDEX(Table3[Date],MATCH(_xlfn.FILTERXML("&lt;root&gt;&lt;item&gt;"&amp;SUBSTITUTE(F50,", ","&lt;/item&gt;&lt;item&gt;")&amp;"&lt;/item&gt;&lt;/root&gt;","//item"),Table3[Holiday Name],0)),"m/d/yyyy")),G50))</f>
        <v/>
      </c>
      <c r="F50" s="234" t="str" cm="1">
        <f t="array" ref="F50">IF(G50="","",IF(_xlfn.TEXTJOIN(", ",TRUE,IFERROR(_xlfn._xlws.FILTER(Table3[Holiday Name],(G50&gt;=Table3[start])*(G50&lt;=Table3[end])),"**No associated Holiday"))="","",_xlfn.TEXTJOIN(", ",TRUE,IFERROR(_xlfn._xlws.FILTER(Table3[Holiday Name],(G50&gt;=Table3[start])*(G50&lt;=Table3[end])),"**No associated Holiday"))))</f>
        <v/>
      </c>
      <c r="G50" s="36"/>
      <c r="I50" s="31"/>
    </row>
    <row r="51" spans="2:9" x14ac:dyDescent="0.35">
      <c r="E51" s="289" t="str" cm="1">
        <f t="array" ref="E51">IF(IFERROR(_xlfn.TEXTJOIN(", ",TRUE,TEXT(INDEX(Table3[Date],MATCH(_xlfn.FILTERXML("&lt;root&gt;&lt;item&gt;"&amp;SUBSTITUTE(F51,", ","&lt;/item&gt;&lt;item&gt;")&amp;"&lt;/item&gt;&lt;/root&gt;","//item"),Table3[Holiday Name],0)),"m/d/yyyy")),G51)="","",IFERROR(_xlfn.TEXTJOIN(", ",TRUE,TEXT(INDEX(Table3[Date],MATCH(_xlfn.FILTERXML("&lt;root&gt;&lt;item&gt;"&amp;SUBSTITUTE(F51,", ","&lt;/item&gt;&lt;item&gt;")&amp;"&lt;/item&gt;&lt;/root&gt;","//item"),Table3[Holiday Name],0)),"m/d/yyyy")),G51))</f>
        <v/>
      </c>
      <c r="F51" s="234" t="str" cm="1">
        <f t="array" ref="F51">IF(G51="","",IF(_xlfn.TEXTJOIN(", ",TRUE,IFERROR(_xlfn._xlws.FILTER(Table3[Holiday Name],(G51&gt;=Table3[start])*(G51&lt;=Table3[end])),"**No associated Holiday"))="","",_xlfn.TEXTJOIN(", ",TRUE,IFERROR(_xlfn._xlws.FILTER(Table3[Holiday Name],(G51&gt;=Table3[start])*(G51&lt;=Table3[end])),"**No associated Holiday"))))</f>
        <v/>
      </c>
      <c r="G51" s="36"/>
      <c r="I51" s="31"/>
    </row>
    <row r="52" spans="2:9" x14ac:dyDescent="0.35">
      <c r="E52" s="289" t="str" cm="1">
        <f t="array" ref="E52">IF(IFERROR(_xlfn.TEXTJOIN(", ",TRUE,TEXT(INDEX(Table3[Date],MATCH(_xlfn.FILTERXML("&lt;root&gt;&lt;item&gt;"&amp;SUBSTITUTE(F52,", ","&lt;/item&gt;&lt;item&gt;")&amp;"&lt;/item&gt;&lt;/root&gt;","//item"),Table3[Holiday Name],0)),"m/d/yyyy")),G52)="","",IFERROR(_xlfn.TEXTJOIN(", ",TRUE,TEXT(INDEX(Table3[Date],MATCH(_xlfn.FILTERXML("&lt;root&gt;&lt;item&gt;"&amp;SUBSTITUTE(F52,", ","&lt;/item&gt;&lt;item&gt;")&amp;"&lt;/item&gt;&lt;/root&gt;","//item"),Table3[Holiday Name],0)),"m/d/yyyy")),G52))</f>
        <v/>
      </c>
      <c r="F52" s="234" t="str" cm="1">
        <f t="array" ref="F52">IF(G52="","",IF(_xlfn.TEXTJOIN(", ",TRUE,IFERROR(_xlfn._xlws.FILTER(Table3[Holiday Name],(G52&gt;=Table3[start])*(G52&lt;=Table3[end])),"**No associated Holiday"))="","",_xlfn.TEXTJOIN(", ",TRUE,IFERROR(_xlfn._xlws.FILTER(Table3[Holiday Name],(G52&gt;=Table3[start])*(G52&lt;=Table3[end])),"**No associated Holiday"))))</f>
        <v/>
      </c>
      <c r="G52" s="36"/>
      <c r="I52" s="31"/>
    </row>
    <row r="53" spans="2:9" x14ac:dyDescent="0.35">
      <c r="E53" s="289" t="str" cm="1">
        <f t="array" ref="E53">IF(IFERROR(_xlfn.TEXTJOIN(", ",TRUE,TEXT(INDEX(Table3[Date],MATCH(_xlfn.FILTERXML("&lt;root&gt;&lt;item&gt;"&amp;SUBSTITUTE(F53,", ","&lt;/item&gt;&lt;item&gt;")&amp;"&lt;/item&gt;&lt;/root&gt;","//item"),Table3[Holiday Name],0)),"m/d/yyyy")),G53)="","",IFERROR(_xlfn.TEXTJOIN(", ",TRUE,TEXT(INDEX(Table3[Date],MATCH(_xlfn.FILTERXML("&lt;root&gt;&lt;item&gt;"&amp;SUBSTITUTE(F53,", ","&lt;/item&gt;&lt;item&gt;")&amp;"&lt;/item&gt;&lt;/root&gt;","//item"),Table3[Holiday Name],0)),"m/d/yyyy")),G53))</f>
        <v/>
      </c>
      <c r="F53" s="234" t="str" cm="1">
        <f t="array" ref="F53">IF(G53="","",IF(_xlfn.TEXTJOIN(", ",TRUE,IFERROR(_xlfn._xlws.FILTER(Table3[Holiday Name],(G53&gt;=Table3[start])*(G53&lt;=Table3[end])),"**No associated Holiday"))="","",_xlfn.TEXTJOIN(", ",TRUE,IFERROR(_xlfn._xlws.FILTER(Table3[Holiday Name],(G53&gt;=Table3[start])*(G53&lt;=Table3[end])),"**No associated Holiday"))))</f>
        <v/>
      </c>
      <c r="G53" s="36"/>
      <c r="I53" s="31"/>
    </row>
    <row r="54" spans="2:9" x14ac:dyDescent="0.35">
      <c r="E54" s="289" t="str" cm="1">
        <f t="array" ref="E54">IF(IFERROR(_xlfn.TEXTJOIN(", ",TRUE,TEXT(INDEX(Table3[Date],MATCH(_xlfn.FILTERXML("&lt;root&gt;&lt;item&gt;"&amp;SUBSTITUTE(F54,", ","&lt;/item&gt;&lt;item&gt;")&amp;"&lt;/item&gt;&lt;/root&gt;","//item"),Table3[Holiday Name],0)),"m/d/yyyy")),G54)="","",IFERROR(_xlfn.TEXTJOIN(", ",TRUE,TEXT(INDEX(Table3[Date],MATCH(_xlfn.FILTERXML("&lt;root&gt;&lt;item&gt;"&amp;SUBSTITUTE(F54,", ","&lt;/item&gt;&lt;item&gt;")&amp;"&lt;/item&gt;&lt;/root&gt;","//item"),Table3[Holiday Name],0)),"m/d/yyyy")),G54))</f>
        <v/>
      </c>
      <c r="F54" s="234" t="str" cm="1">
        <f t="array" ref="F54">IF(G54="","",IF(_xlfn.TEXTJOIN(", ",TRUE,IFERROR(_xlfn._xlws.FILTER(Table3[Holiday Name],(G54&gt;=Table3[start])*(G54&lt;=Table3[end])),"**No associated Holiday"))="","",_xlfn.TEXTJOIN(", ",TRUE,IFERROR(_xlfn._xlws.FILTER(Table3[Holiday Name],(G54&gt;=Table3[start])*(G54&lt;=Table3[end])),"**No associated Holiday"))))</f>
        <v/>
      </c>
      <c r="G54" s="36"/>
      <c r="I54" s="31"/>
    </row>
    <row r="55" spans="2:9" x14ac:dyDescent="0.35">
      <c r="E55" s="289" t="str" cm="1">
        <f t="array" ref="E55">IF(IFERROR(_xlfn.TEXTJOIN(", ",TRUE,TEXT(INDEX(Table3[Date],MATCH(_xlfn.FILTERXML("&lt;root&gt;&lt;item&gt;"&amp;SUBSTITUTE(F55,", ","&lt;/item&gt;&lt;item&gt;")&amp;"&lt;/item&gt;&lt;/root&gt;","//item"),Table3[Holiday Name],0)),"m/d/yyyy")),G55)="","",IFERROR(_xlfn.TEXTJOIN(", ",TRUE,TEXT(INDEX(Table3[Date],MATCH(_xlfn.FILTERXML("&lt;root&gt;&lt;item&gt;"&amp;SUBSTITUTE(F55,", ","&lt;/item&gt;&lt;item&gt;")&amp;"&lt;/item&gt;&lt;/root&gt;","//item"),Table3[Holiday Name],0)),"m/d/yyyy")),G55))</f>
        <v/>
      </c>
      <c r="F55" s="234" t="str" cm="1">
        <f t="array" ref="F55">IF(G55="","",IF(_xlfn.TEXTJOIN(", ",TRUE,IFERROR(_xlfn._xlws.FILTER(Table3[Holiday Name],(G55&gt;=Table3[start])*(G55&lt;=Table3[end])),"**No associated Holiday"))="","",_xlfn.TEXTJOIN(", ",TRUE,IFERROR(_xlfn._xlws.FILTER(Table3[Holiday Name],(G55&gt;=Table3[start])*(G55&lt;=Table3[end])),"**No associated Holiday"))))</f>
        <v/>
      </c>
      <c r="G55" s="36"/>
      <c r="I55" s="31"/>
    </row>
    <row r="56" spans="2:9" x14ac:dyDescent="0.35">
      <c r="E56" s="289" t="str" cm="1">
        <f t="array" ref="E56">IF(IFERROR(_xlfn.TEXTJOIN(", ",TRUE,TEXT(INDEX(Table3[Date],MATCH(_xlfn.FILTERXML("&lt;root&gt;&lt;item&gt;"&amp;SUBSTITUTE(F56,", ","&lt;/item&gt;&lt;item&gt;")&amp;"&lt;/item&gt;&lt;/root&gt;","//item"),Table3[Holiday Name],0)),"m/d/yyyy")),G56)="","",IFERROR(_xlfn.TEXTJOIN(", ",TRUE,TEXT(INDEX(Table3[Date],MATCH(_xlfn.FILTERXML("&lt;root&gt;&lt;item&gt;"&amp;SUBSTITUTE(F56,", ","&lt;/item&gt;&lt;item&gt;")&amp;"&lt;/item&gt;&lt;/root&gt;","//item"),Table3[Holiday Name],0)),"m/d/yyyy")),G56))</f>
        <v/>
      </c>
      <c r="F56" s="234" t="str" cm="1">
        <f t="array" ref="F56">IF(G56="","",IF(_xlfn.TEXTJOIN(", ",TRUE,IFERROR(_xlfn._xlws.FILTER(Table3[Holiday Name],(G56&gt;=Table3[start])*(G56&lt;=Table3[end])),"**No associated Holiday"))="","",_xlfn.TEXTJOIN(", ",TRUE,IFERROR(_xlfn._xlws.FILTER(Table3[Holiday Name],(G56&gt;=Table3[start])*(G56&lt;=Table3[end])),"**No associated Holiday"))))</f>
        <v/>
      </c>
      <c r="G56" s="36"/>
      <c r="I56" s="31"/>
    </row>
    <row r="57" spans="2:9" x14ac:dyDescent="0.35">
      <c r="E57" s="289" t="str" cm="1">
        <f t="array" ref="E57">IF(IFERROR(_xlfn.TEXTJOIN(", ",TRUE,TEXT(INDEX(Table3[Date],MATCH(_xlfn.FILTERXML("&lt;root&gt;&lt;item&gt;"&amp;SUBSTITUTE(F57,", ","&lt;/item&gt;&lt;item&gt;")&amp;"&lt;/item&gt;&lt;/root&gt;","//item"),Table3[Holiday Name],0)),"m/d/yyyy")),G57)="","",IFERROR(_xlfn.TEXTJOIN(", ",TRUE,TEXT(INDEX(Table3[Date],MATCH(_xlfn.FILTERXML("&lt;root&gt;&lt;item&gt;"&amp;SUBSTITUTE(F57,", ","&lt;/item&gt;&lt;item&gt;")&amp;"&lt;/item&gt;&lt;/root&gt;","//item"),Table3[Holiday Name],0)),"m/d/yyyy")),G57))</f>
        <v/>
      </c>
      <c r="F57" s="234" t="str" cm="1">
        <f t="array" ref="F57">IF(G57="","",IF(_xlfn.TEXTJOIN(", ",TRUE,IFERROR(_xlfn._xlws.FILTER(Table3[Holiday Name],(G57&gt;=Table3[start])*(G57&lt;=Table3[end])),"**No associated Holiday"))="","",_xlfn.TEXTJOIN(", ",TRUE,IFERROR(_xlfn._xlws.FILTER(Table3[Holiday Name],(G57&gt;=Table3[start])*(G57&lt;=Table3[end])),"**No associated Holiday"))))</f>
        <v/>
      </c>
      <c r="G57" s="36"/>
      <c r="I57" s="31"/>
    </row>
    <row r="58" spans="2:9" x14ac:dyDescent="0.35">
      <c r="E58" s="289" t="str" cm="1">
        <f t="array" ref="E58">IF(IFERROR(_xlfn.TEXTJOIN(", ",TRUE,TEXT(INDEX(Table3[Date],MATCH(_xlfn.FILTERXML("&lt;root&gt;&lt;item&gt;"&amp;SUBSTITUTE(F58,", ","&lt;/item&gt;&lt;item&gt;")&amp;"&lt;/item&gt;&lt;/root&gt;","//item"),Table3[Holiday Name],0)),"m/d/yyyy")),G58)="","",IFERROR(_xlfn.TEXTJOIN(", ",TRUE,TEXT(INDEX(Table3[Date],MATCH(_xlfn.FILTERXML("&lt;root&gt;&lt;item&gt;"&amp;SUBSTITUTE(F58,", ","&lt;/item&gt;&lt;item&gt;")&amp;"&lt;/item&gt;&lt;/root&gt;","//item"),Table3[Holiday Name],0)),"m/d/yyyy")),G58))</f>
        <v/>
      </c>
      <c r="F58" s="234" t="str" cm="1">
        <f t="array" ref="F58">IF(G58="","",IF(_xlfn.TEXTJOIN(", ",TRUE,IFERROR(_xlfn._xlws.FILTER(Table3[Holiday Name],(G58&gt;=Table3[start])*(G58&lt;=Table3[end])),"**No associated Holiday"))="","",_xlfn.TEXTJOIN(", ",TRUE,IFERROR(_xlfn._xlws.FILTER(Table3[Holiday Name],(G58&gt;=Table3[start])*(G58&lt;=Table3[end])),"**No associated Holiday"))))</f>
        <v/>
      </c>
      <c r="G58" s="36"/>
      <c r="I58" s="31"/>
    </row>
    <row r="59" spans="2:9" x14ac:dyDescent="0.35">
      <c r="E59" s="289" t="str" cm="1">
        <f t="array" ref="E59">IF(IFERROR(_xlfn.TEXTJOIN(", ",TRUE,TEXT(INDEX(Table3[Date],MATCH(_xlfn.FILTERXML("&lt;root&gt;&lt;item&gt;"&amp;SUBSTITUTE(F59,", ","&lt;/item&gt;&lt;item&gt;")&amp;"&lt;/item&gt;&lt;/root&gt;","//item"),Table3[Holiday Name],0)),"m/d/yyyy")),G59)="","",IFERROR(_xlfn.TEXTJOIN(", ",TRUE,TEXT(INDEX(Table3[Date],MATCH(_xlfn.FILTERXML("&lt;root&gt;&lt;item&gt;"&amp;SUBSTITUTE(F59,", ","&lt;/item&gt;&lt;item&gt;")&amp;"&lt;/item&gt;&lt;/root&gt;","//item"),Table3[Holiday Name],0)),"m/d/yyyy")),G59))</f>
        <v/>
      </c>
      <c r="F59" s="234" t="str" cm="1">
        <f t="array" ref="F59">IF(G59="","",IF(_xlfn.TEXTJOIN(", ",TRUE,IFERROR(_xlfn._xlws.FILTER(Table3[Holiday Name],(G59&gt;=Table3[start])*(G59&lt;=Table3[end])),"**No associated Holiday"))="","",_xlfn.TEXTJOIN(", ",TRUE,IFERROR(_xlfn._xlws.FILTER(Table3[Holiday Name],(G59&gt;=Table3[start])*(G59&lt;=Table3[end])),"**No associated Holiday"))))</f>
        <v/>
      </c>
      <c r="G59" s="36"/>
      <c r="I59" s="31"/>
    </row>
    <row r="60" spans="2:9" x14ac:dyDescent="0.35">
      <c r="E60" s="289" t="str" cm="1">
        <f t="array" ref="E60">IF(IFERROR(_xlfn.TEXTJOIN(", ",TRUE,TEXT(INDEX(Table3[Date],MATCH(_xlfn.FILTERXML("&lt;root&gt;&lt;item&gt;"&amp;SUBSTITUTE(F60,", ","&lt;/item&gt;&lt;item&gt;")&amp;"&lt;/item&gt;&lt;/root&gt;","//item"),Table3[Holiday Name],0)),"m/d/yyyy")),G60)="","",IFERROR(_xlfn.TEXTJOIN(", ",TRUE,TEXT(INDEX(Table3[Date],MATCH(_xlfn.FILTERXML("&lt;root&gt;&lt;item&gt;"&amp;SUBSTITUTE(F60,", ","&lt;/item&gt;&lt;item&gt;")&amp;"&lt;/item&gt;&lt;/root&gt;","//item"),Table3[Holiday Name],0)),"m/d/yyyy")),G60))</f>
        <v/>
      </c>
      <c r="F60" s="234" t="str" cm="1">
        <f t="array" ref="F60">IF(G60="","",IF(_xlfn.TEXTJOIN(", ",TRUE,IFERROR(_xlfn._xlws.FILTER(Table3[Holiday Name],(G60&gt;=Table3[start])*(G60&lt;=Table3[end])),"**No associated Holiday"))="","",_xlfn.TEXTJOIN(", ",TRUE,IFERROR(_xlfn._xlws.FILTER(Table3[Holiday Name],(G60&gt;=Table3[start])*(G60&lt;=Table3[end])),"**No associated Holiday"))))</f>
        <v/>
      </c>
      <c r="G60" s="36"/>
      <c r="I60" s="31"/>
    </row>
    <row r="61" spans="2:9" x14ac:dyDescent="0.35">
      <c r="E61" s="289" t="str" cm="1">
        <f t="array" ref="E61">IF(IFERROR(_xlfn.TEXTJOIN(", ",TRUE,TEXT(INDEX(Table3[Date],MATCH(_xlfn.FILTERXML("&lt;root&gt;&lt;item&gt;"&amp;SUBSTITUTE(F61,", ","&lt;/item&gt;&lt;item&gt;")&amp;"&lt;/item&gt;&lt;/root&gt;","//item"),Table3[Holiday Name],0)),"m/d/yyyy")),G61)="","",IFERROR(_xlfn.TEXTJOIN(", ",TRUE,TEXT(INDEX(Table3[Date],MATCH(_xlfn.FILTERXML("&lt;root&gt;&lt;item&gt;"&amp;SUBSTITUTE(F61,", ","&lt;/item&gt;&lt;item&gt;")&amp;"&lt;/item&gt;&lt;/root&gt;","//item"),Table3[Holiday Name],0)),"m/d/yyyy")),G61))</f>
        <v/>
      </c>
      <c r="F61" s="234" t="str" cm="1">
        <f t="array" ref="F61">IF(G61="","",IF(_xlfn.TEXTJOIN(", ",TRUE,IFERROR(_xlfn._xlws.FILTER(Table3[Holiday Name],(G61&gt;=Table3[start])*(G61&lt;=Table3[end])),"**No associated Holiday"))="","",_xlfn.TEXTJOIN(", ",TRUE,IFERROR(_xlfn._xlws.FILTER(Table3[Holiday Name],(G61&gt;=Table3[start])*(G61&lt;=Table3[end])),"**No associated Holiday"))))</f>
        <v/>
      </c>
      <c r="G61" s="36"/>
      <c r="I61" s="31"/>
    </row>
    <row r="62" spans="2:9" x14ac:dyDescent="0.35">
      <c r="E62" s="289" t="str" cm="1">
        <f t="array" ref="E62">IF(IFERROR(_xlfn.TEXTJOIN(", ",TRUE,TEXT(INDEX(Table3[Date],MATCH(_xlfn.FILTERXML("&lt;root&gt;&lt;item&gt;"&amp;SUBSTITUTE(F62,", ","&lt;/item&gt;&lt;item&gt;")&amp;"&lt;/item&gt;&lt;/root&gt;","//item"),Table3[Holiday Name],0)),"m/d/yyyy")),G62)="","",IFERROR(_xlfn.TEXTJOIN(", ",TRUE,TEXT(INDEX(Table3[Date],MATCH(_xlfn.FILTERXML("&lt;root&gt;&lt;item&gt;"&amp;SUBSTITUTE(F62,", ","&lt;/item&gt;&lt;item&gt;")&amp;"&lt;/item&gt;&lt;/root&gt;","//item"),Table3[Holiday Name],0)),"m/d/yyyy")),G62))</f>
        <v/>
      </c>
      <c r="F62" s="234" t="str" cm="1">
        <f t="array" ref="F62">IF(G62="","",IF(_xlfn.TEXTJOIN(", ",TRUE,IFERROR(_xlfn._xlws.FILTER(Table3[Holiday Name],(G62&gt;=Table3[start])*(G62&lt;=Table3[end])),"**No associated Holiday"))="","",_xlfn.TEXTJOIN(", ",TRUE,IFERROR(_xlfn._xlws.FILTER(Table3[Holiday Name],(G62&gt;=Table3[start])*(G62&lt;=Table3[end])),"**No associated Holiday"))))</f>
        <v/>
      </c>
      <c r="G62" s="36"/>
      <c r="I62" s="31"/>
    </row>
    <row r="63" spans="2:9" x14ac:dyDescent="0.35">
      <c r="E63" s="289" t="str" cm="1">
        <f t="array" ref="E63">IF(IFERROR(_xlfn.TEXTJOIN(", ",TRUE,TEXT(INDEX(Table3[Date],MATCH(_xlfn.FILTERXML("&lt;root&gt;&lt;item&gt;"&amp;SUBSTITUTE(F63,", ","&lt;/item&gt;&lt;item&gt;")&amp;"&lt;/item&gt;&lt;/root&gt;","//item"),Table3[Holiday Name],0)),"m/d/yyyy")),G63)="","",IFERROR(_xlfn.TEXTJOIN(", ",TRUE,TEXT(INDEX(Table3[Date],MATCH(_xlfn.FILTERXML("&lt;root&gt;&lt;item&gt;"&amp;SUBSTITUTE(F63,", ","&lt;/item&gt;&lt;item&gt;")&amp;"&lt;/item&gt;&lt;/root&gt;","//item"),Table3[Holiday Name],0)),"m/d/yyyy")),G63))</f>
        <v/>
      </c>
      <c r="F63" s="234" t="str" cm="1">
        <f t="array" ref="F63">IF(G63="","",IF(_xlfn.TEXTJOIN(", ",TRUE,IFERROR(_xlfn._xlws.FILTER(Table3[Holiday Name],(G63&gt;=Table3[start])*(G63&lt;=Table3[end])),"**No associated Holiday"))="","",_xlfn.TEXTJOIN(", ",TRUE,IFERROR(_xlfn._xlws.FILTER(Table3[Holiday Name],(G63&gt;=Table3[start])*(G63&lt;=Table3[end])),"**No associated Holiday"))))</f>
        <v/>
      </c>
      <c r="G63" s="36"/>
      <c r="I63" s="31"/>
    </row>
    <row r="64" spans="2:9" x14ac:dyDescent="0.35">
      <c r="E64" s="289" t="str" cm="1">
        <f t="array" ref="E64">IF(IFERROR(_xlfn.TEXTJOIN(", ",TRUE,TEXT(INDEX(Table3[Date],MATCH(_xlfn.FILTERXML("&lt;root&gt;&lt;item&gt;"&amp;SUBSTITUTE(F64,", ","&lt;/item&gt;&lt;item&gt;")&amp;"&lt;/item&gt;&lt;/root&gt;","//item"),Table3[Holiday Name],0)),"m/d/yyyy")),G64)="","",IFERROR(_xlfn.TEXTJOIN(", ",TRUE,TEXT(INDEX(Table3[Date],MATCH(_xlfn.FILTERXML("&lt;root&gt;&lt;item&gt;"&amp;SUBSTITUTE(F64,", ","&lt;/item&gt;&lt;item&gt;")&amp;"&lt;/item&gt;&lt;/root&gt;","//item"),Table3[Holiday Name],0)),"m/d/yyyy")),G64))</f>
        <v/>
      </c>
      <c r="F64" s="234" t="str" cm="1">
        <f t="array" ref="F64">IF(G64="","",IF(_xlfn.TEXTJOIN(", ",TRUE,IFERROR(_xlfn._xlws.FILTER(Table3[Holiday Name],(G64&gt;=Table3[start])*(G64&lt;=Table3[end])),"**No associated Holiday"))="","",_xlfn.TEXTJOIN(", ",TRUE,IFERROR(_xlfn._xlws.FILTER(Table3[Holiday Name],(G64&gt;=Table3[start])*(G64&lt;=Table3[end])),"**No associated Holiday"))))</f>
        <v/>
      </c>
      <c r="G64" s="36"/>
      <c r="I64" s="31"/>
    </row>
    <row r="65" spans="5:9" x14ac:dyDescent="0.35">
      <c r="E65" s="289" t="str" cm="1">
        <f t="array" ref="E65">IF(IFERROR(_xlfn.TEXTJOIN(", ",TRUE,TEXT(INDEX(Table3[Date],MATCH(_xlfn.FILTERXML("&lt;root&gt;&lt;item&gt;"&amp;SUBSTITUTE(F65,", ","&lt;/item&gt;&lt;item&gt;")&amp;"&lt;/item&gt;&lt;/root&gt;","//item"),Table3[Holiday Name],0)),"m/d/yyyy")),G65)="","",IFERROR(_xlfn.TEXTJOIN(", ",TRUE,TEXT(INDEX(Table3[Date],MATCH(_xlfn.FILTERXML("&lt;root&gt;&lt;item&gt;"&amp;SUBSTITUTE(F65,", ","&lt;/item&gt;&lt;item&gt;")&amp;"&lt;/item&gt;&lt;/root&gt;","//item"),Table3[Holiday Name],0)),"m/d/yyyy")),G65))</f>
        <v/>
      </c>
      <c r="F65" s="234" t="str" cm="1">
        <f t="array" ref="F65">IF(G65="","",IF(_xlfn.TEXTJOIN(", ",TRUE,IFERROR(_xlfn._xlws.FILTER(Table3[Holiday Name],(G65&gt;=Table3[start])*(G65&lt;=Table3[end])),"**No associated Holiday"))="","",_xlfn.TEXTJOIN(", ",TRUE,IFERROR(_xlfn._xlws.FILTER(Table3[Holiday Name],(G65&gt;=Table3[start])*(G65&lt;=Table3[end])),"**No associated Holiday"))))</f>
        <v/>
      </c>
      <c r="G65" s="36"/>
      <c r="I65" s="31"/>
    </row>
    <row r="66" spans="5:9" x14ac:dyDescent="0.35">
      <c r="E66" s="289" t="str" cm="1">
        <f t="array" ref="E66">IF(IFERROR(_xlfn.TEXTJOIN(", ",TRUE,TEXT(INDEX(Table3[Date],MATCH(_xlfn.FILTERXML("&lt;root&gt;&lt;item&gt;"&amp;SUBSTITUTE(F66,", ","&lt;/item&gt;&lt;item&gt;")&amp;"&lt;/item&gt;&lt;/root&gt;","//item"),Table3[Holiday Name],0)),"m/d/yyyy")),G66)="","",IFERROR(_xlfn.TEXTJOIN(", ",TRUE,TEXT(INDEX(Table3[Date],MATCH(_xlfn.FILTERXML("&lt;root&gt;&lt;item&gt;"&amp;SUBSTITUTE(F66,", ","&lt;/item&gt;&lt;item&gt;")&amp;"&lt;/item&gt;&lt;/root&gt;","//item"),Table3[Holiday Name],0)),"m/d/yyyy")),G66))</f>
        <v/>
      </c>
      <c r="F66" s="234" t="str" cm="1">
        <f t="array" ref="F66">IF(G66="","",IF(_xlfn.TEXTJOIN(", ",TRUE,IFERROR(_xlfn._xlws.FILTER(Table3[Holiday Name],(G66&gt;=Table3[start])*(G66&lt;=Table3[end])),"**No associated Holiday"))="","",_xlfn.TEXTJOIN(", ",TRUE,IFERROR(_xlfn._xlws.FILTER(Table3[Holiday Name],(G66&gt;=Table3[start])*(G66&lt;=Table3[end])),"**No associated Holiday"))))</f>
        <v/>
      </c>
      <c r="G66" s="36"/>
      <c r="I66" s="31"/>
    </row>
    <row r="67" spans="5:9" x14ac:dyDescent="0.35">
      <c r="E67" s="289" t="str" cm="1">
        <f t="array" ref="E67">IF(IFERROR(_xlfn.TEXTJOIN(", ",TRUE,TEXT(INDEX(Table3[Date],MATCH(_xlfn.FILTERXML("&lt;root&gt;&lt;item&gt;"&amp;SUBSTITUTE(F67,", ","&lt;/item&gt;&lt;item&gt;")&amp;"&lt;/item&gt;&lt;/root&gt;","//item"),Table3[Holiday Name],0)),"m/d/yyyy")),G67)="","",IFERROR(_xlfn.TEXTJOIN(", ",TRUE,TEXT(INDEX(Table3[Date],MATCH(_xlfn.FILTERXML("&lt;root&gt;&lt;item&gt;"&amp;SUBSTITUTE(F67,", ","&lt;/item&gt;&lt;item&gt;")&amp;"&lt;/item&gt;&lt;/root&gt;","//item"),Table3[Holiday Name],0)),"m/d/yyyy")),G67))</f>
        <v/>
      </c>
      <c r="F67" s="234" t="str" cm="1">
        <f t="array" ref="F67">IF(G67="","",IF(_xlfn.TEXTJOIN(", ",TRUE,IFERROR(_xlfn._xlws.FILTER(Table3[Holiday Name],(G67&gt;=Table3[start])*(G67&lt;=Table3[end])),"**No associated Holiday"))="","",_xlfn.TEXTJOIN(", ",TRUE,IFERROR(_xlfn._xlws.FILTER(Table3[Holiday Name],(G67&gt;=Table3[start])*(G67&lt;=Table3[end])),"**No associated Holiday"))))</f>
        <v/>
      </c>
      <c r="G67" s="36"/>
      <c r="I67" s="31"/>
    </row>
    <row r="68" spans="5:9" x14ac:dyDescent="0.35">
      <c r="E68" s="289" t="str" cm="1">
        <f t="array" ref="E68">IF(IFERROR(_xlfn.TEXTJOIN(", ",TRUE,TEXT(INDEX(Table3[Date],MATCH(_xlfn.FILTERXML("&lt;root&gt;&lt;item&gt;"&amp;SUBSTITUTE(F68,", ","&lt;/item&gt;&lt;item&gt;")&amp;"&lt;/item&gt;&lt;/root&gt;","//item"),Table3[Holiday Name],0)),"m/d/yyyy")),G68)="","",IFERROR(_xlfn.TEXTJOIN(", ",TRUE,TEXT(INDEX(Table3[Date],MATCH(_xlfn.FILTERXML("&lt;root&gt;&lt;item&gt;"&amp;SUBSTITUTE(F68,", ","&lt;/item&gt;&lt;item&gt;")&amp;"&lt;/item&gt;&lt;/root&gt;","//item"),Table3[Holiday Name],0)),"m/d/yyyy")),G68))</f>
        <v/>
      </c>
      <c r="F68" s="234" t="str" cm="1">
        <f t="array" ref="F68">IF(G68="","",IF(_xlfn.TEXTJOIN(", ",TRUE,IFERROR(_xlfn._xlws.FILTER(Table3[Holiday Name],(G68&gt;=Table3[start])*(G68&lt;=Table3[end])),"**No associated Holiday"))="","",_xlfn.TEXTJOIN(", ",TRUE,IFERROR(_xlfn._xlws.FILTER(Table3[Holiday Name],(G68&gt;=Table3[start])*(G68&lt;=Table3[end])),"**No associated Holiday"))))</f>
        <v/>
      </c>
      <c r="G68" s="36"/>
      <c r="I68" s="31"/>
    </row>
    <row r="69" spans="5:9" x14ac:dyDescent="0.35">
      <c r="E69" s="289" t="str" cm="1">
        <f t="array" ref="E69">IF(IFERROR(_xlfn.TEXTJOIN(", ",TRUE,TEXT(INDEX(Table3[Date],MATCH(_xlfn.FILTERXML("&lt;root&gt;&lt;item&gt;"&amp;SUBSTITUTE(F69,", ","&lt;/item&gt;&lt;item&gt;")&amp;"&lt;/item&gt;&lt;/root&gt;","//item"),Table3[Holiday Name],0)),"m/d/yyyy")),G69)="","",IFERROR(_xlfn.TEXTJOIN(", ",TRUE,TEXT(INDEX(Table3[Date],MATCH(_xlfn.FILTERXML("&lt;root&gt;&lt;item&gt;"&amp;SUBSTITUTE(F69,", ","&lt;/item&gt;&lt;item&gt;")&amp;"&lt;/item&gt;&lt;/root&gt;","//item"),Table3[Holiday Name],0)),"m/d/yyyy")),G69))</f>
        <v/>
      </c>
      <c r="F69" s="234" t="str" cm="1">
        <f t="array" ref="F69">IF(G69="","",IF(_xlfn.TEXTJOIN(", ",TRUE,IFERROR(_xlfn._xlws.FILTER(Table3[Holiday Name],(G69&gt;=Table3[start])*(G69&lt;=Table3[end])),"**No associated Holiday"))="","",_xlfn.TEXTJOIN(", ",TRUE,IFERROR(_xlfn._xlws.FILTER(Table3[Holiday Name],(G69&gt;=Table3[start])*(G69&lt;=Table3[end])),"**No associated Holiday"))))</f>
        <v/>
      </c>
      <c r="G69" s="36"/>
      <c r="I69" s="31"/>
    </row>
    <row r="70" spans="5:9" x14ac:dyDescent="0.35">
      <c r="E70" s="289" t="str" cm="1">
        <f t="array" ref="E70">IF(IFERROR(_xlfn.TEXTJOIN(", ",TRUE,TEXT(INDEX(Table3[Date],MATCH(_xlfn.FILTERXML("&lt;root&gt;&lt;item&gt;"&amp;SUBSTITUTE(F70,", ","&lt;/item&gt;&lt;item&gt;")&amp;"&lt;/item&gt;&lt;/root&gt;","//item"),Table3[Holiday Name],0)),"m/d/yyyy")),G70)="","",IFERROR(_xlfn.TEXTJOIN(", ",TRUE,TEXT(INDEX(Table3[Date],MATCH(_xlfn.FILTERXML("&lt;root&gt;&lt;item&gt;"&amp;SUBSTITUTE(F70,", ","&lt;/item&gt;&lt;item&gt;")&amp;"&lt;/item&gt;&lt;/root&gt;","//item"),Table3[Holiday Name],0)),"m/d/yyyy")),G70))</f>
        <v/>
      </c>
      <c r="F70" s="234" t="str" cm="1">
        <f t="array" ref="F70">IF(G70="","",IF(_xlfn.TEXTJOIN(", ",TRUE,IFERROR(_xlfn._xlws.FILTER(Table3[Holiday Name],(G70&gt;=Table3[start])*(G70&lt;=Table3[end])),"**No associated Holiday"))="","",_xlfn.TEXTJOIN(", ",TRUE,IFERROR(_xlfn._xlws.FILTER(Table3[Holiday Name],(G70&gt;=Table3[start])*(G70&lt;=Table3[end])),"**No associated Holiday"))))</f>
        <v/>
      </c>
      <c r="G70" s="36"/>
      <c r="I70" s="31"/>
    </row>
    <row r="71" spans="5:9" x14ac:dyDescent="0.35">
      <c r="E71" s="289" t="str" cm="1">
        <f t="array" ref="E71">IF(IFERROR(_xlfn.TEXTJOIN(", ",TRUE,TEXT(INDEX(Table3[Date],MATCH(_xlfn.FILTERXML("&lt;root&gt;&lt;item&gt;"&amp;SUBSTITUTE(F71,", ","&lt;/item&gt;&lt;item&gt;")&amp;"&lt;/item&gt;&lt;/root&gt;","//item"),Table3[Holiday Name],0)),"m/d/yyyy")),G71)="","",IFERROR(_xlfn.TEXTJOIN(", ",TRUE,TEXT(INDEX(Table3[Date],MATCH(_xlfn.FILTERXML("&lt;root&gt;&lt;item&gt;"&amp;SUBSTITUTE(F71,", ","&lt;/item&gt;&lt;item&gt;")&amp;"&lt;/item&gt;&lt;/root&gt;","//item"),Table3[Holiday Name],0)),"m/d/yyyy")),G71))</f>
        <v/>
      </c>
      <c r="F71" s="234" t="str" cm="1">
        <f t="array" ref="F71">IF(G71="","",IF(_xlfn.TEXTJOIN(", ",TRUE,IFERROR(_xlfn._xlws.FILTER(Table3[Holiday Name],(G71&gt;=Table3[start])*(G71&lt;=Table3[end])),"**No associated Holiday"))="","",_xlfn.TEXTJOIN(", ",TRUE,IFERROR(_xlfn._xlws.FILTER(Table3[Holiday Name],(G71&gt;=Table3[start])*(G71&lt;=Table3[end])),"**No associated Holiday"))))</f>
        <v/>
      </c>
      <c r="G71" s="36"/>
      <c r="I71" s="31"/>
    </row>
    <row r="72" spans="5:9" x14ac:dyDescent="0.35">
      <c r="E72" s="289" t="str" cm="1">
        <f t="array" ref="E72">IF(IFERROR(_xlfn.TEXTJOIN(", ",TRUE,TEXT(INDEX(Table3[Date],MATCH(_xlfn.FILTERXML("&lt;root&gt;&lt;item&gt;"&amp;SUBSTITUTE(F72,", ","&lt;/item&gt;&lt;item&gt;")&amp;"&lt;/item&gt;&lt;/root&gt;","//item"),Table3[Holiday Name],0)),"m/d/yyyy")),G72)="","",IFERROR(_xlfn.TEXTJOIN(", ",TRUE,TEXT(INDEX(Table3[Date],MATCH(_xlfn.FILTERXML("&lt;root&gt;&lt;item&gt;"&amp;SUBSTITUTE(F72,", ","&lt;/item&gt;&lt;item&gt;")&amp;"&lt;/item&gt;&lt;/root&gt;","//item"),Table3[Holiday Name],0)),"m/d/yyyy")),G72))</f>
        <v/>
      </c>
      <c r="F72" s="234" t="str" cm="1">
        <f t="array" ref="F72">IF(G72="","",IF(_xlfn.TEXTJOIN(", ",TRUE,IFERROR(_xlfn._xlws.FILTER(Table3[Holiday Name],(G72&gt;=Table3[start])*(G72&lt;=Table3[end])),"**No associated Holiday"))="","",_xlfn.TEXTJOIN(", ",TRUE,IFERROR(_xlfn._xlws.FILTER(Table3[Holiday Name],(G72&gt;=Table3[start])*(G72&lt;=Table3[end])),"**No associated Holiday"))))</f>
        <v/>
      </c>
      <c r="G72" s="36"/>
      <c r="I72" s="31"/>
    </row>
    <row r="73" spans="5:9" x14ac:dyDescent="0.35">
      <c r="E73" s="289" t="str" cm="1">
        <f t="array" ref="E73">IF(IFERROR(_xlfn.TEXTJOIN(", ",TRUE,TEXT(INDEX(Table3[Date],MATCH(_xlfn.FILTERXML("&lt;root&gt;&lt;item&gt;"&amp;SUBSTITUTE(F73,", ","&lt;/item&gt;&lt;item&gt;")&amp;"&lt;/item&gt;&lt;/root&gt;","//item"),Table3[Holiday Name],0)),"m/d/yyyy")),G73)="","",IFERROR(_xlfn.TEXTJOIN(", ",TRUE,TEXT(INDEX(Table3[Date],MATCH(_xlfn.FILTERXML("&lt;root&gt;&lt;item&gt;"&amp;SUBSTITUTE(F73,", ","&lt;/item&gt;&lt;item&gt;")&amp;"&lt;/item&gt;&lt;/root&gt;","//item"),Table3[Holiday Name],0)),"m/d/yyyy")),G73))</f>
        <v/>
      </c>
      <c r="F73" s="234" t="str" cm="1">
        <f t="array" ref="F73">IF(G73="","",IF(_xlfn.TEXTJOIN(", ",TRUE,IFERROR(_xlfn._xlws.FILTER(Table3[Holiday Name],(G73&gt;=Table3[start])*(G73&lt;=Table3[end])),"**No associated Holiday"))="","",_xlfn.TEXTJOIN(", ",TRUE,IFERROR(_xlfn._xlws.FILTER(Table3[Holiday Name],(G73&gt;=Table3[start])*(G73&lt;=Table3[end])),"**No associated Holiday"))))</f>
        <v/>
      </c>
      <c r="G73" s="36"/>
      <c r="I73" s="31"/>
    </row>
    <row r="74" spans="5:9" x14ac:dyDescent="0.35">
      <c r="E74" s="289" t="str" cm="1">
        <f t="array" ref="E74">IF(IFERROR(_xlfn.TEXTJOIN(", ",TRUE,TEXT(INDEX(Table3[Date],MATCH(_xlfn.FILTERXML("&lt;root&gt;&lt;item&gt;"&amp;SUBSTITUTE(F74,", ","&lt;/item&gt;&lt;item&gt;")&amp;"&lt;/item&gt;&lt;/root&gt;","//item"),Table3[Holiday Name],0)),"m/d/yyyy")),G74)="","",IFERROR(_xlfn.TEXTJOIN(", ",TRUE,TEXT(INDEX(Table3[Date],MATCH(_xlfn.FILTERXML("&lt;root&gt;&lt;item&gt;"&amp;SUBSTITUTE(F74,", ","&lt;/item&gt;&lt;item&gt;")&amp;"&lt;/item&gt;&lt;/root&gt;","//item"),Table3[Holiday Name],0)),"m/d/yyyy")),G74))</f>
        <v/>
      </c>
      <c r="F74" s="234" t="str" cm="1">
        <f t="array" ref="F74">IF(G74="","",IF(_xlfn.TEXTJOIN(", ",TRUE,IFERROR(_xlfn._xlws.FILTER(Table3[Holiday Name],(G74&gt;=Table3[start])*(G74&lt;=Table3[end])),"**No associated Holiday"))="","",_xlfn.TEXTJOIN(", ",TRUE,IFERROR(_xlfn._xlws.FILTER(Table3[Holiday Name],(G74&gt;=Table3[start])*(G74&lt;=Table3[end])),"**No associated Holiday"))))</f>
        <v/>
      </c>
      <c r="G74" s="36"/>
      <c r="I74" s="31"/>
    </row>
    <row r="75" spans="5:9" x14ac:dyDescent="0.35">
      <c r="E75" s="289" t="str" cm="1">
        <f t="array" ref="E75">IF(IFERROR(_xlfn.TEXTJOIN(", ",TRUE,TEXT(INDEX(Table3[Date],MATCH(_xlfn.FILTERXML("&lt;root&gt;&lt;item&gt;"&amp;SUBSTITUTE(F75,", ","&lt;/item&gt;&lt;item&gt;")&amp;"&lt;/item&gt;&lt;/root&gt;","//item"),Table3[Holiday Name],0)),"m/d/yyyy")),G75)="","",IFERROR(_xlfn.TEXTJOIN(", ",TRUE,TEXT(INDEX(Table3[Date],MATCH(_xlfn.FILTERXML("&lt;root&gt;&lt;item&gt;"&amp;SUBSTITUTE(F75,", ","&lt;/item&gt;&lt;item&gt;")&amp;"&lt;/item&gt;&lt;/root&gt;","//item"),Table3[Holiday Name],0)),"m/d/yyyy")),G75))</f>
        <v/>
      </c>
      <c r="F75" s="234" t="str" cm="1">
        <f t="array" ref="F75">IF(G75="","",IF(_xlfn.TEXTJOIN(", ",TRUE,IFERROR(_xlfn._xlws.FILTER(Table3[Holiday Name],(G75&gt;=Table3[start])*(G75&lt;=Table3[end])),"**No associated Holiday"))="","",_xlfn.TEXTJOIN(", ",TRUE,IFERROR(_xlfn._xlws.FILTER(Table3[Holiday Name],(G75&gt;=Table3[start])*(G75&lt;=Table3[end])),"**No associated Holiday"))))</f>
        <v/>
      </c>
      <c r="G75" s="36"/>
      <c r="I75" s="31"/>
    </row>
    <row r="76" spans="5:9" x14ac:dyDescent="0.35">
      <c r="E76" s="289" t="str" cm="1">
        <f t="array" ref="E76">IF(IFERROR(_xlfn.TEXTJOIN(", ",TRUE,TEXT(INDEX(Table3[Date],MATCH(_xlfn.FILTERXML("&lt;root&gt;&lt;item&gt;"&amp;SUBSTITUTE(F76,", ","&lt;/item&gt;&lt;item&gt;")&amp;"&lt;/item&gt;&lt;/root&gt;","//item"),Table3[Holiday Name],0)),"m/d/yyyy")),G76)="","",IFERROR(_xlfn.TEXTJOIN(", ",TRUE,TEXT(INDEX(Table3[Date],MATCH(_xlfn.FILTERXML("&lt;root&gt;&lt;item&gt;"&amp;SUBSTITUTE(F76,", ","&lt;/item&gt;&lt;item&gt;")&amp;"&lt;/item&gt;&lt;/root&gt;","//item"),Table3[Holiday Name],0)),"m/d/yyyy")),G76))</f>
        <v/>
      </c>
      <c r="F76" s="234" t="str" cm="1">
        <f t="array" ref="F76">IF(G76="","",IF(_xlfn.TEXTJOIN(", ",TRUE,IFERROR(_xlfn._xlws.FILTER(Table3[Holiday Name],(G76&gt;=Table3[start])*(G76&lt;=Table3[end])),"**No associated Holiday"))="","",_xlfn.TEXTJOIN(", ",TRUE,IFERROR(_xlfn._xlws.FILTER(Table3[Holiday Name],(G76&gt;=Table3[start])*(G76&lt;=Table3[end])),"**No associated Holiday"))))</f>
        <v/>
      </c>
      <c r="G76" s="36"/>
      <c r="I76" s="31"/>
    </row>
    <row r="77" spans="5:9" x14ac:dyDescent="0.35">
      <c r="E77" s="289" t="str" cm="1">
        <f t="array" ref="E77">IF(IFERROR(_xlfn.TEXTJOIN(", ",TRUE,TEXT(INDEX(Table3[Date],MATCH(_xlfn.FILTERXML("&lt;root&gt;&lt;item&gt;"&amp;SUBSTITUTE(F77,", ","&lt;/item&gt;&lt;item&gt;")&amp;"&lt;/item&gt;&lt;/root&gt;","//item"),Table3[Holiday Name],0)),"m/d/yyyy")),G77)="","",IFERROR(_xlfn.TEXTJOIN(", ",TRUE,TEXT(INDEX(Table3[Date],MATCH(_xlfn.FILTERXML("&lt;root&gt;&lt;item&gt;"&amp;SUBSTITUTE(F77,", ","&lt;/item&gt;&lt;item&gt;")&amp;"&lt;/item&gt;&lt;/root&gt;","//item"),Table3[Holiday Name],0)),"m/d/yyyy")),G77))</f>
        <v/>
      </c>
      <c r="F77" s="234" t="str" cm="1">
        <f t="array" ref="F77">IF(G77="","",IF(_xlfn.TEXTJOIN(", ",TRUE,IFERROR(_xlfn._xlws.FILTER(Table3[Holiday Name],(G77&gt;=Table3[start])*(G77&lt;=Table3[end])),"**No associated Holiday"))="","",_xlfn.TEXTJOIN(", ",TRUE,IFERROR(_xlfn._xlws.FILTER(Table3[Holiday Name],(G77&gt;=Table3[start])*(G77&lt;=Table3[end])),"**No associated Holiday"))))</f>
        <v/>
      </c>
      <c r="G77" s="36"/>
      <c r="I77" s="31"/>
    </row>
    <row r="78" spans="5:9" x14ac:dyDescent="0.35">
      <c r="E78" s="289" t="str" cm="1">
        <f t="array" ref="E78">IF(IFERROR(_xlfn.TEXTJOIN(", ",TRUE,TEXT(INDEX(Table3[Date],MATCH(_xlfn.FILTERXML("&lt;root&gt;&lt;item&gt;"&amp;SUBSTITUTE(F78,", ","&lt;/item&gt;&lt;item&gt;")&amp;"&lt;/item&gt;&lt;/root&gt;","//item"),Table3[Holiday Name],0)),"m/d/yyyy")),G78)="","",IFERROR(_xlfn.TEXTJOIN(", ",TRUE,TEXT(INDEX(Table3[Date],MATCH(_xlfn.FILTERXML("&lt;root&gt;&lt;item&gt;"&amp;SUBSTITUTE(F78,", ","&lt;/item&gt;&lt;item&gt;")&amp;"&lt;/item&gt;&lt;/root&gt;","//item"),Table3[Holiday Name],0)),"m/d/yyyy")),G78))</f>
        <v/>
      </c>
      <c r="F78" s="234" t="str" cm="1">
        <f t="array" ref="F78">IF(G78="","",IF(_xlfn.TEXTJOIN(", ",TRUE,IFERROR(_xlfn._xlws.FILTER(Table3[Holiday Name],(G78&gt;=Table3[start])*(G78&lt;=Table3[end])),"**No associated Holiday"))="","",_xlfn.TEXTJOIN(", ",TRUE,IFERROR(_xlfn._xlws.FILTER(Table3[Holiday Name],(G78&gt;=Table3[start])*(G78&lt;=Table3[end])),"**No associated Holiday"))))</f>
        <v/>
      </c>
      <c r="G78" s="36"/>
      <c r="I78" s="31"/>
    </row>
    <row r="79" spans="5:9" x14ac:dyDescent="0.35">
      <c r="E79" s="289" t="str" cm="1">
        <f t="array" ref="E79">IF(IFERROR(_xlfn.TEXTJOIN(", ",TRUE,TEXT(INDEX(Table3[Date],MATCH(_xlfn.FILTERXML("&lt;root&gt;&lt;item&gt;"&amp;SUBSTITUTE(F79,", ","&lt;/item&gt;&lt;item&gt;")&amp;"&lt;/item&gt;&lt;/root&gt;","//item"),Table3[Holiday Name],0)),"m/d/yyyy")),G79)="","",IFERROR(_xlfn.TEXTJOIN(", ",TRUE,TEXT(INDEX(Table3[Date],MATCH(_xlfn.FILTERXML("&lt;root&gt;&lt;item&gt;"&amp;SUBSTITUTE(F79,", ","&lt;/item&gt;&lt;item&gt;")&amp;"&lt;/item&gt;&lt;/root&gt;","//item"),Table3[Holiday Name],0)),"m/d/yyyy")),G79))</f>
        <v/>
      </c>
      <c r="F79" s="234" t="str" cm="1">
        <f t="array" ref="F79">IF(G79="","",IF(_xlfn.TEXTJOIN(", ",TRUE,IFERROR(_xlfn._xlws.FILTER(Table3[Holiday Name],(G79&gt;=Table3[start])*(G79&lt;=Table3[end])),"**No associated Holiday"))="","",_xlfn.TEXTJOIN(", ",TRUE,IFERROR(_xlfn._xlws.FILTER(Table3[Holiday Name],(G79&gt;=Table3[start])*(G79&lt;=Table3[end])),"**No associated Holiday"))))</f>
        <v/>
      </c>
      <c r="G79" s="36"/>
      <c r="I79" s="31"/>
    </row>
    <row r="80" spans="5:9" x14ac:dyDescent="0.35">
      <c r="E80" s="289" t="str" cm="1">
        <f t="array" ref="E80">IF(IFERROR(_xlfn.TEXTJOIN(", ",TRUE,TEXT(INDEX(Table3[Date],MATCH(_xlfn.FILTERXML("&lt;root&gt;&lt;item&gt;"&amp;SUBSTITUTE(F80,", ","&lt;/item&gt;&lt;item&gt;")&amp;"&lt;/item&gt;&lt;/root&gt;","//item"),Table3[Holiday Name],0)),"m/d/yyyy")),G80)="","",IFERROR(_xlfn.TEXTJOIN(", ",TRUE,TEXT(INDEX(Table3[Date],MATCH(_xlfn.FILTERXML("&lt;root&gt;&lt;item&gt;"&amp;SUBSTITUTE(F80,", ","&lt;/item&gt;&lt;item&gt;")&amp;"&lt;/item&gt;&lt;/root&gt;","//item"),Table3[Holiday Name],0)),"m/d/yyyy")),G80))</f>
        <v/>
      </c>
      <c r="F80" s="234" t="str" cm="1">
        <f t="array" ref="F80">IF(G80="","",IF(_xlfn.TEXTJOIN(", ",TRUE,IFERROR(_xlfn._xlws.FILTER(Table3[Holiday Name],(G80&gt;=Table3[start])*(G80&lt;=Table3[end])),"**No associated Holiday"))="","",_xlfn.TEXTJOIN(", ",TRUE,IFERROR(_xlfn._xlws.FILTER(Table3[Holiday Name],(G80&gt;=Table3[start])*(G80&lt;=Table3[end])),"**No associated Holiday"))))</f>
        <v/>
      </c>
      <c r="G80" s="36"/>
      <c r="I80" s="31"/>
    </row>
    <row r="81" spans="5:9" x14ac:dyDescent="0.35">
      <c r="E81" s="289" t="str" cm="1">
        <f t="array" ref="E81">IF(IFERROR(_xlfn.TEXTJOIN(", ",TRUE,TEXT(INDEX(Table3[Date],MATCH(_xlfn.FILTERXML("&lt;root&gt;&lt;item&gt;"&amp;SUBSTITUTE(F81,", ","&lt;/item&gt;&lt;item&gt;")&amp;"&lt;/item&gt;&lt;/root&gt;","//item"),Table3[Holiday Name],0)),"m/d/yyyy")),G81)="","",IFERROR(_xlfn.TEXTJOIN(", ",TRUE,TEXT(INDEX(Table3[Date],MATCH(_xlfn.FILTERXML("&lt;root&gt;&lt;item&gt;"&amp;SUBSTITUTE(F81,", ","&lt;/item&gt;&lt;item&gt;")&amp;"&lt;/item&gt;&lt;/root&gt;","//item"),Table3[Holiday Name],0)),"m/d/yyyy")),G81))</f>
        <v/>
      </c>
      <c r="F81" s="234" t="str" cm="1">
        <f t="array" ref="F81">IF(G81="","",IF(_xlfn.TEXTJOIN(", ",TRUE,IFERROR(_xlfn._xlws.FILTER(Table3[Holiday Name],(G81&gt;=Table3[start])*(G81&lt;=Table3[end])),"**No associated Holiday"))="","",_xlfn.TEXTJOIN(", ",TRUE,IFERROR(_xlfn._xlws.FILTER(Table3[Holiday Name],(G81&gt;=Table3[start])*(G81&lt;=Table3[end])),"**No associated Holiday"))))</f>
        <v/>
      </c>
      <c r="G81" s="36"/>
      <c r="I81" s="31"/>
    </row>
    <row r="82" spans="5:9" x14ac:dyDescent="0.35">
      <c r="E82" s="289" t="str" cm="1">
        <f t="array" ref="E82">IF(IFERROR(_xlfn.TEXTJOIN(", ",TRUE,TEXT(INDEX(Table3[Date],MATCH(_xlfn.FILTERXML("&lt;root&gt;&lt;item&gt;"&amp;SUBSTITUTE(F82,", ","&lt;/item&gt;&lt;item&gt;")&amp;"&lt;/item&gt;&lt;/root&gt;","//item"),Table3[Holiday Name],0)),"m/d/yyyy")),G82)="","",IFERROR(_xlfn.TEXTJOIN(", ",TRUE,TEXT(INDEX(Table3[Date],MATCH(_xlfn.FILTERXML("&lt;root&gt;&lt;item&gt;"&amp;SUBSTITUTE(F82,", ","&lt;/item&gt;&lt;item&gt;")&amp;"&lt;/item&gt;&lt;/root&gt;","//item"),Table3[Holiday Name],0)),"m/d/yyyy")),G82))</f>
        <v/>
      </c>
      <c r="F82" s="234" t="str" cm="1">
        <f t="array" ref="F82">IF(G82="","",IF(_xlfn.TEXTJOIN(", ",TRUE,IFERROR(_xlfn._xlws.FILTER(Table3[Holiday Name],(G82&gt;=Table3[start])*(G82&lt;=Table3[end])),"**No associated Holiday"))="","",_xlfn.TEXTJOIN(", ",TRUE,IFERROR(_xlfn._xlws.FILTER(Table3[Holiday Name],(G82&gt;=Table3[start])*(G82&lt;=Table3[end])),"**No associated Holiday"))))</f>
        <v/>
      </c>
      <c r="G82" s="36"/>
      <c r="I82" s="31"/>
    </row>
    <row r="83" spans="5:9" x14ac:dyDescent="0.35">
      <c r="E83" s="289" t="str" cm="1">
        <f t="array" ref="E83">IF(IFERROR(_xlfn.TEXTJOIN(", ",TRUE,TEXT(INDEX(Table3[Date],MATCH(_xlfn.FILTERXML("&lt;root&gt;&lt;item&gt;"&amp;SUBSTITUTE(F83,", ","&lt;/item&gt;&lt;item&gt;")&amp;"&lt;/item&gt;&lt;/root&gt;","//item"),Table3[Holiday Name],0)),"m/d/yyyy")),G83)="","",IFERROR(_xlfn.TEXTJOIN(", ",TRUE,TEXT(INDEX(Table3[Date],MATCH(_xlfn.FILTERXML("&lt;root&gt;&lt;item&gt;"&amp;SUBSTITUTE(F83,", ","&lt;/item&gt;&lt;item&gt;")&amp;"&lt;/item&gt;&lt;/root&gt;","//item"),Table3[Holiday Name],0)),"m/d/yyyy")),G83))</f>
        <v/>
      </c>
      <c r="F83" s="234" t="str" cm="1">
        <f t="array" ref="F83">IF(G83="","",IF(_xlfn.TEXTJOIN(", ",TRUE,IFERROR(_xlfn._xlws.FILTER(Table3[Holiday Name],(G83&gt;=Table3[start])*(G83&lt;=Table3[end])),"**No associated Holiday"))="","",_xlfn.TEXTJOIN(", ",TRUE,IFERROR(_xlfn._xlws.FILTER(Table3[Holiday Name],(G83&gt;=Table3[start])*(G83&lt;=Table3[end])),"**No associated Holiday"))))</f>
        <v/>
      </c>
      <c r="G83" s="36"/>
      <c r="I83" s="31"/>
    </row>
    <row r="84" spans="5:9" x14ac:dyDescent="0.35">
      <c r="E84" s="289" t="str" cm="1">
        <f t="array" ref="E84">IF(IFERROR(_xlfn.TEXTJOIN(", ",TRUE,TEXT(INDEX(Table3[Date],MATCH(_xlfn.FILTERXML("&lt;root&gt;&lt;item&gt;"&amp;SUBSTITUTE(F84,", ","&lt;/item&gt;&lt;item&gt;")&amp;"&lt;/item&gt;&lt;/root&gt;","//item"),Table3[Holiday Name],0)),"m/d/yyyy")),G84)="","",IFERROR(_xlfn.TEXTJOIN(", ",TRUE,TEXT(INDEX(Table3[Date],MATCH(_xlfn.FILTERXML("&lt;root&gt;&lt;item&gt;"&amp;SUBSTITUTE(F84,", ","&lt;/item&gt;&lt;item&gt;")&amp;"&lt;/item&gt;&lt;/root&gt;","//item"),Table3[Holiday Name],0)),"m/d/yyyy")),G84))</f>
        <v/>
      </c>
      <c r="F84" s="234" t="str" cm="1">
        <f t="array" ref="F84">IF(G84="","",IF(_xlfn.TEXTJOIN(", ",TRUE,IFERROR(_xlfn._xlws.FILTER(Table3[Holiday Name],(G84&gt;=Table3[start])*(G84&lt;=Table3[end])),"**No associated Holiday"))="","",_xlfn.TEXTJOIN(", ",TRUE,IFERROR(_xlfn._xlws.FILTER(Table3[Holiday Name],(G84&gt;=Table3[start])*(G84&lt;=Table3[end])),"**No associated Holiday"))))</f>
        <v/>
      </c>
      <c r="G84" s="36"/>
      <c r="I84" s="31"/>
    </row>
    <row r="85" spans="5:9" x14ac:dyDescent="0.35">
      <c r="E85" s="289" t="str" cm="1">
        <f t="array" ref="E85">IF(IFERROR(_xlfn.TEXTJOIN(", ",TRUE,TEXT(INDEX(Table3[Date],MATCH(_xlfn.FILTERXML("&lt;root&gt;&lt;item&gt;"&amp;SUBSTITUTE(F85,", ","&lt;/item&gt;&lt;item&gt;")&amp;"&lt;/item&gt;&lt;/root&gt;","//item"),Table3[Holiday Name],0)),"m/d/yyyy")),G85)="","",IFERROR(_xlfn.TEXTJOIN(", ",TRUE,TEXT(INDEX(Table3[Date],MATCH(_xlfn.FILTERXML("&lt;root&gt;&lt;item&gt;"&amp;SUBSTITUTE(F85,", ","&lt;/item&gt;&lt;item&gt;")&amp;"&lt;/item&gt;&lt;/root&gt;","//item"),Table3[Holiday Name],0)),"m/d/yyyy")),G85))</f>
        <v/>
      </c>
      <c r="F85" s="234" t="str" cm="1">
        <f t="array" ref="F85">IF(G85="","",IF(_xlfn.TEXTJOIN(", ",TRUE,IFERROR(_xlfn._xlws.FILTER(Table3[Holiday Name],(G85&gt;=Table3[start])*(G85&lt;=Table3[end])),"**No associated Holiday"))="","",_xlfn.TEXTJOIN(", ",TRUE,IFERROR(_xlfn._xlws.FILTER(Table3[Holiday Name],(G85&gt;=Table3[start])*(G85&lt;=Table3[end])),"**No associated Holiday"))))</f>
        <v/>
      </c>
      <c r="G85" s="36"/>
      <c r="I85" s="31"/>
    </row>
    <row r="86" spans="5:9" x14ac:dyDescent="0.35">
      <c r="E86" s="289" t="str" cm="1">
        <f t="array" ref="E86">IF(IFERROR(_xlfn.TEXTJOIN(", ",TRUE,TEXT(INDEX(Table3[Date],MATCH(_xlfn.FILTERXML("&lt;root&gt;&lt;item&gt;"&amp;SUBSTITUTE(F86,", ","&lt;/item&gt;&lt;item&gt;")&amp;"&lt;/item&gt;&lt;/root&gt;","//item"),Table3[Holiday Name],0)),"m/d/yyyy")),G86)="","",IFERROR(_xlfn.TEXTJOIN(", ",TRUE,TEXT(INDEX(Table3[Date],MATCH(_xlfn.FILTERXML("&lt;root&gt;&lt;item&gt;"&amp;SUBSTITUTE(F86,", ","&lt;/item&gt;&lt;item&gt;")&amp;"&lt;/item&gt;&lt;/root&gt;","//item"),Table3[Holiday Name],0)),"m/d/yyyy")),G86))</f>
        <v/>
      </c>
      <c r="F86" s="234" t="str" cm="1">
        <f t="array" ref="F86">IF(G86="","",IF(_xlfn.TEXTJOIN(", ",TRUE,IFERROR(_xlfn._xlws.FILTER(Table3[Holiday Name],(G86&gt;=Table3[start])*(G86&lt;=Table3[end])),"**No associated Holiday"))="","",_xlfn.TEXTJOIN(", ",TRUE,IFERROR(_xlfn._xlws.FILTER(Table3[Holiday Name],(G86&gt;=Table3[start])*(G86&lt;=Table3[end])),"**No associated Holiday"))))</f>
        <v/>
      </c>
      <c r="G86" s="36"/>
      <c r="I86" s="31"/>
    </row>
    <row r="87" spans="5:9" x14ac:dyDescent="0.35">
      <c r="E87" s="289" t="str" cm="1">
        <f t="array" ref="E87">IF(IFERROR(_xlfn.TEXTJOIN(", ",TRUE,TEXT(INDEX(Table3[Date],MATCH(_xlfn.FILTERXML("&lt;root&gt;&lt;item&gt;"&amp;SUBSTITUTE(F87,", ","&lt;/item&gt;&lt;item&gt;")&amp;"&lt;/item&gt;&lt;/root&gt;","//item"),Table3[Holiday Name],0)),"m/d/yyyy")),G87)="","",IFERROR(_xlfn.TEXTJOIN(", ",TRUE,TEXT(INDEX(Table3[Date],MATCH(_xlfn.FILTERXML("&lt;root&gt;&lt;item&gt;"&amp;SUBSTITUTE(F87,", ","&lt;/item&gt;&lt;item&gt;")&amp;"&lt;/item&gt;&lt;/root&gt;","//item"),Table3[Holiday Name],0)),"m/d/yyyy")),G87))</f>
        <v/>
      </c>
      <c r="F87" s="234" t="str" cm="1">
        <f t="array" ref="F87">IF(G87="","",IF(_xlfn.TEXTJOIN(", ",TRUE,IFERROR(_xlfn._xlws.FILTER(Table3[Holiday Name],(G87&gt;=Table3[start])*(G87&lt;=Table3[end])),"**No associated Holiday"))="","",_xlfn.TEXTJOIN(", ",TRUE,IFERROR(_xlfn._xlws.FILTER(Table3[Holiday Name],(G87&gt;=Table3[start])*(G87&lt;=Table3[end])),"**No associated Holiday"))))</f>
        <v/>
      </c>
      <c r="G87" s="36"/>
      <c r="I87" s="31"/>
    </row>
    <row r="88" spans="5:9" x14ac:dyDescent="0.35">
      <c r="E88" s="289" t="str" cm="1">
        <f t="array" ref="E88">IF(IFERROR(_xlfn.TEXTJOIN(", ",TRUE,TEXT(INDEX(Table3[Date],MATCH(_xlfn.FILTERXML("&lt;root&gt;&lt;item&gt;"&amp;SUBSTITUTE(F88,", ","&lt;/item&gt;&lt;item&gt;")&amp;"&lt;/item&gt;&lt;/root&gt;","//item"),Table3[Holiday Name],0)),"m/d/yyyy")),G88)="","",IFERROR(_xlfn.TEXTJOIN(", ",TRUE,TEXT(INDEX(Table3[Date],MATCH(_xlfn.FILTERXML("&lt;root&gt;&lt;item&gt;"&amp;SUBSTITUTE(F88,", ","&lt;/item&gt;&lt;item&gt;")&amp;"&lt;/item&gt;&lt;/root&gt;","//item"),Table3[Holiday Name],0)),"m/d/yyyy")),G88))</f>
        <v/>
      </c>
      <c r="F88" s="234" t="str" cm="1">
        <f t="array" ref="F88">IF(G88="","",IF(_xlfn.TEXTJOIN(", ",TRUE,IFERROR(_xlfn._xlws.FILTER(Table3[Holiday Name],(G88&gt;=Table3[start])*(G88&lt;=Table3[end])),"**No associated Holiday"))="","",_xlfn.TEXTJOIN(", ",TRUE,IFERROR(_xlfn._xlws.FILTER(Table3[Holiday Name],(G88&gt;=Table3[start])*(G88&lt;=Table3[end])),"**No associated Holiday"))))</f>
        <v/>
      </c>
      <c r="G88" s="36"/>
      <c r="I88" s="31"/>
    </row>
    <row r="89" spans="5:9" x14ac:dyDescent="0.35">
      <c r="E89" s="289" t="str" cm="1">
        <f t="array" ref="E89">IF(IFERROR(_xlfn.TEXTJOIN(", ",TRUE,TEXT(INDEX(Table3[Date],MATCH(_xlfn.FILTERXML("&lt;root&gt;&lt;item&gt;"&amp;SUBSTITUTE(F89,", ","&lt;/item&gt;&lt;item&gt;")&amp;"&lt;/item&gt;&lt;/root&gt;","//item"),Table3[Holiday Name],0)),"m/d/yyyy")),G89)="","",IFERROR(_xlfn.TEXTJOIN(", ",TRUE,TEXT(INDEX(Table3[Date],MATCH(_xlfn.FILTERXML("&lt;root&gt;&lt;item&gt;"&amp;SUBSTITUTE(F89,", ","&lt;/item&gt;&lt;item&gt;")&amp;"&lt;/item&gt;&lt;/root&gt;","//item"),Table3[Holiday Name],0)),"m/d/yyyy")),G89))</f>
        <v/>
      </c>
      <c r="F89" s="234" t="str" cm="1">
        <f t="array" ref="F89">IF(G89="","",IF(_xlfn.TEXTJOIN(", ",TRUE,IFERROR(_xlfn._xlws.FILTER(Table3[Holiday Name],(G89&gt;=Table3[start])*(G89&lt;=Table3[end])),"**No associated Holiday"))="","",_xlfn.TEXTJOIN(", ",TRUE,IFERROR(_xlfn._xlws.FILTER(Table3[Holiday Name],(G89&gt;=Table3[start])*(G89&lt;=Table3[end])),"**No associated Holiday"))))</f>
        <v/>
      </c>
      <c r="G89" s="36"/>
      <c r="I89" s="31"/>
    </row>
    <row r="90" spans="5:9" x14ac:dyDescent="0.35">
      <c r="E90" s="289" t="str" cm="1">
        <f t="array" ref="E90">IF(IFERROR(_xlfn.TEXTJOIN(", ",TRUE,TEXT(INDEX(Table3[Date],MATCH(_xlfn.FILTERXML("&lt;root&gt;&lt;item&gt;"&amp;SUBSTITUTE(F90,", ","&lt;/item&gt;&lt;item&gt;")&amp;"&lt;/item&gt;&lt;/root&gt;","//item"),Table3[Holiday Name],0)),"m/d/yyyy")),G90)="","",IFERROR(_xlfn.TEXTJOIN(", ",TRUE,TEXT(INDEX(Table3[Date],MATCH(_xlfn.FILTERXML("&lt;root&gt;&lt;item&gt;"&amp;SUBSTITUTE(F90,", ","&lt;/item&gt;&lt;item&gt;")&amp;"&lt;/item&gt;&lt;/root&gt;","//item"),Table3[Holiday Name],0)),"m/d/yyyy")),G90))</f>
        <v/>
      </c>
      <c r="F90" s="234" t="str" cm="1">
        <f t="array" ref="F90">IF(G90="","",IF(_xlfn.TEXTJOIN(", ",TRUE,IFERROR(_xlfn._xlws.FILTER(Table3[Holiday Name],(G90&gt;=Table3[start])*(G90&lt;=Table3[end])),"**No associated Holiday"))="","",_xlfn.TEXTJOIN(", ",TRUE,IFERROR(_xlfn._xlws.FILTER(Table3[Holiday Name],(G90&gt;=Table3[start])*(G90&lt;=Table3[end])),"**No associated Holiday"))))</f>
        <v/>
      </c>
      <c r="G90" s="36"/>
      <c r="I90" s="31"/>
    </row>
    <row r="91" spans="5:9" x14ac:dyDescent="0.35">
      <c r="E91" s="289" t="str" cm="1">
        <f t="array" ref="E91">IF(IFERROR(_xlfn.TEXTJOIN(", ",TRUE,TEXT(INDEX(Table3[Date],MATCH(_xlfn.FILTERXML("&lt;root&gt;&lt;item&gt;"&amp;SUBSTITUTE(F91,", ","&lt;/item&gt;&lt;item&gt;")&amp;"&lt;/item&gt;&lt;/root&gt;","//item"),Table3[Holiday Name],0)),"m/d/yyyy")),G91)="","",IFERROR(_xlfn.TEXTJOIN(", ",TRUE,TEXT(INDEX(Table3[Date],MATCH(_xlfn.FILTERXML("&lt;root&gt;&lt;item&gt;"&amp;SUBSTITUTE(F91,", ","&lt;/item&gt;&lt;item&gt;")&amp;"&lt;/item&gt;&lt;/root&gt;","//item"),Table3[Holiday Name],0)),"m/d/yyyy")),G91))</f>
        <v/>
      </c>
      <c r="F91" s="234" t="str" cm="1">
        <f t="array" ref="F91">IF(G91="","",IF(_xlfn.TEXTJOIN(", ",TRUE,IFERROR(_xlfn._xlws.FILTER(Table3[Holiday Name],(G91&gt;=Table3[start])*(G91&lt;=Table3[end])),"**No associated Holiday"))="","",_xlfn.TEXTJOIN(", ",TRUE,IFERROR(_xlfn._xlws.FILTER(Table3[Holiday Name],(G91&gt;=Table3[start])*(G91&lt;=Table3[end])),"**No associated Holiday"))))</f>
        <v/>
      </c>
      <c r="G91" s="36"/>
      <c r="I91" s="31"/>
    </row>
    <row r="92" spans="5:9" x14ac:dyDescent="0.35">
      <c r="E92" s="289" t="str" cm="1">
        <f t="array" ref="E92">IF(IFERROR(_xlfn.TEXTJOIN(", ",TRUE,TEXT(INDEX(Table3[Date],MATCH(_xlfn.FILTERXML("&lt;root&gt;&lt;item&gt;"&amp;SUBSTITUTE(F92,", ","&lt;/item&gt;&lt;item&gt;")&amp;"&lt;/item&gt;&lt;/root&gt;","//item"),Table3[Holiday Name],0)),"m/d/yyyy")),G92)="","",IFERROR(_xlfn.TEXTJOIN(", ",TRUE,TEXT(INDEX(Table3[Date],MATCH(_xlfn.FILTERXML("&lt;root&gt;&lt;item&gt;"&amp;SUBSTITUTE(F92,", ","&lt;/item&gt;&lt;item&gt;")&amp;"&lt;/item&gt;&lt;/root&gt;","//item"),Table3[Holiday Name],0)),"m/d/yyyy")),G92))</f>
        <v/>
      </c>
      <c r="F92" s="234" t="str" cm="1">
        <f t="array" ref="F92">IF(G92="","",IF(_xlfn.TEXTJOIN(", ",TRUE,IFERROR(_xlfn._xlws.FILTER(Table3[Holiday Name],(G92&gt;=Table3[start])*(G92&lt;=Table3[end])),"**No associated Holiday"))="","",_xlfn.TEXTJOIN(", ",TRUE,IFERROR(_xlfn._xlws.FILTER(Table3[Holiday Name],(G92&gt;=Table3[start])*(G92&lt;=Table3[end])),"**No associated Holiday"))))</f>
        <v/>
      </c>
      <c r="G92" s="36"/>
      <c r="I92" s="31"/>
    </row>
    <row r="93" spans="5:9" x14ac:dyDescent="0.35">
      <c r="E93" s="289" t="str" cm="1">
        <f t="array" ref="E93">IF(IFERROR(_xlfn.TEXTJOIN(", ",TRUE,TEXT(INDEX(Table3[Date],MATCH(_xlfn.FILTERXML("&lt;root&gt;&lt;item&gt;"&amp;SUBSTITUTE(F93,", ","&lt;/item&gt;&lt;item&gt;")&amp;"&lt;/item&gt;&lt;/root&gt;","//item"),Table3[Holiday Name],0)),"m/d/yyyy")),G93)="","",IFERROR(_xlfn.TEXTJOIN(", ",TRUE,TEXT(INDEX(Table3[Date],MATCH(_xlfn.FILTERXML("&lt;root&gt;&lt;item&gt;"&amp;SUBSTITUTE(F93,", ","&lt;/item&gt;&lt;item&gt;")&amp;"&lt;/item&gt;&lt;/root&gt;","//item"),Table3[Holiday Name],0)),"m/d/yyyy")),G93))</f>
        <v/>
      </c>
      <c r="F93" s="234" t="str" cm="1">
        <f t="array" ref="F93">IF(G93="","",IF(_xlfn.TEXTJOIN(", ",TRUE,IFERROR(_xlfn._xlws.FILTER(Table3[Holiday Name],(G93&gt;=Table3[start])*(G93&lt;=Table3[end])),"**No associated Holiday"))="","",_xlfn.TEXTJOIN(", ",TRUE,IFERROR(_xlfn._xlws.FILTER(Table3[Holiday Name],(G93&gt;=Table3[start])*(G93&lt;=Table3[end])),"**No associated Holiday"))))</f>
        <v/>
      </c>
      <c r="G93" s="36"/>
      <c r="I93" s="31"/>
    </row>
    <row r="94" spans="5:9" x14ac:dyDescent="0.35">
      <c r="E94" s="289" t="str" cm="1">
        <f t="array" ref="E94">IF(IFERROR(_xlfn.TEXTJOIN(", ",TRUE,TEXT(INDEX(Table3[Date],MATCH(_xlfn.FILTERXML("&lt;root&gt;&lt;item&gt;"&amp;SUBSTITUTE(F94,", ","&lt;/item&gt;&lt;item&gt;")&amp;"&lt;/item&gt;&lt;/root&gt;","//item"),Table3[Holiday Name],0)),"m/d/yyyy")),G94)="","",IFERROR(_xlfn.TEXTJOIN(", ",TRUE,TEXT(INDEX(Table3[Date],MATCH(_xlfn.FILTERXML("&lt;root&gt;&lt;item&gt;"&amp;SUBSTITUTE(F94,", ","&lt;/item&gt;&lt;item&gt;")&amp;"&lt;/item&gt;&lt;/root&gt;","//item"),Table3[Holiday Name],0)),"m/d/yyyy")),G94))</f>
        <v/>
      </c>
      <c r="F94" s="234" t="str" cm="1">
        <f t="array" ref="F94">IF(G94="","",IF(_xlfn.TEXTJOIN(", ",TRUE,IFERROR(_xlfn._xlws.FILTER(Table3[Holiday Name],(G94&gt;=Table3[start])*(G94&lt;=Table3[end])),"**No associated Holiday"))="","",_xlfn.TEXTJOIN(", ",TRUE,IFERROR(_xlfn._xlws.FILTER(Table3[Holiday Name],(G94&gt;=Table3[start])*(G94&lt;=Table3[end])),"**No associated Holiday"))))</f>
        <v/>
      </c>
      <c r="G94" s="36"/>
      <c r="I94" s="31"/>
    </row>
    <row r="95" spans="5:9" x14ac:dyDescent="0.35">
      <c r="E95" s="289" t="str" cm="1">
        <f t="array" ref="E95">IF(IFERROR(_xlfn.TEXTJOIN(", ",TRUE,TEXT(INDEX(Table3[Date],MATCH(_xlfn.FILTERXML("&lt;root&gt;&lt;item&gt;"&amp;SUBSTITUTE(F95,", ","&lt;/item&gt;&lt;item&gt;")&amp;"&lt;/item&gt;&lt;/root&gt;","//item"),Table3[Holiday Name],0)),"m/d/yyyy")),G95)="","",IFERROR(_xlfn.TEXTJOIN(", ",TRUE,TEXT(INDEX(Table3[Date],MATCH(_xlfn.FILTERXML("&lt;root&gt;&lt;item&gt;"&amp;SUBSTITUTE(F95,", ","&lt;/item&gt;&lt;item&gt;")&amp;"&lt;/item&gt;&lt;/root&gt;","//item"),Table3[Holiday Name],0)),"m/d/yyyy")),G95))</f>
        <v/>
      </c>
      <c r="F95" s="234" t="str" cm="1">
        <f t="array" ref="F95">IF(G95="","",IF(_xlfn.TEXTJOIN(", ",TRUE,IFERROR(_xlfn._xlws.FILTER(Table3[Holiday Name],(G95&gt;=Table3[start])*(G95&lt;=Table3[end])),"**No associated Holiday"))="","",_xlfn.TEXTJOIN(", ",TRUE,IFERROR(_xlfn._xlws.FILTER(Table3[Holiday Name],(G95&gt;=Table3[start])*(G95&lt;=Table3[end])),"**No associated Holiday"))))</f>
        <v/>
      </c>
      <c r="G95" s="36"/>
      <c r="I95" s="31"/>
    </row>
    <row r="96" spans="5:9" x14ac:dyDescent="0.35">
      <c r="E96" s="289" t="str" cm="1">
        <f t="array" ref="E96">IF(IFERROR(_xlfn.TEXTJOIN(", ",TRUE,TEXT(INDEX(Table3[Date],MATCH(_xlfn.FILTERXML("&lt;root&gt;&lt;item&gt;"&amp;SUBSTITUTE(F96,", ","&lt;/item&gt;&lt;item&gt;")&amp;"&lt;/item&gt;&lt;/root&gt;","//item"),Table3[Holiday Name],0)),"m/d/yyyy")),G96)="","",IFERROR(_xlfn.TEXTJOIN(", ",TRUE,TEXT(INDEX(Table3[Date],MATCH(_xlfn.FILTERXML("&lt;root&gt;&lt;item&gt;"&amp;SUBSTITUTE(F96,", ","&lt;/item&gt;&lt;item&gt;")&amp;"&lt;/item&gt;&lt;/root&gt;","//item"),Table3[Holiday Name],0)),"m/d/yyyy")),G96))</f>
        <v/>
      </c>
      <c r="F96" s="234" t="str" cm="1">
        <f t="array" ref="F96">IF(G96="","",IF(_xlfn.TEXTJOIN(", ",TRUE,IFERROR(_xlfn._xlws.FILTER(Table3[Holiday Name],(G96&gt;=Table3[start])*(G96&lt;=Table3[end])),"**No associated Holiday"))="","",_xlfn.TEXTJOIN(", ",TRUE,IFERROR(_xlfn._xlws.FILTER(Table3[Holiday Name],(G96&gt;=Table3[start])*(G96&lt;=Table3[end])),"**No associated Holiday"))))</f>
        <v/>
      </c>
      <c r="G96" s="36"/>
      <c r="I96" s="31"/>
    </row>
    <row r="97" spans="5:9" x14ac:dyDescent="0.35">
      <c r="E97" s="289" t="str" cm="1">
        <f t="array" ref="E97">IF(IFERROR(_xlfn.TEXTJOIN(", ",TRUE,TEXT(INDEX(Table3[Date],MATCH(_xlfn.FILTERXML("&lt;root&gt;&lt;item&gt;"&amp;SUBSTITUTE(F97,", ","&lt;/item&gt;&lt;item&gt;")&amp;"&lt;/item&gt;&lt;/root&gt;","//item"),Table3[Holiday Name],0)),"m/d/yyyy")),G97)="","",IFERROR(_xlfn.TEXTJOIN(", ",TRUE,TEXT(INDEX(Table3[Date],MATCH(_xlfn.FILTERXML("&lt;root&gt;&lt;item&gt;"&amp;SUBSTITUTE(F97,", ","&lt;/item&gt;&lt;item&gt;")&amp;"&lt;/item&gt;&lt;/root&gt;","//item"),Table3[Holiday Name],0)),"m/d/yyyy")),G97))</f>
        <v/>
      </c>
      <c r="F97" s="234" t="str" cm="1">
        <f t="array" ref="F97">IF(G97="","",IF(_xlfn.TEXTJOIN(", ",TRUE,IFERROR(_xlfn._xlws.FILTER(Table3[Holiday Name],(G97&gt;=Table3[start])*(G97&lt;=Table3[end])),"**No associated Holiday"))="","",_xlfn.TEXTJOIN(", ",TRUE,IFERROR(_xlfn._xlws.FILTER(Table3[Holiday Name],(G97&gt;=Table3[start])*(G97&lt;=Table3[end])),"**No associated Holiday"))))</f>
        <v/>
      </c>
      <c r="G97" s="36"/>
      <c r="I97" s="31"/>
    </row>
    <row r="98" spans="5:9" x14ac:dyDescent="0.35">
      <c r="E98" s="289" t="str" cm="1">
        <f t="array" ref="E98">IF(IFERROR(_xlfn.TEXTJOIN(", ",TRUE,TEXT(INDEX(Table3[Date],MATCH(_xlfn.FILTERXML("&lt;root&gt;&lt;item&gt;"&amp;SUBSTITUTE(F98,", ","&lt;/item&gt;&lt;item&gt;")&amp;"&lt;/item&gt;&lt;/root&gt;","//item"),Table3[Holiday Name],0)),"m/d/yyyy")),G98)="","",IFERROR(_xlfn.TEXTJOIN(", ",TRUE,TEXT(INDEX(Table3[Date],MATCH(_xlfn.FILTERXML("&lt;root&gt;&lt;item&gt;"&amp;SUBSTITUTE(F98,", ","&lt;/item&gt;&lt;item&gt;")&amp;"&lt;/item&gt;&lt;/root&gt;","//item"),Table3[Holiday Name],0)),"m/d/yyyy")),G98))</f>
        <v/>
      </c>
      <c r="F98" s="234" t="str" cm="1">
        <f t="array" ref="F98">IF(G98="","",IF(_xlfn.TEXTJOIN(", ",TRUE,IFERROR(_xlfn._xlws.FILTER(Table3[Holiday Name],(G98&gt;=Table3[start])*(G98&lt;=Table3[end])),"**No associated Holiday"))="","",_xlfn.TEXTJOIN(", ",TRUE,IFERROR(_xlfn._xlws.FILTER(Table3[Holiday Name],(G98&gt;=Table3[start])*(G98&lt;=Table3[end])),"**No associated Holiday"))))</f>
        <v/>
      </c>
      <c r="G98" s="36"/>
      <c r="I98" s="31"/>
    </row>
    <row r="99" spans="5:9" x14ac:dyDescent="0.35">
      <c r="E99" s="289" t="str" cm="1">
        <f t="array" ref="E99">IF(IFERROR(_xlfn.TEXTJOIN(", ",TRUE,TEXT(INDEX(Table3[Date],MATCH(_xlfn.FILTERXML("&lt;root&gt;&lt;item&gt;"&amp;SUBSTITUTE(F99,", ","&lt;/item&gt;&lt;item&gt;")&amp;"&lt;/item&gt;&lt;/root&gt;","//item"),Table3[Holiday Name],0)),"m/d/yyyy")),G99)="","",IFERROR(_xlfn.TEXTJOIN(", ",TRUE,TEXT(INDEX(Table3[Date],MATCH(_xlfn.FILTERXML("&lt;root&gt;&lt;item&gt;"&amp;SUBSTITUTE(F99,", ","&lt;/item&gt;&lt;item&gt;")&amp;"&lt;/item&gt;&lt;/root&gt;","//item"),Table3[Holiday Name],0)),"m/d/yyyy")),G99))</f>
        <v/>
      </c>
      <c r="F99" s="234" t="str" cm="1">
        <f t="array" ref="F99">IF(G99="","",IF(_xlfn.TEXTJOIN(", ",TRUE,IFERROR(_xlfn._xlws.FILTER(Table3[Holiday Name],(G99&gt;=Table3[start])*(G99&lt;=Table3[end])),"**No associated Holiday"))="","",_xlfn.TEXTJOIN(", ",TRUE,IFERROR(_xlfn._xlws.FILTER(Table3[Holiday Name],(G99&gt;=Table3[start])*(G99&lt;=Table3[end])),"**No associated Holiday"))))</f>
        <v/>
      </c>
      <c r="G99" s="36"/>
      <c r="I99" s="31"/>
    </row>
    <row r="100" spans="5:9" x14ac:dyDescent="0.35">
      <c r="E100" s="289" t="str" cm="1">
        <f t="array" ref="E100">IF(IFERROR(_xlfn.TEXTJOIN(", ",TRUE,TEXT(INDEX(Table3[Date],MATCH(_xlfn.FILTERXML("&lt;root&gt;&lt;item&gt;"&amp;SUBSTITUTE(F100,", ","&lt;/item&gt;&lt;item&gt;")&amp;"&lt;/item&gt;&lt;/root&gt;","//item"),Table3[Holiday Name],0)),"m/d/yyyy")),G100)="","",IFERROR(_xlfn.TEXTJOIN(", ",TRUE,TEXT(INDEX(Table3[Date],MATCH(_xlfn.FILTERXML("&lt;root&gt;&lt;item&gt;"&amp;SUBSTITUTE(F100,", ","&lt;/item&gt;&lt;item&gt;")&amp;"&lt;/item&gt;&lt;/root&gt;","//item"),Table3[Holiday Name],0)),"m/d/yyyy")),G100))</f>
        <v/>
      </c>
      <c r="F100" s="234" t="str" cm="1">
        <f t="array" ref="F100">IF(G100="","",IF(_xlfn.TEXTJOIN(", ",TRUE,IFERROR(_xlfn._xlws.FILTER(Table3[Holiday Name],(G100&gt;=Table3[start])*(G100&lt;=Table3[end])),"**No associated Holiday"))="","",_xlfn.TEXTJOIN(", ",TRUE,IFERROR(_xlfn._xlws.FILTER(Table3[Holiday Name],(G100&gt;=Table3[start])*(G100&lt;=Table3[end])),"**No associated Holiday"))))</f>
        <v/>
      </c>
      <c r="G100" s="36"/>
      <c r="I100" s="31"/>
    </row>
    <row r="101" spans="5:9" x14ac:dyDescent="0.35">
      <c r="E101" s="289" t="str" cm="1">
        <f t="array" ref="E101">IF(IFERROR(_xlfn.TEXTJOIN(", ",TRUE,TEXT(INDEX(Table3[Date],MATCH(_xlfn.FILTERXML("&lt;root&gt;&lt;item&gt;"&amp;SUBSTITUTE(F101,", ","&lt;/item&gt;&lt;item&gt;")&amp;"&lt;/item&gt;&lt;/root&gt;","//item"),Table3[Holiday Name],0)),"m/d/yyyy")),G101)="","",IFERROR(_xlfn.TEXTJOIN(", ",TRUE,TEXT(INDEX(Table3[Date],MATCH(_xlfn.FILTERXML("&lt;root&gt;&lt;item&gt;"&amp;SUBSTITUTE(F101,", ","&lt;/item&gt;&lt;item&gt;")&amp;"&lt;/item&gt;&lt;/root&gt;","//item"),Table3[Holiday Name],0)),"m/d/yyyy")),G101))</f>
        <v/>
      </c>
      <c r="F101" s="234" t="str" cm="1">
        <f t="array" ref="F101">IF(G101="","",IF(_xlfn.TEXTJOIN(", ",TRUE,IFERROR(_xlfn._xlws.FILTER(Table3[Holiday Name],(G101&gt;=Table3[start])*(G101&lt;=Table3[end])),"**No associated Holiday"))="","",_xlfn.TEXTJOIN(", ",TRUE,IFERROR(_xlfn._xlws.FILTER(Table3[Holiday Name],(G101&gt;=Table3[start])*(G101&lt;=Table3[end])),"**No associated Holiday"))))</f>
        <v/>
      </c>
      <c r="G101" s="36"/>
      <c r="I101" s="31"/>
    </row>
    <row r="102" spans="5:9" x14ac:dyDescent="0.35">
      <c r="E102" s="289" t="str" cm="1">
        <f t="array" ref="E102">IF(IFERROR(_xlfn.TEXTJOIN(", ",TRUE,TEXT(INDEX(Table3[Date],MATCH(_xlfn.FILTERXML("&lt;root&gt;&lt;item&gt;"&amp;SUBSTITUTE(F102,", ","&lt;/item&gt;&lt;item&gt;")&amp;"&lt;/item&gt;&lt;/root&gt;","//item"),Table3[Holiday Name],0)),"m/d/yyyy")),G102)="","",IFERROR(_xlfn.TEXTJOIN(", ",TRUE,TEXT(INDEX(Table3[Date],MATCH(_xlfn.FILTERXML("&lt;root&gt;&lt;item&gt;"&amp;SUBSTITUTE(F102,", ","&lt;/item&gt;&lt;item&gt;")&amp;"&lt;/item&gt;&lt;/root&gt;","//item"),Table3[Holiday Name],0)),"m/d/yyyy")),G102))</f>
        <v/>
      </c>
      <c r="F102" s="234" t="str" cm="1">
        <f t="array" ref="F102">IF(G102="","",IF(_xlfn.TEXTJOIN(", ",TRUE,IFERROR(_xlfn._xlws.FILTER(Table3[Holiday Name],(G102&gt;=Table3[start])*(G102&lt;=Table3[end])),"**No associated Holiday"))="","",_xlfn.TEXTJOIN(", ",TRUE,IFERROR(_xlfn._xlws.FILTER(Table3[Holiday Name],(G102&gt;=Table3[start])*(G102&lt;=Table3[end])),"**No associated Holiday"))))</f>
        <v/>
      </c>
      <c r="G102" s="36"/>
      <c r="I102" s="31"/>
    </row>
    <row r="103" spans="5:9" x14ac:dyDescent="0.35">
      <c r="E103" s="289" t="str" cm="1">
        <f t="array" ref="E103">IF(IFERROR(_xlfn.TEXTJOIN(", ",TRUE,TEXT(INDEX(Table3[Date],MATCH(_xlfn.FILTERXML("&lt;root&gt;&lt;item&gt;"&amp;SUBSTITUTE(F103,", ","&lt;/item&gt;&lt;item&gt;")&amp;"&lt;/item&gt;&lt;/root&gt;","//item"),Table3[Holiday Name],0)),"m/d/yyyy")),G103)="","",IFERROR(_xlfn.TEXTJOIN(", ",TRUE,TEXT(INDEX(Table3[Date],MATCH(_xlfn.FILTERXML("&lt;root&gt;&lt;item&gt;"&amp;SUBSTITUTE(F103,", ","&lt;/item&gt;&lt;item&gt;")&amp;"&lt;/item&gt;&lt;/root&gt;","//item"),Table3[Holiday Name],0)),"m/d/yyyy")),G103))</f>
        <v/>
      </c>
      <c r="F103" s="234" t="str" cm="1">
        <f t="array" ref="F103">IF(G103="","",IF(_xlfn.TEXTJOIN(", ",TRUE,IFERROR(_xlfn._xlws.FILTER(Table3[Holiday Name],(G103&gt;=Table3[start])*(G103&lt;=Table3[end])),"**No associated Holiday"))="","",_xlfn.TEXTJOIN(", ",TRUE,IFERROR(_xlfn._xlws.FILTER(Table3[Holiday Name],(G103&gt;=Table3[start])*(G103&lt;=Table3[end])),"**No associated Holiday"))))</f>
        <v/>
      </c>
      <c r="G103" s="36"/>
      <c r="I103" s="31"/>
    </row>
    <row r="104" spans="5:9" x14ac:dyDescent="0.35">
      <c r="E104" s="289" t="str" cm="1">
        <f t="array" ref="E104">IF(IFERROR(_xlfn.TEXTJOIN(", ",TRUE,TEXT(INDEX(Table3[Date],MATCH(_xlfn.FILTERXML("&lt;root&gt;&lt;item&gt;"&amp;SUBSTITUTE(F104,", ","&lt;/item&gt;&lt;item&gt;")&amp;"&lt;/item&gt;&lt;/root&gt;","//item"),Table3[Holiday Name],0)),"m/d/yyyy")),G104)="","",IFERROR(_xlfn.TEXTJOIN(", ",TRUE,TEXT(INDEX(Table3[Date],MATCH(_xlfn.FILTERXML("&lt;root&gt;&lt;item&gt;"&amp;SUBSTITUTE(F104,", ","&lt;/item&gt;&lt;item&gt;")&amp;"&lt;/item&gt;&lt;/root&gt;","//item"),Table3[Holiday Name],0)),"m/d/yyyy")),G104))</f>
        <v/>
      </c>
      <c r="F104" s="234" t="str" cm="1">
        <f t="array" ref="F104">IF(G104="","",IF(_xlfn.TEXTJOIN(", ",TRUE,IFERROR(_xlfn._xlws.FILTER(Table3[Holiday Name],(G104&gt;=Table3[start])*(G104&lt;=Table3[end])),"**No associated Holiday"))="","",_xlfn.TEXTJOIN(", ",TRUE,IFERROR(_xlfn._xlws.FILTER(Table3[Holiday Name],(G104&gt;=Table3[start])*(G104&lt;=Table3[end])),"**No associated Holiday"))))</f>
        <v/>
      </c>
      <c r="G104" s="36"/>
      <c r="I104" s="31"/>
    </row>
    <row r="105" spans="5:9" x14ac:dyDescent="0.35">
      <c r="E105" s="289" t="str" cm="1">
        <f t="array" ref="E105">IF(IFERROR(_xlfn.TEXTJOIN(", ",TRUE,TEXT(INDEX(Table3[Date],MATCH(_xlfn.FILTERXML("&lt;root&gt;&lt;item&gt;"&amp;SUBSTITUTE(F105,", ","&lt;/item&gt;&lt;item&gt;")&amp;"&lt;/item&gt;&lt;/root&gt;","//item"),Table3[Holiday Name],0)),"m/d/yyyy")),G105)="","",IFERROR(_xlfn.TEXTJOIN(", ",TRUE,TEXT(INDEX(Table3[Date],MATCH(_xlfn.FILTERXML("&lt;root&gt;&lt;item&gt;"&amp;SUBSTITUTE(F105,", ","&lt;/item&gt;&lt;item&gt;")&amp;"&lt;/item&gt;&lt;/root&gt;","//item"),Table3[Holiday Name],0)),"m/d/yyyy")),G105))</f>
        <v/>
      </c>
      <c r="F105" s="234" t="str" cm="1">
        <f t="array" ref="F105">IF(G105="","",IF(_xlfn.TEXTJOIN(", ",TRUE,IFERROR(_xlfn._xlws.FILTER(Table3[Holiday Name],(G105&gt;=Table3[start])*(G105&lt;=Table3[end])),"**No associated Holiday"))="","",_xlfn.TEXTJOIN(", ",TRUE,IFERROR(_xlfn._xlws.FILTER(Table3[Holiday Name],(G105&gt;=Table3[start])*(G105&lt;=Table3[end])),"**No associated Holiday"))))</f>
        <v/>
      </c>
      <c r="G105" s="36"/>
      <c r="I105" s="31"/>
    </row>
    <row r="106" spans="5:9" x14ac:dyDescent="0.35">
      <c r="E106" s="289" t="str" cm="1">
        <f t="array" ref="E106">IF(IFERROR(_xlfn.TEXTJOIN(", ",TRUE,TEXT(INDEX(Table3[Date],MATCH(_xlfn.FILTERXML("&lt;root&gt;&lt;item&gt;"&amp;SUBSTITUTE(F106,", ","&lt;/item&gt;&lt;item&gt;")&amp;"&lt;/item&gt;&lt;/root&gt;","//item"),Table3[Holiday Name],0)),"m/d/yyyy")),G106)="","",IFERROR(_xlfn.TEXTJOIN(", ",TRUE,TEXT(INDEX(Table3[Date],MATCH(_xlfn.FILTERXML("&lt;root&gt;&lt;item&gt;"&amp;SUBSTITUTE(F106,", ","&lt;/item&gt;&lt;item&gt;")&amp;"&lt;/item&gt;&lt;/root&gt;","//item"),Table3[Holiday Name],0)),"m/d/yyyy")),G106))</f>
        <v/>
      </c>
      <c r="F106" s="234" t="str" cm="1">
        <f t="array" ref="F106">IF(G106="","",IF(_xlfn.TEXTJOIN(", ",TRUE,IFERROR(_xlfn._xlws.FILTER(Table3[Holiday Name],(G106&gt;=Table3[start])*(G106&lt;=Table3[end])),"**No associated Holiday"))="","",_xlfn.TEXTJOIN(", ",TRUE,IFERROR(_xlfn._xlws.FILTER(Table3[Holiday Name],(G106&gt;=Table3[start])*(G106&lt;=Table3[end])),"**No associated Holiday"))))</f>
        <v/>
      </c>
      <c r="G106" s="36"/>
      <c r="I106" s="31"/>
    </row>
    <row r="107" spans="5:9" x14ac:dyDescent="0.35">
      <c r="E107" s="289" t="str" cm="1">
        <f t="array" ref="E107">IF(IFERROR(_xlfn.TEXTJOIN(", ",TRUE,TEXT(INDEX(Table3[Date],MATCH(_xlfn.FILTERXML("&lt;root&gt;&lt;item&gt;"&amp;SUBSTITUTE(F107,", ","&lt;/item&gt;&lt;item&gt;")&amp;"&lt;/item&gt;&lt;/root&gt;","//item"),Table3[Holiday Name],0)),"m/d/yyyy")),G107)="","",IFERROR(_xlfn.TEXTJOIN(", ",TRUE,TEXT(INDEX(Table3[Date],MATCH(_xlfn.FILTERXML("&lt;root&gt;&lt;item&gt;"&amp;SUBSTITUTE(F107,", ","&lt;/item&gt;&lt;item&gt;")&amp;"&lt;/item&gt;&lt;/root&gt;","//item"),Table3[Holiday Name],0)),"m/d/yyyy")),G107))</f>
        <v/>
      </c>
      <c r="F107" s="234" t="str" cm="1">
        <f t="array" ref="F107">IF(G107="","",IF(_xlfn.TEXTJOIN(", ",TRUE,IFERROR(_xlfn._xlws.FILTER(Table3[Holiday Name],(G107&gt;=Table3[start])*(G107&lt;=Table3[end])),"**No associated Holiday"))="","",_xlfn.TEXTJOIN(", ",TRUE,IFERROR(_xlfn._xlws.FILTER(Table3[Holiday Name],(G107&gt;=Table3[start])*(G107&lt;=Table3[end])),"**No associated Holiday"))))</f>
        <v/>
      </c>
      <c r="G107" s="36"/>
      <c r="I107" s="31"/>
    </row>
    <row r="108" spans="5:9" x14ac:dyDescent="0.35">
      <c r="E108" s="289" t="str" cm="1">
        <f t="array" ref="E108">IF(IFERROR(_xlfn.TEXTJOIN(", ",TRUE,TEXT(INDEX(Table3[Date],MATCH(_xlfn.FILTERXML("&lt;root&gt;&lt;item&gt;"&amp;SUBSTITUTE(F108,", ","&lt;/item&gt;&lt;item&gt;")&amp;"&lt;/item&gt;&lt;/root&gt;","//item"),Table3[Holiday Name],0)),"m/d/yyyy")),G108)="","",IFERROR(_xlfn.TEXTJOIN(", ",TRUE,TEXT(INDEX(Table3[Date],MATCH(_xlfn.FILTERXML("&lt;root&gt;&lt;item&gt;"&amp;SUBSTITUTE(F108,", ","&lt;/item&gt;&lt;item&gt;")&amp;"&lt;/item&gt;&lt;/root&gt;","//item"),Table3[Holiday Name],0)),"m/d/yyyy")),G108))</f>
        <v/>
      </c>
      <c r="F108" s="234" t="str" cm="1">
        <f t="array" ref="F108">IF(G108="","",IF(_xlfn.TEXTJOIN(", ",TRUE,IFERROR(_xlfn._xlws.FILTER(Table3[Holiday Name],(G108&gt;=Table3[start])*(G108&lt;=Table3[end])),"**No associated Holiday"))="","",_xlfn.TEXTJOIN(", ",TRUE,IFERROR(_xlfn._xlws.FILTER(Table3[Holiday Name],(G108&gt;=Table3[start])*(G108&lt;=Table3[end])),"**No associated Holiday"))))</f>
        <v/>
      </c>
      <c r="G108" s="36"/>
      <c r="I108" s="31"/>
    </row>
    <row r="109" spans="5:9" x14ac:dyDescent="0.35">
      <c r="E109" s="289" t="str" cm="1">
        <f t="array" ref="E109">IF(IFERROR(_xlfn.TEXTJOIN(", ",TRUE,TEXT(INDEX(Table3[Date],MATCH(_xlfn.FILTERXML("&lt;root&gt;&lt;item&gt;"&amp;SUBSTITUTE(F109,", ","&lt;/item&gt;&lt;item&gt;")&amp;"&lt;/item&gt;&lt;/root&gt;","//item"),Table3[Holiday Name],0)),"m/d/yyyy")),G109)="","",IFERROR(_xlfn.TEXTJOIN(", ",TRUE,TEXT(INDEX(Table3[Date],MATCH(_xlfn.FILTERXML("&lt;root&gt;&lt;item&gt;"&amp;SUBSTITUTE(F109,", ","&lt;/item&gt;&lt;item&gt;")&amp;"&lt;/item&gt;&lt;/root&gt;","//item"),Table3[Holiday Name],0)),"m/d/yyyy")),G109))</f>
        <v/>
      </c>
      <c r="F109" s="234" t="str" cm="1">
        <f t="array" ref="F109">IF(G109="","",IF(_xlfn.TEXTJOIN(", ",TRUE,IFERROR(_xlfn._xlws.FILTER(Table3[Holiday Name],(G109&gt;=Table3[start])*(G109&lt;=Table3[end])),"**No associated Holiday"))="","",_xlfn.TEXTJOIN(", ",TRUE,IFERROR(_xlfn._xlws.FILTER(Table3[Holiday Name],(G109&gt;=Table3[start])*(G109&lt;=Table3[end])),"**No associated Holiday"))))</f>
        <v/>
      </c>
      <c r="G109" s="36"/>
      <c r="I109" s="31"/>
    </row>
    <row r="110" spans="5:9" x14ac:dyDescent="0.35">
      <c r="E110" s="289" t="str" cm="1">
        <f t="array" ref="E110">IF(IFERROR(_xlfn.TEXTJOIN(", ",TRUE,TEXT(INDEX(Table3[Date],MATCH(_xlfn.FILTERXML("&lt;root&gt;&lt;item&gt;"&amp;SUBSTITUTE(F110,", ","&lt;/item&gt;&lt;item&gt;")&amp;"&lt;/item&gt;&lt;/root&gt;","//item"),Table3[Holiday Name],0)),"m/d/yyyy")),G110)="","",IFERROR(_xlfn.TEXTJOIN(", ",TRUE,TEXT(INDEX(Table3[Date],MATCH(_xlfn.FILTERXML("&lt;root&gt;&lt;item&gt;"&amp;SUBSTITUTE(F110,", ","&lt;/item&gt;&lt;item&gt;")&amp;"&lt;/item&gt;&lt;/root&gt;","//item"),Table3[Holiday Name],0)),"m/d/yyyy")),G110))</f>
        <v/>
      </c>
      <c r="F110" s="234" t="str" cm="1">
        <f t="array" ref="F110">IF(G110="","",IF(_xlfn.TEXTJOIN(", ",TRUE,IFERROR(_xlfn._xlws.FILTER(Table3[Holiday Name],(G110&gt;=Table3[start])*(G110&lt;=Table3[end])),"**No associated Holiday"))="","",_xlfn.TEXTJOIN(", ",TRUE,IFERROR(_xlfn._xlws.FILTER(Table3[Holiday Name],(G110&gt;=Table3[start])*(G110&lt;=Table3[end])),"**No associated Holiday"))))</f>
        <v/>
      </c>
      <c r="G110" s="36"/>
      <c r="I110" s="31"/>
    </row>
    <row r="111" spans="5:9" x14ac:dyDescent="0.35">
      <c r="E111" s="289" t="str" cm="1">
        <f t="array" ref="E111">IF(IFERROR(_xlfn.TEXTJOIN(", ",TRUE,TEXT(INDEX(Table3[Date],MATCH(_xlfn.FILTERXML("&lt;root&gt;&lt;item&gt;"&amp;SUBSTITUTE(F111,", ","&lt;/item&gt;&lt;item&gt;")&amp;"&lt;/item&gt;&lt;/root&gt;","//item"),Table3[Holiday Name],0)),"m/d/yyyy")),G111)="","",IFERROR(_xlfn.TEXTJOIN(", ",TRUE,TEXT(INDEX(Table3[Date],MATCH(_xlfn.FILTERXML("&lt;root&gt;&lt;item&gt;"&amp;SUBSTITUTE(F111,", ","&lt;/item&gt;&lt;item&gt;")&amp;"&lt;/item&gt;&lt;/root&gt;","//item"),Table3[Holiday Name],0)),"m/d/yyyy")),G111))</f>
        <v/>
      </c>
      <c r="F111" s="234" t="str" cm="1">
        <f t="array" ref="F111">IF(G111="","",IF(_xlfn.TEXTJOIN(", ",TRUE,IFERROR(_xlfn._xlws.FILTER(Table3[Holiday Name],(G111&gt;=Table3[start])*(G111&lt;=Table3[end])),"**No associated Holiday"))="","",_xlfn.TEXTJOIN(", ",TRUE,IFERROR(_xlfn._xlws.FILTER(Table3[Holiday Name],(G111&gt;=Table3[start])*(G111&lt;=Table3[end])),"**No associated Holiday"))))</f>
        <v/>
      </c>
      <c r="G111" s="36"/>
      <c r="I111" s="31"/>
    </row>
    <row r="112" spans="5:9" x14ac:dyDescent="0.35">
      <c r="E112" s="289" t="str" cm="1">
        <f t="array" ref="E112">IF(IFERROR(_xlfn.TEXTJOIN(", ",TRUE,TEXT(INDEX(Table3[Date],MATCH(_xlfn.FILTERXML("&lt;root&gt;&lt;item&gt;"&amp;SUBSTITUTE(F112,", ","&lt;/item&gt;&lt;item&gt;")&amp;"&lt;/item&gt;&lt;/root&gt;","//item"),Table3[Holiday Name],0)),"m/d/yyyy")),G112)="","",IFERROR(_xlfn.TEXTJOIN(", ",TRUE,TEXT(INDEX(Table3[Date],MATCH(_xlfn.FILTERXML("&lt;root&gt;&lt;item&gt;"&amp;SUBSTITUTE(F112,", ","&lt;/item&gt;&lt;item&gt;")&amp;"&lt;/item&gt;&lt;/root&gt;","//item"),Table3[Holiday Name],0)),"m/d/yyyy")),G112))</f>
        <v/>
      </c>
      <c r="F112" s="234" t="str" cm="1">
        <f t="array" ref="F112">IF(G112="","",IF(_xlfn.TEXTJOIN(", ",TRUE,IFERROR(_xlfn._xlws.FILTER(Table3[Holiday Name],(G112&gt;=Table3[start])*(G112&lt;=Table3[end])),"**No associated Holiday"))="","",_xlfn.TEXTJOIN(", ",TRUE,IFERROR(_xlfn._xlws.FILTER(Table3[Holiday Name],(G112&gt;=Table3[start])*(G112&lt;=Table3[end])),"**No associated Holiday"))))</f>
        <v/>
      </c>
      <c r="G112" s="36"/>
      <c r="I112" s="31"/>
    </row>
    <row r="113" spans="5:9" x14ac:dyDescent="0.35">
      <c r="E113" s="289" t="str" cm="1">
        <f t="array" ref="E113">IF(IFERROR(_xlfn.TEXTJOIN(", ",TRUE,TEXT(INDEX(Table3[Date],MATCH(_xlfn.FILTERXML("&lt;root&gt;&lt;item&gt;"&amp;SUBSTITUTE(F113,", ","&lt;/item&gt;&lt;item&gt;")&amp;"&lt;/item&gt;&lt;/root&gt;","//item"),Table3[Holiday Name],0)),"m/d/yyyy")),G113)="","",IFERROR(_xlfn.TEXTJOIN(", ",TRUE,TEXT(INDEX(Table3[Date],MATCH(_xlfn.FILTERXML("&lt;root&gt;&lt;item&gt;"&amp;SUBSTITUTE(F113,", ","&lt;/item&gt;&lt;item&gt;")&amp;"&lt;/item&gt;&lt;/root&gt;","//item"),Table3[Holiday Name],0)),"m/d/yyyy")),G113))</f>
        <v/>
      </c>
      <c r="F113" s="234" t="str" cm="1">
        <f t="array" ref="F113">IF(G113="","",IF(_xlfn.TEXTJOIN(", ",TRUE,IFERROR(_xlfn._xlws.FILTER(Table3[Holiday Name],(G113&gt;=Table3[start])*(G113&lt;=Table3[end])),"**No associated Holiday"))="","",_xlfn.TEXTJOIN(", ",TRUE,IFERROR(_xlfn._xlws.FILTER(Table3[Holiday Name],(G113&gt;=Table3[start])*(G113&lt;=Table3[end])),"**No associated Holiday"))))</f>
        <v/>
      </c>
      <c r="G113" s="36"/>
      <c r="I113" s="31"/>
    </row>
    <row r="114" spans="5:9" x14ac:dyDescent="0.35">
      <c r="E114" s="289" t="str" cm="1">
        <f t="array" ref="E114">IF(IFERROR(_xlfn.TEXTJOIN(", ",TRUE,TEXT(INDEX(Table3[Date],MATCH(_xlfn.FILTERXML("&lt;root&gt;&lt;item&gt;"&amp;SUBSTITUTE(F114,", ","&lt;/item&gt;&lt;item&gt;")&amp;"&lt;/item&gt;&lt;/root&gt;","//item"),Table3[Holiday Name],0)),"m/d/yyyy")),G114)="","",IFERROR(_xlfn.TEXTJOIN(", ",TRUE,TEXT(INDEX(Table3[Date],MATCH(_xlfn.FILTERXML("&lt;root&gt;&lt;item&gt;"&amp;SUBSTITUTE(F114,", ","&lt;/item&gt;&lt;item&gt;")&amp;"&lt;/item&gt;&lt;/root&gt;","//item"),Table3[Holiday Name],0)),"m/d/yyyy")),G114))</f>
        <v/>
      </c>
      <c r="F114" s="234" t="str" cm="1">
        <f t="array" ref="F114">IF(G114="","",IF(_xlfn.TEXTJOIN(", ",TRUE,IFERROR(_xlfn._xlws.FILTER(Table3[Holiday Name],(G114&gt;=Table3[start])*(G114&lt;=Table3[end])),"**No associated Holiday"))="","",_xlfn.TEXTJOIN(", ",TRUE,IFERROR(_xlfn._xlws.FILTER(Table3[Holiday Name],(G114&gt;=Table3[start])*(G114&lt;=Table3[end])),"**No associated Holiday"))))</f>
        <v/>
      </c>
      <c r="G114" s="36"/>
      <c r="I114" s="31"/>
    </row>
    <row r="115" spans="5:9" x14ac:dyDescent="0.35">
      <c r="E115" s="289" t="str" cm="1">
        <f t="array" ref="E115">IF(IFERROR(_xlfn.TEXTJOIN(", ",TRUE,TEXT(INDEX(Table3[Date],MATCH(_xlfn.FILTERXML("&lt;root&gt;&lt;item&gt;"&amp;SUBSTITUTE(F115,", ","&lt;/item&gt;&lt;item&gt;")&amp;"&lt;/item&gt;&lt;/root&gt;","//item"),Table3[Holiday Name],0)),"m/d/yyyy")),G115)="","",IFERROR(_xlfn.TEXTJOIN(", ",TRUE,TEXT(INDEX(Table3[Date],MATCH(_xlfn.FILTERXML("&lt;root&gt;&lt;item&gt;"&amp;SUBSTITUTE(F115,", ","&lt;/item&gt;&lt;item&gt;")&amp;"&lt;/item&gt;&lt;/root&gt;","//item"),Table3[Holiday Name],0)),"m/d/yyyy")),G115))</f>
        <v/>
      </c>
      <c r="F115" s="234" t="str" cm="1">
        <f t="array" ref="F115">IF(G115="","",IF(_xlfn.TEXTJOIN(", ",TRUE,IFERROR(_xlfn._xlws.FILTER(Table3[Holiday Name],(G115&gt;=Table3[start])*(G115&lt;=Table3[end])),"**No associated Holiday"))="","",_xlfn.TEXTJOIN(", ",TRUE,IFERROR(_xlfn._xlws.FILTER(Table3[Holiday Name],(G115&gt;=Table3[start])*(G115&lt;=Table3[end])),"**No associated Holiday"))))</f>
        <v/>
      </c>
      <c r="G115" s="36"/>
      <c r="I115" s="31"/>
    </row>
    <row r="116" spans="5:9" x14ac:dyDescent="0.35">
      <c r="E116" s="289" t="str" cm="1">
        <f t="array" ref="E116">IF(IFERROR(_xlfn.TEXTJOIN(", ",TRUE,TEXT(INDEX(Table3[Date],MATCH(_xlfn.FILTERXML("&lt;root&gt;&lt;item&gt;"&amp;SUBSTITUTE(F116,", ","&lt;/item&gt;&lt;item&gt;")&amp;"&lt;/item&gt;&lt;/root&gt;","//item"),Table3[Holiday Name],0)),"m/d/yyyy")),G116)="","",IFERROR(_xlfn.TEXTJOIN(", ",TRUE,TEXT(INDEX(Table3[Date],MATCH(_xlfn.FILTERXML("&lt;root&gt;&lt;item&gt;"&amp;SUBSTITUTE(F116,", ","&lt;/item&gt;&lt;item&gt;")&amp;"&lt;/item&gt;&lt;/root&gt;","//item"),Table3[Holiday Name],0)),"m/d/yyyy")),G116))</f>
        <v/>
      </c>
      <c r="F116" s="234" t="str" cm="1">
        <f t="array" ref="F116">IF(G116="","",IF(_xlfn.TEXTJOIN(", ",TRUE,IFERROR(_xlfn._xlws.FILTER(Table3[Holiday Name],(G116&gt;=Table3[start])*(G116&lt;=Table3[end])),"**No associated Holiday"))="","",_xlfn.TEXTJOIN(", ",TRUE,IFERROR(_xlfn._xlws.FILTER(Table3[Holiday Name],(G116&gt;=Table3[start])*(G116&lt;=Table3[end])),"**No associated Holiday"))))</f>
        <v/>
      </c>
      <c r="G116" s="36"/>
      <c r="I116" s="31"/>
    </row>
    <row r="117" spans="5:9" x14ac:dyDescent="0.35">
      <c r="E117" s="289" t="str" cm="1">
        <f t="array" ref="E117">IF(IFERROR(_xlfn.TEXTJOIN(", ",TRUE,TEXT(INDEX(Table3[Date],MATCH(_xlfn.FILTERXML("&lt;root&gt;&lt;item&gt;"&amp;SUBSTITUTE(F117,", ","&lt;/item&gt;&lt;item&gt;")&amp;"&lt;/item&gt;&lt;/root&gt;","//item"),Table3[Holiday Name],0)),"m/d/yyyy")),G117)="","",IFERROR(_xlfn.TEXTJOIN(", ",TRUE,TEXT(INDEX(Table3[Date],MATCH(_xlfn.FILTERXML("&lt;root&gt;&lt;item&gt;"&amp;SUBSTITUTE(F117,", ","&lt;/item&gt;&lt;item&gt;")&amp;"&lt;/item&gt;&lt;/root&gt;","//item"),Table3[Holiday Name],0)),"m/d/yyyy")),G117))</f>
        <v/>
      </c>
      <c r="F117" s="234" t="str" cm="1">
        <f t="array" ref="F117">IF(G117="","",IF(_xlfn.TEXTJOIN(", ",TRUE,IFERROR(_xlfn._xlws.FILTER(Table3[Holiday Name],(G117&gt;=Table3[start])*(G117&lt;=Table3[end])),"**No associated Holiday"))="","",_xlfn.TEXTJOIN(", ",TRUE,IFERROR(_xlfn._xlws.FILTER(Table3[Holiday Name],(G117&gt;=Table3[start])*(G117&lt;=Table3[end])),"**No associated Holiday"))))</f>
        <v/>
      </c>
      <c r="G117" s="36"/>
      <c r="I117" s="31"/>
    </row>
    <row r="118" spans="5:9" x14ac:dyDescent="0.35">
      <c r="E118" s="289" t="str" cm="1">
        <f t="array" ref="E118">IF(IFERROR(_xlfn.TEXTJOIN(", ",TRUE,TEXT(INDEX(Table3[Date],MATCH(_xlfn.FILTERXML("&lt;root&gt;&lt;item&gt;"&amp;SUBSTITUTE(F118,", ","&lt;/item&gt;&lt;item&gt;")&amp;"&lt;/item&gt;&lt;/root&gt;","//item"),Table3[Holiday Name],0)),"m/d/yyyy")),G118)="","",IFERROR(_xlfn.TEXTJOIN(", ",TRUE,TEXT(INDEX(Table3[Date],MATCH(_xlfn.FILTERXML("&lt;root&gt;&lt;item&gt;"&amp;SUBSTITUTE(F118,", ","&lt;/item&gt;&lt;item&gt;")&amp;"&lt;/item&gt;&lt;/root&gt;","//item"),Table3[Holiday Name],0)),"m/d/yyyy")),G118))</f>
        <v/>
      </c>
      <c r="F118" s="234" t="str" cm="1">
        <f t="array" ref="F118">IF(G118="","",IF(_xlfn.TEXTJOIN(", ",TRUE,IFERROR(_xlfn._xlws.FILTER(Table3[Holiday Name],(G118&gt;=Table3[start])*(G118&lt;=Table3[end])),"**No associated Holiday"))="","",_xlfn.TEXTJOIN(", ",TRUE,IFERROR(_xlfn._xlws.FILTER(Table3[Holiday Name],(G118&gt;=Table3[start])*(G118&lt;=Table3[end])),"**No associated Holiday"))))</f>
        <v/>
      </c>
      <c r="G118" s="36"/>
      <c r="I118" s="31"/>
    </row>
    <row r="119" spans="5:9" x14ac:dyDescent="0.35">
      <c r="E119" s="289" t="str" cm="1">
        <f t="array" ref="E119">IF(IFERROR(_xlfn.TEXTJOIN(", ",TRUE,TEXT(INDEX(Table3[Date],MATCH(_xlfn.FILTERXML("&lt;root&gt;&lt;item&gt;"&amp;SUBSTITUTE(F119,", ","&lt;/item&gt;&lt;item&gt;")&amp;"&lt;/item&gt;&lt;/root&gt;","//item"),Table3[Holiday Name],0)),"m/d/yyyy")),G119)="","",IFERROR(_xlfn.TEXTJOIN(", ",TRUE,TEXT(INDEX(Table3[Date],MATCH(_xlfn.FILTERXML("&lt;root&gt;&lt;item&gt;"&amp;SUBSTITUTE(F119,", ","&lt;/item&gt;&lt;item&gt;")&amp;"&lt;/item&gt;&lt;/root&gt;","//item"),Table3[Holiday Name],0)),"m/d/yyyy")),G119))</f>
        <v/>
      </c>
      <c r="F119" s="234" t="str" cm="1">
        <f t="array" ref="F119">IF(G119="","",IF(_xlfn.TEXTJOIN(", ",TRUE,IFERROR(_xlfn._xlws.FILTER(Table3[Holiday Name],(G119&gt;=Table3[start])*(G119&lt;=Table3[end])),"**No associated Holiday"))="","",_xlfn.TEXTJOIN(", ",TRUE,IFERROR(_xlfn._xlws.FILTER(Table3[Holiday Name],(G119&gt;=Table3[start])*(G119&lt;=Table3[end])),"**No associated Holiday"))))</f>
        <v/>
      </c>
      <c r="G119" s="36"/>
      <c r="I119" s="31"/>
    </row>
    <row r="120" spans="5:9" x14ac:dyDescent="0.35">
      <c r="E120" s="289" t="str" cm="1">
        <f t="array" ref="E120">IF(IFERROR(_xlfn.TEXTJOIN(", ",TRUE,TEXT(INDEX(Table3[Date],MATCH(_xlfn.FILTERXML("&lt;root&gt;&lt;item&gt;"&amp;SUBSTITUTE(F120,", ","&lt;/item&gt;&lt;item&gt;")&amp;"&lt;/item&gt;&lt;/root&gt;","//item"),Table3[Holiday Name],0)),"m/d/yyyy")),G120)="","",IFERROR(_xlfn.TEXTJOIN(", ",TRUE,TEXT(INDEX(Table3[Date],MATCH(_xlfn.FILTERXML("&lt;root&gt;&lt;item&gt;"&amp;SUBSTITUTE(F120,", ","&lt;/item&gt;&lt;item&gt;")&amp;"&lt;/item&gt;&lt;/root&gt;","//item"),Table3[Holiday Name],0)),"m/d/yyyy")),G120))</f>
        <v/>
      </c>
      <c r="F120" s="234" t="str" cm="1">
        <f t="array" ref="F120">IF(G120="","",IF(_xlfn.TEXTJOIN(", ",TRUE,IFERROR(_xlfn._xlws.FILTER(Table3[Holiday Name],(G120&gt;=Table3[start])*(G120&lt;=Table3[end])),"**No associated Holiday"))="","",_xlfn.TEXTJOIN(", ",TRUE,IFERROR(_xlfn._xlws.FILTER(Table3[Holiday Name],(G120&gt;=Table3[start])*(G120&lt;=Table3[end])),"**No associated Holiday"))))</f>
        <v/>
      </c>
      <c r="G120" s="36"/>
      <c r="I120" s="31"/>
    </row>
    <row r="121" spans="5:9" x14ac:dyDescent="0.35">
      <c r="E121" s="289" t="str" cm="1">
        <f t="array" ref="E121">IF(IFERROR(_xlfn.TEXTJOIN(", ",TRUE,TEXT(INDEX(Table3[Date],MATCH(_xlfn.FILTERXML("&lt;root&gt;&lt;item&gt;"&amp;SUBSTITUTE(F121,", ","&lt;/item&gt;&lt;item&gt;")&amp;"&lt;/item&gt;&lt;/root&gt;","//item"),Table3[Holiday Name],0)),"m/d/yyyy")),G121)="","",IFERROR(_xlfn.TEXTJOIN(", ",TRUE,TEXT(INDEX(Table3[Date],MATCH(_xlfn.FILTERXML("&lt;root&gt;&lt;item&gt;"&amp;SUBSTITUTE(F121,", ","&lt;/item&gt;&lt;item&gt;")&amp;"&lt;/item&gt;&lt;/root&gt;","//item"),Table3[Holiday Name],0)),"m/d/yyyy")),G121))</f>
        <v/>
      </c>
      <c r="F121" s="234" t="str" cm="1">
        <f t="array" ref="F121">IF(G121="","",IF(_xlfn.TEXTJOIN(", ",TRUE,IFERROR(_xlfn._xlws.FILTER(Table3[Holiday Name],(G121&gt;=Table3[start])*(G121&lt;=Table3[end])),"**No associated Holiday"))="","",_xlfn.TEXTJOIN(", ",TRUE,IFERROR(_xlfn._xlws.FILTER(Table3[Holiday Name],(G121&gt;=Table3[start])*(G121&lt;=Table3[end])),"**No associated Holiday"))))</f>
        <v/>
      </c>
      <c r="G121" s="36"/>
      <c r="I121" s="31"/>
    </row>
    <row r="122" spans="5:9" x14ac:dyDescent="0.35">
      <c r="E122" s="289" t="str" cm="1">
        <f t="array" ref="E122">IF(IFERROR(_xlfn.TEXTJOIN(", ",TRUE,TEXT(INDEX(Table3[Date],MATCH(_xlfn.FILTERXML("&lt;root&gt;&lt;item&gt;"&amp;SUBSTITUTE(F122,", ","&lt;/item&gt;&lt;item&gt;")&amp;"&lt;/item&gt;&lt;/root&gt;","//item"),Table3[Holiday Name],0)),"m/d/yyyy")),G122)="","",IFERROR(_xlfn.TEXTJOIN(", ",TRUE,TEXT(INDEX(Table3[Date],MATCH(_xlfn.FILTERXML("&lt;root&gt;&lt;item&gt;"&amp;SUBSTITUTE(F122,", ","&lt;/item&gt;&lt;item&gt;")&amp;"&lt;/item&gt;&lt;/root&gt;","//item"),Table3[Holiday Name],0)),"m/d/yyyy")),G122))</f>
        <v/>
      </c>
      <c r="F122" s="234" t="str" cm="1">
        <f t="array" ref="F122">IF(G122="","",IF(_xlfn.TEXTJOIN(", ",TRUE,IFERROR(_xlfn._xlws.FILTER(Table3[Holiday Name],(G122&gt;=Table3[start])*(G122&lt;=Table3[end])),"**No associated Holiday"))="","",_xlfn.TEXTJOIN(", ",TRUE,IFERROR(_xlfn._xlws.FILTER(Table3[Holiday Name],(G122&gt;=Table3[start])*(G122&lt;=Table3[end])),"**No associated Holiday"))))</f>
        <v/>
      </c>
      <c r="G122" s="36"/>
      <c r="I122" s="31"/>
    </row>
    <row r="123" spans="5:9" x14ac:dyDescent="0.35">
      <c r="E123" s="289" t="str" cm="1">
        <f t="array" ref="E123">IF(IFERROR(_xlfn.TEXTJOIN(", ",TRUE,TEXT(INDEX(Table3[Date],MATCH(_xlfn.FILTERXML("&lt;root&gt;&lt;item&gt;"&amp;SUBSTITUTE(F123,", ","&lt;/item&gt;&lt;item&gt;")&amp;"&lt;/item&gt;&lt;/root&gt;","//item"),Table3[Holiday Name],0)),"m/d/yyyy")),G123)="","",IFERROR(_xlfn.TEXTJOIN(", ",TRUE,TEXT(INDEX(Table3[Date],MATCH(_xlfn.FILTERXML("&lt;root&gt;&lt;item&gt;"&amp;SUBSTITUTE(F123,", ","&lt;/item&gt;&lt;item&gt;")&amp;"&lt;/item&gt;&lt;/root&gt;","//item"),Table3[Holiday Name],0)),"m/d/yyyy")),G123))</f>
        <v/>
      </c>
      <c r="F123" s="234" t="str" cm="1">
        <f t="array" ref="F123">IF(G123="","",IF(_xlfn.TEXTJOIN(", ",TRUE,IFERROR(_xlfn._xlws.FILTER(Table3[Holiday Name],(G123&gt;=Table3[start])*(G123&lt;=Table3[end])),"**No associated Holiday"))="","",_xlfn.TEXTJOIN(", ",TRUE,IFERROR(_xlfn._xlws.FILTER(Table3[Holiday Name],(G123&gt;=Table3[start])*(G123&lt;=Table3[end])),"**No associated Holiday"))))</f>
        <v/>
      </c>
      <c r="G123" s="36"/>
      <c r="I123" s="31"/>
    </row>
    <row r="124" spans="5:9" x14ac:dyDescent="0.35">
      <c r="E124" s="289" t="str" cm="1">
        <f t="array" ref="E124">IF(IFERROR(_xlfn.TEXTJOIN(", ",TRUE,TEXT(INDEX(Table3[Date],MATCH(_xlfn.FILTERXML("&lt;root&gt;&lt;item&gt;"&amp;SUBSTITUTE(F124,", ","&lt;/item&gt;&lt;item&gt;")&amp;"&lt;/item&gt;&lt;/root&gt;","//item"),Table3[Holiday Name],0)),"m/d/yyyy")),G124)="","",IFERROR(_xlfn.TEXTJOIN(", ",TRUE,TEXT(INDEX(Table3[Date],MATCH(_xlfn.FILTERXML("&lt;root&gt;&lt;item&gt;"&amp;SUBSTITUTE(F124,", ","&lt;/item&gt;&lt;item&gt;")&amp;"&lt;/item&gt;&lt;/root&gt;","//item"),Table3[Holiday Name],0)),"m/d/yyyy")),G124))</f>
        <v/>
      </c>
      <c r="F124" s="234" t="str" cm="1">
        <f t="array" ref="F124">IF(G124="","",IF(_xlfn.TEXTJOIN(", ",TRUE,IFERROR(_xlfn._xlws.FILTER(Table3[Holiday Name],(G124&gt;=Table3[start])*(G124&lt;=Table3[end])),"**No associated Holiday"))="","",_xlfn.TEXTJOIN(", ",TRUE,IFERROR(_xlfn._xlws.FILTER(Table3[Holiday Name],(G124&gt;=Table3[start])*(G124&lt;=Table3[end])),"**No associated Holiday"))))</f>
        <v/>
      </c>
      <c r="G124" s="36"/>
      <c r="I124" s="31"/>
    </row>
    <row r="125" spans="5:9" x14ac:dyDescent="0.35">
      <c r="E125" s="289" t="str" cm="1">
        <f t="array" ref="E125">IF(IFERROR(_xlfn.TEXTJOIN(", ",TRUE,TEXT(INDEX(Table3[Date],MATCH(_xlfn.FILTERXML("&lt;root&gt;&lt;item&gt;"&amp;SUBSTITUTE(F125,", ","&lt;/item&gt;&lt;item&gt;")&amp;"&lt;/item&gt;&lt;/root&gt;","//item"),Table3[Holiday Name],0)),"m/d/yyyy")),G125)="","",IFERROR(_xlfn.TEXTJOIN(", ",TRUE,TEXT(INDEX(Table3[Date],MATCH(_xlfn.FILTERXML("&lt;root&gt;&lt;item&gt;"&amp;SUBSTITUTE(F125,", ","&lt;/item&gt;&lt;item&gt;")&amp;"&lt;/item&gt;&lt;/root&gt;","//item"),Table3[Holiday Name],0)),"m/d/yyyy")),G125))</f>
        <v/>
      </c>
      <c r="F125" s="234" t="str" cm="1">
        <f t="array" ref="F125">IF(G125="","",IF(_xlfn.TEXTJOIN(", ",TRUE,IFERROR(_xlfn._xlws.FILTER(Table3[Holiday Name],(G125&gt;=Table3[start])*(G125&lt;=Table3[end])),"**No associated Holiday"))="","",_xlfn.TEXTJOIN(", ",TRUE,IFERROR(_xlfn._xlws.FILTER(Table3[Holiday Name],(G125&gt;=Table3[start])*(G125&lt;=Table3[end])),"**No associated Holiday"))))</f>
        <v/>
      </c>
      <c r="G125" s="36"/>
      <c r="I125" s="31"/>
    </row>
    <row r="126" spans="5:9" x14ac:dyDescent="0.35">
      <c r="E126" s="289" t="str" cm="1">
        <f t="array" ref="E126">IF(IFERROR(_xlfn.TEXTJOIN(", ",TRUE,TEXT(INDEX(Table3[Date],MATCH(_xlfn.FILTERXML("&lt;root&gt;&lt;item&gt;"&amp;SUBSTITUTE(F126,", ","&lt;/item&gt;&lt;item&gt;")&amp;"&lt;/item&gt;&lt;/root&gt;","//item"),Table3[Holiday Name],0)),"m/d/yyyy")),G126)="","",IFERROR(_xlfn.TEXTJOIN(", ",TRUE,TEXT(INDEX(Table3[Date],MATCH(_xlfn.FILTERXML("&lt;root&gt;&lt;item&gt;"&amp;SUBSTITUTE(F126,", ","&lt;/item&gt;&lt;item&gt;")&amp;"&lt;/item&gt;&lt;/root&gt;","//item"),Table3[Holiday Name],0)),"m/d/yyyy")),G126))</f>
        <v/>
      </c>
      <c r="F126" s="234" t="str" cm="1">
        <f t="array" ref="F126">IF(G126="","",IF(_xlfn.TEXTJOIN(", ",TRUE,IFERROR(_xlfn._xlws.FILTER(Table3[Holiday Name],(G126&gt;=Table3[start])*(G126&lt;=Table3[end])),"**No associated Holiday"))="","",_xlfn.TEXTJOIN(", ",TRUE,IFERROR(_xlfn._xlws.FILTER(Table3[Holiday Name],(G126&gt;=Table3[start])*(G126&lt;=Table3[end])),"**No associated Holiday"))))</f>
        <v/>
      </c>
      <c r="G126" s="36"/>
      <c r="I126" s="31"/>
    </row>
    <row r="127" spans="5:9" x14ac:dyDescent="0.35">
      <c r="E127" s="289" t="str" cm="1">
        <f t="array" ref="E127">IF(IFERROR(_xlfn.TEXTJOIN(", ",TRUE,TEXT(INDEX(Table3[Date],MATCH(_xlfn.FILTERXML("&lt;root&gt;&lt;item&gt;"&amp;SUBSTITUTE(F127,", ","&lt;/item&gt;&lt;item&gt;")&amp;"&lt;/item&gt;&lt;/root&gt;","//item"),Table3[Holiday Name],0)),"m/d/yyyy")),G127)="","",IFERROR(_xlfn.TEXTJOIN(", ",TRUE,TEXT(INDEX(Table3[Date],MATCH(_xlfn.FILTERXML("&lt;root&gt;&lt;item&gt;"&amp;SUBSTITUTE(F127,", ","&lt;/item&gt;&lt;item&gt;")&amp;"&lt;/item&gt;&lt;/root&gt;","//item"),Table3[Holiday Name],0)),"m/d/yyyy")),G127))</f>
        <v/>
      </c>
      <c r="F127" s="234" t="str" cm="1">
        <f t="array" ref="F127">IF(G127="","",IF(_xlfn.TEXTJOIN(", ",TRUE,IFERROR(_xlfn._xlws.FILTER(Table3[Holiday Name],(G127&gt;=Table3[start])*(G127&lt;=Table3[end])),"**No associated Holiday"))="","",_xlfn.TEXTJOIN(", ",TRUE,IFERROR(_xlfn._xlws.FILTER(Table3[Holiday Name],(G127&gt;=Table3[start])*(G127&lt;=Table3[end])),"**No associated Holiday"))))</f>
        <v/>
      </c>
      <c r="G127" s="36"/>
      <c r="I127" s="31"/>
    </row>
    <row r="128" spans="5:9" x14ac:dyDescent="0.35">
      <c r="E128" s="289" t="str" cm="1">
        <f t="array" ref="E128">IF(IFERROR(_xlfn.TEXTJOIN(", ",TRUE,TEXT(INDEX(Table3[Date],MATCH(_xlfn.FILTERXML("&lt;root&gt;&lt;item&gt;"&amp;SUBSTITUTE(F128,", ","&lt;/item&gt;&lt;item&gt;")&amp;"&lt;/item&gt;&lt;/root&gt;","//item"),Table3[Holiday Name],0)),"m/d/yyyy")),G128)="","",IFERROR(_xlfn.TEXTJOIN(", ",TRUE,TEXT(INDEX(Table3[Date],MATCH(_xlfn.FILTERXML("&lt;root&gt;&lt;item&gt;"&amp;SUBSTITUTE(F128,", ","&lt;/item&gt;&lt;item&gt;")&amp;"&lt;/item&gt;&lt;/root&gt;","//item"),Table3[Holiday Name],0)),"m/d/yyyy")),G128))</f>
        <v/>
      </c>
      <c r="F128" s="234" t="str" cm="1">
        <f t="array" ref="F128">IF(G128="","",IF(_xlfn.TEXTJOIN(", ",TRUE,IFERROR(_xlfn._xlws.FILTER(Table3[Holiday Name],(G128&gt;=Table3[start])*(G128&lt;=Table3[end])),"**No associated Holiday"))="","",_xlfn.TEXTJOIN(", ",TRUE,IFERROR(_xlfn._xlws.FILTER(Table3[Holiday Name],(G128&gt;=Table3[start])*(G128&lt;=Table3[end])),"**No associated Holiday"))))</f>
        <v/>
      </c>
      <c r="G128" s="36"/>
      <c r="I128" s="31"/>
    </row>
    <row r="129" spans="5:9" x14ac:dyDescent="0.35">
      <c r="E129" s="289" t="str" cm="1">
        <f t="array" ref="E129">IF(IFERROR(_xlfn.TEXTJOIN(", ",TRUE,TEXT(INDEX(Table3[Date],MATCH(_xlfn.FILTERXML("&lt;root&gt;&lt;item&gt;"&amp;SUBSTITUTE(F129,", ","&lt;/item&gt;&lt;item&gt;")&amp;"&lt;/item&gt;&lt;/root&gt;","//item"),Table3[Holiday Name],0)),"m/d/yyyy")),G129)="","",IFERROR(_xlfn.TEXTJOIN(", ",TRUE,TEXT(INDEX(Table3[Date],MATCH(_xlfn.FILTERXML("&lt;root&gt;&lt;item&gt;"&amp;SUBSTITUTE(F129,", ","&lt;/item&gt;&lt;item&gt;")&amp;"&lt;/item&gt;&lt;/root&gt;","//item"),Table3[Holiday Name],0)),"m/d/yyyy")),G129))</f>
        <v/>
      </c>
      <c r="F129" s="234" t="str" cm="1">
        <f t="array" ref="F129">IF(G129="","",IF(_xlfn.TEXTJOIN(", ",TRUE,IFERROR(_xlfn._xlws.FILTER(Table3[Holiday Name],(G129&gt;=Table3[start])*(G129&lt;=Table3[end])),"**No associated Holiday"))="","",_xlfn.TEXTJOIN(", ",TRUE,IFERROR(_xlfn._xlws.FILTER(Table3[Holiday Name],(G129&gt;=Table3[start])*(G129&lt;=Table3[end])),"**No associated Holiday"))))</f>
        <v/>
      </c>
      <c r="G129" s="36"/>
      <c r="I129" s="31"/>
    </row>
    <row r="130" spans="5:9" x14ac:dyDescent="0.35">
      <c r="E130" s="289" t="str" cm="1">
        <f t="array" ref="E130">IF(IFERROR(_xlfn.TEXTJOIN(", ",TRUE,TEXT(INDEX(Table3[Date],MATCH(_xlfn.FILTERXML("&lt;root&gt;&lt;item&gt;"&amp;SUBSTITUTE(F130,", ","&lt;/item&gt;&lt;item&gt;")&amp;"&lt;/item&gt;&lt;/root&gt;","//item"),Table3[Holiday Name],0)),"m/d/yyyy")),G130)="","",IFERROR(_xlfn.TEXTJOIN(", ",TRUE,TEXT(INDEX(Table3[Date],MATCH(_xlfn.FILTERXML("&lt;root&gt;&lt;item&gt;"&amp;SUBSTITUTE(F130,", ","&lt;/item&gt;&lt;item&gt;")&amp;"&lt;/item&gt;&lt;/root&gt;","//item"),Table3[Holiday Name],0)),"m/d/yyyy")),G130))</f>
        <v/>
      </c>
      <c r="F130" s="234" t="str" cm="1">
        <f t="array" ref="F130">IF(G130="","",IF(_xlfn.TEXTJOIN(", ",TRUE,IFERROR(_xlfn._xlws.FILTER(Table3[Holiday Name],(G130&gt;=Table3[start])*(G130&lt;=Table3[end])),"**No associated Holiday"))="","",_xlfn.TEXTJOIN(", ",TRUE,IFERROR(_xlfn._xlws.FILTER(Table3[Holiday Name],(G130&gt;=Table3[start])*(G130&lt;=Table3[end])),"**No associated Holiday"))))</f>
        <v/>
      </c>
      <c r="G130" s="36"/>
      <c r="I130" s="31"/>
    </row>
    <row r="131" spans="5:9" x14ac:dyDescent="0.35">
      <c r="E131" s="289" t="str" cm="1">
        <f t="array" ref="E131">IF(IFERROR(_xlfn.TEXTJOIN(", ",TRUE,TEXT(INDEX(Table3[Date],MATCH(_xlfn.FILTERXML("&lt;root&gt;&lt;item&gt;"&amp;SUBSTITUTE(F131,", ","&lt;/item&gt;&lt;item&gt;")&amp;"&lt;/item&gt;&lt;/root&gt;","//item"),Table3[Holiday Name],0)),"m/d/yyyy")),G131)="","",IFERROR(_xlfn.TEXTJOIN(", ",TRUE,TEXT(INDEX(Table3[Date],MATCH(_xlfn.FILTERXML("&lt;root&gt;&lt;item&gt;"&amp;SUBSTITUTE(F131,", ","&lt;/item&gt;&lt;item&gt;")&amp;"&lt;/item&gt;&lt;/root&gt;","//item"),Table3[Holiday Name],0)),"m/d/yyyy")),G131))</f>
        <v/>
      </c>
      <c r="F131" s="234" t="str" cm="1">
        <f t="array" ref="F131">IF(G131="","",IF(_xlfn.TEXTJOIN(", ",TRUE,IFERROR(_xlfn._xlws.FILTER(Table3[Holiday Name],(G131&gt;=Table3[start])*(G131&lt;=Table3[end])),"**No associated Holiday"))="","",_xlfn.TEXTJOIN(", ",TRUE,IFERROR(_xlfn._xlws.FILTER(Table3[Holiday Name],(G131&gt;=Table3[start])*(G131&lt;=Table3[end])),"**No associated Holiday"))))</f>
        <v/>
      </c>
      <c r="G131" s="36"/>
      <c r="I131" s="31"/>
    </row>
    <row r="132" spans="5:9" x14ac:dyDescent="0.35">
      <c r="E132" s="289" t="str" cm="1">
        <f t="array" ref="E132">IF(IFERROR(_xlfn.TEXTJOIN(", ",TRUE,TEXT(INDEX(Table3[Date],MATCH(_xlfn.FILTERXML("&lt;root&gt;&lt;item&gt;"&amp;SUBSTITUTE(F132,", ","&lt;/item&gt;&lt;item&gt;")&amp;"&lt;/item&gt;&lt;/root&gt;","//item"),Table3[Holiday Name],0)),"m/d/yyyy")),G132)="","",IFERROR(_xlfn.TEXTJOIN(", ",TRUE,TEXT(INDEX(Table3[Date],MATCH(_xlfn.FILTERXML("&lt;root&gt;&lt;item&gt;"&amp;SUBSTITUTE(F132,", ","&lt;/item&gt;&lt;item&gt;")&amp;"&lt;/item&gt;&lt;/root&gt;","//item"),Table3[Holiday Name],0)),"m/d/yyyy")),G132))</f>
        <v/>
      </c>
      <c r="F132" s="234" t="str" cm="1">
        <f t="array" ref="F132">IF(G132="","",IF(_xlfn.TEXTJOIN(", ",TRUE,IFERROR(_xlfn._xlws.FILTER(Table3[Holiday Name],(G132&gt;=Table3[start])*(G132&lt;=Table3[end])),"**No associated Holiday"))="","",_xlfn.TEXTJOIN(", ",TRUE,IFERROR(_xlfn._xlws.FILTER(Table3[Holiday Name],(G132&gt;=Table3[start])*(G132&lt;=Table3[end])),"**No associated Holiday"))))</f>
        <v/>
      </c>
      <c r="G132" s="36"/>
      <c r="I132" s="31"/>
    </row>
    <row r="133" spans="5:9" x14ac:dyDescent="0.35">
      <c r="E133" s="289" t="str" cm="1">
        <f t="array" ref="E133">IF(IFERROR(_xlfn.TEXTJOIN(", ",TRUE,TEXT(INDEX(Table3[Date],MATCH(_xlfn.FILTERXML("&lt;root&gt;&lt;item&gt;"&amp;SUBSTITUTE(F133,", ","&lt;/item&gt;&lt;item&gt;")&amp;"&lt;/item&gt;&lt;/root&gt;","//item"),Table3[Holiday Name],0)),"m/d/yyyy")),G133)="","",IFERROR(_xlfn.TEXTJOIN(", ",TRUE,TEXT(INDEX(Table3[Date],MATCH(_xlfn.FILTERXML("&lt;root&gt;&lt;item&gt;"&amp;SUBSTITUTE(F133,", ","&lt;/item&gt;&lt;item&gt;")&amp;"&lt;/item&gt;&lt;/root&gt;","//item"),Table3[Holiday Name],0)),"m/d/yyyy")),G133))</f>
        <v/>
      </c>
      <c r="F133" s="234" t="str" cm="1">
        <f t="array" ref="F133">IF(G133="","",IF(_xlfn.TEXTJOIN(", ",TRUE,IFERROR(_xlfn._xlws.FILTER(Table3[Holiday Name],(G133&gt;=Table3[start])*(G133&lt;=Table3[end])),"**No associated Holiday"))="","",_xlfn.TEXTJOIN(", ",TRUE,IFERROR(_xlfn._xlws.FILTER(Table3[Holiday Name],(G133&gt;=Table3[start])*(G133&lt;=Table3[end])),"**No associated Holiday"))))</f>
        <v/>
      </c>
      <c r="G133" s="36"/>
      <c r="I133" s="31"/>
    </row>
    <row r="134" spans="5:9" x14ac:dyDescent="0.35">
      <c r="E134" s="289" t="str" cm="1">
        <f t="array" ref="E134">IF(IFERROR(_xlfn.TEXTJOIN(", ",TRUE,TEXT(INDEX(Table3[Date],MATCH(_xlfn.FILTERXML("&lt;root&gt;&lt;item&gt;"&amp;SUBSTITUTE(F134,", ","&lt;/item&gt;&lt;item&gt;")&amp;"&lt;/item&gt;&lt;/root&gt;","//item"),Table3[Holiday Name],0)),"m/d/yyyy")),G134)="","",IFERROR(_xlfn.TEXTJOIN(", ",TRUE,TEXT(INDEX(Table3[Date],MATCH(_xlfn.FILTERXML("&lt;root&gt;&lt;item&gt;"&amp;SUBSTITUTE(F134,", ","&lt;/item&gt;&lt;item&gt;")&amp;"&lt;/item&gt;&lt;/root&gt;","//item"),Table3[Holiday Name],0)),"m/d/yyyy")),G134))</f>
        <v/>
      </c>
      <c r="F134" s="234" t="str" cm="1">
        <f t="array" ref="F134">IF(G134="","",IF(_xlfn.TEXTJOIN(", ",TRUE,IFERROR(_xlfn._xlws.FILTER(Table3[Holiday Name],(G134&gt;=Table3[start])*(G134&lt;=Table3[end])),"**No associated Holiday"))="","",_xlfn.TEXTJOIN(", ",TRUE,IFERROR(_xlfn._xlws.FILTER(Table3[Holiday Name],(G134&gt;=Table3[start])*(G134&lt;=Table3[end])),"**No associated Holiday"))))</f>
        <v/>
      </c>
      <c r="G134" s="36"/>
      <c r="I134" s="31"/>
    </row>
    <row r="135" spans="5:9" x14ac:dyDescent="0.35">
      <c r="E135" s="289" t="str" cm="1">
        <f t="array" ref="E135">IF(IFERROR(_xlfn.TEXTJOIN(", ",TRUE,TEXT(INDEX(Table3[Date],MATCH(_xlfn.FILTERXML("&lt;root&gt;&lt;item&gt;"&amp;SUBSTITUTE(F135,", ","&lt;/item&gt;&lt;item&gt;")&amp;"&lt;/item&gt;&lt;/root&gt;","//item"),Table3[Holiday Name],0)),"m/d/yyyy")),G135)="","",IFERROR(_xlfn.TEXTJOIN(", ",TRUE,TEXT(INDEX(Table3[Date],MATCH(_xlfn.FILTERXML("&lt;root&gt;&lt;item&gt;"&amp;SUBSTITUTE(F135,", ","&lt;/item&gt;&lt;item&gt;")&amp;"&lt;/item&gt;&lt;/root&gt;","//item"),Table3[Holiday Name],0)),"m/d/yyyy")),G135))</f>
        <v/>
      </c>
      <c r="F135" s="234" t="str" cm="1">
        <f t="array" ref="F135">IF(G135="","",IF(_xlfn.TEXTJOIN(", ",TRUE,IFERROR(_xlfn._xlws.FILTER(Table3[Holiday Name],(G135&gt;=Table3[start])*(G135&lt;=Table3[end])),"**No associated Holiday"))="","",_xlfn.TEXTJOIN(", ",TRUE,IFERROR(_xlfn._xlws.FILTER(Table3[Holiday Name],(G135&gt;=Table3[start])*(G135&lt;=Table3[end])),"**No associated Holiday"))))</f>
        <v/>
      </c>
      <c r="G135" s="36"/>
      <c r="I135" s="31"/>
    </row>
    <row r="136" spans="5:9" x14ac:dyDescent="0.35">
      <c r="E136" s="289" t="str" cm="1">
        <f t="array" ref="E136">IF(IFERROR(_xlfn.TEXTJOIN(", ",TRUE,TEXT(INDEX(Table3[Date],MATCH(_xlfn.FILTERXML("&lt;root&gt;&lt;item&gt;"&amp;SUBSTITUTE(F136,", ","&lt;/item&gt;&lt;item&gt;")&amp;"&lt;/item&gt;&lt;/root&gt;","//item"),Table3[Holiday Name],0)),"m/d/yyyy")),G136)="","",IFERROR(_xlfn.TEXTJOIN(", ",TRUE,TEXT(INDEX(Table3[Date],MATCH(_xlfn.FILTERXML("&lt;root&gt;&lt;item&gt;"&amp;SUBSTITUTE(F136,", ","&lt;/item&gt;&lt;item&gt;")&amp;"&lt;/item&gt;&lt;/root&gt;","//item"),Table3[Holiday Name],0)),"m/d/yyyy")),G136))</f>
        <v/>
      </c>
      <c r="F136" s="234" t="str" cm="1">
        <f t="array" ref="F136">IF(G136="","",IF(_xlfn.TEXTJOIN(", ",TRUE,IFERROR(_xlfn._xlws.FILTER(Table3[Holiday Name],(G136&gt;=Table3[start])*(G136&lt;=Table3[end])),"**No associated Holiday"))="","",_xlfn.TEXTJOIN(", ",TRUE,IFERROR(_xlfn._xlws.FILTER(Table3[Holiday Name],(G136&gt;=Table3[start])*(G136&lt;=Table3[end])),"**No associated Holiday"))))</f>
        <v/>
      </c>
      <c r="G136" s="36"/>
      <c r="I136" s="31"/>
    </row>
    <row r="137" spans="5:9" x14ac:dyDescent="0.35">
      <c r="E137" s="289" t="str" cm="1">
        <f t="array" ref="E137">IF(IFERROR(_xlfn.TEXTJOIN(", ",TRUE,TEXT(INDEX(Table3[Date],MATCH(_xlfn.FILTERXML("&lt;root&gt;&lt;item&gt;"&amp;SUBSTITUTE(F137,", ","&lt;/item&gt;&lt;item&gt;")&amp;"&lt;/item&gt;&lt;/root&gt;","//item"),Table3[Holiday Name],0)),"m/d/yyyy")),G137)="","",IFERROR(_xlfn.TEXTJOIN(", ",TRUE,TEXT(INDEX(Table3[Date],MATCH(_xlfn.FILTERXML("&lt;root&gt;&lt;item&gt;"&amp;SUBSTITUTE(F137,", ","&lt;/item&gt;&lt;item&gt;")&amp;"&lt;/item&gt;&lt;/root&gt;","//item"),Table3[Holiday Name],0)),"m/d/yyyy")),G137))</f>
        <v/>
      </c>
      <c r="F137" s="234" t="str" cm="1">
        <f t="array" ref="F137">IF(G137="","",IF(_xlfn.TEXTJOIN(", ",TRUE,IFERROR(_xlfn._xlws.FILTER(Table3[Holiday Name],(G137&gt;=Table3[start])*(G137&lt;=Table3[end])),"**No associated Holiday"))="","",_xlfn.TEXTJOIN(", ",TRUE,IFERROR(_xlfn._xlws.FILTER(Table3[Holiday Name],(G137&gt;=Table3[start])*(G137&lt;=Table3[end])),"**No associated Holiday"))))</f>
        <v/>
      </c>
      <c r="G137" s="36"/>
      <c r="I137" s="31"/>
    </row>
    <row r="138" spans="5:9" x14ac:dyDescent="0.35">
      <c r="E138" s="289" t="str" cm="1">
        <f t="array" ref="E138">IF(IFERROR(_xlfn.TEXTJOIN(", ",TRUE,TEXT(INDEX(Table3[Date],MATCH(_xlfn.FILTERXML("&lt;root&gt;&lt;item&gt;"&amp;SUBSTITUTE(F138,", ","&lt;/item&gt;&lt;item&gt;")&amp;"&lt;/item&gt;&lt;/root&gt;","//item"),Table3[Holiday Name],0)),"m/d/yyyy")),G138)="","",IFERROR(_xlfn.TEXTJOIN(", ",TRUE,TEXT(INDEX(Table3[Date],MATCH(_xlfn.FILTERXML("&lt;root&gt;&lt;item&gt;"&amp;SUBSTITUTE(F138,", ","&lt;/item&gt;&lt;item&gt;")&amp;"&lt;/item&gt;&lt;/root&gt;","//item"),Table3[Holiday Name],0)),"m/d/yyyy")),G138))</f>
        <v/>
      </c>
      <c r="F138" s="234" t="str" cm="1">
        <f t="array" ref="F138">IF(G138="","",IF(_xlfn.TEXTJOIN(", ",TRUE,IFERROR(_xlfn._xlws.FILTER(Table3[Holiday Name],(G138&gt;=Table3[start])*(G138&lt;=Table3[end])),"**No associated Holiday"))="","",_xlfn.TEXTJOIN(", ",TRUE,IFERROR(_xlfn._xlws.FILTER(Table3[Holiday Name],(G138&gt;=Table3[start])*(G138&lt;=Table3[end])),"**No associated Holiday"))))</f>
        <v/>
      </c>
      <c r="G138" s="36"/>
      <c r="I138" s="31"/>
    </row>
    <row r="139" spans="5:9" x14ac:dyDescent="0.35">
      <c r="E139" s="289" t="str" cm="1">
        <f t="array" ref="E139">IF(IFERROR(_xlfn.TEXTJOIN(", ",TRUE,TEXT(INDEX(Table3[Date],MATCH(_xlfn.FILTERXML("&lt;root&gt;&lt;item&gt;"&amp;SUBSTITUTE(F139,", ","&lt;/item&gt;&lt;item&gt;")&amp;"&lt;/item&gt;&lt;/root&gt;","//item"),Table3[Holiday Name],0)),"m/d/yyyy")),G139)="","",IFERROR(_xlfn.TEXTJOIN(", ",TRUE,TEXT(INDEX(Table3[Date],MATCH(_xlfn.FILTERXML("&lt;root&gt;&lt;item&gt;"&amp;SUBSTITUTE(F139,", ","&lt;/item&gt;&lt;item&gt;")&amp;"&lt;/item&gt;&lt;/root&gt;","//item"),Table3[Holiday Name],0)),"m/d/yyyy")),G139))</f>
        <v/>
      </c>
      <c r="F139" s="234" t="str" cm="1">
        <f t="array" ref="F139">IF(G139="","",IF(_xlfn.TEXTJOIN(", ",TRUE,IFERROR(_xlfn._xlws.FILTER(Table3[Holiday Name],(G139&gt;=Table3[start])*(G139&lt;=Table3[end])),"**No associated Holiday"))="","",_xlfn.TEXTJOIN(", ",TRUE,IFERROR(_xlfn._xlws.FILTER(Table3[Holiday Name],(G139&gt;=Table3[start])*(G139&lt;=Table3[end])),"**No associated Holiday"))))</f>
        <v/>
      </c>
      <c r="G139" s="36"/>
      <c r="I139" s="31"/>
    </row>
    <row r="140" spans="5:9" x14ac:dyDescent="0.35">
      <c r="E140" s="289" t="str" cm="1">
        <f t="array" ref="E140">IF(IFERROR(_xlfn.TEXTJOIN(", ",TRUE,TEXT(INDEX(Table3[Date],MATCH(_xlfn.FILTERXML("&lt;root&gt;&lt;item&gt;"&amp;SUBSTITUTE(F140,", ","&lt;/item&gt;&lt;item&gt;")&amp;"&lt;/item&gt;&lt;/root&gt;","//item"),Table3[Holiday Name],0)),"m/d/yyyy")),G140)="","",IFERROR(_xlfn.TEXTJOIN(", ",TRUE,TEXT(INDEX(Table3[Date],MATCH(_xlfn.FILTERXML("&lt;root&gt;&lt;item&gt;"&amp;SUBSTITUTE(F140,", ","&lt;/item&gt;&lt;item&gt;")&amp;"&lt;/item&gt;&lt;/root&gt;","//item"),Table3[Holiday Name],0)),"m/d/yyyy")),G140))</f>
        <v/>
      </c>
      <c r="F140" s="234" t="str" cm="1">
        <f t="array" ref="F140">IF(G140="","",IF(_xlfn.TEXTJOIN(", ",TRUE,IFERROR(_xlfn._xlws.FILTER(Table3[Holiday Name],(G140&gt;=Table3[start])*(G140&lt;=Table3[end])),"**No associated Holiday"))="","",_xlfn.TEXTJOIN(", ",TRUE,IFERROR(_xlfn._xlws.FILTER(Table3[Holiday Name],(G140&gt;=Table3[start])*(G140&lt;=Table3[end])),"**No associated Holiday"))))</f>
        <v/>
      </c>
      <c r="G140" s="36"/>
      <c r="I140" s="31"/>
    </row>
    <row r="141" spans="5:9" x14ac:dyDescent="0.35">
      <c r="E141" s="289" t="str" cm="1">
        <f t="array" ref="E141">IF(IFERROR(_xlfn.TEXTJOIN(", ",TRUE,TEXT(INDEX(Table3[Date],MATCH(_xlfn.FILTERXML("&lt;root&gt;&lt;item&gt;"&amp;SUBSTITUTE(F141,", ","&lt;/item&gt;&lt;item&gt;")&amp;"&lt;/item&gt;&lt;/root&gt;","//item"),Table3[Holiday Name],0)),"m/d/yyyy")),G141)="","",IFERROR(_xlfn.TEXTJOIN(", ",TRUE,TEXT(INDEX(Table3[Date],MATCH(_xlfn.FILTERXML("&lt;root&gt;&lt;item&gt;"&amp;SUBSTITUTE(F141,", ","&lt;/item&gt;&lt;item&gt;")&amp;"&lt;/item&gt;&lt;/root&gt;","//item"),Table3[Holiday Name],0)),"m/d/yyyy")),G141))</f>
        <v/>
      </c>
      <c r="F141" s="234" t="str" cm="1">
        <f t="array" ref="F141">IF(G141="","",IF(_xlfn.TEXTJOIN(", ",TRUE,IFERROR(_xlfn._xlws.FILTER(Table3[Holiday Name],(G141&gt;=Table3[start])*(G141&lt;=Table3[end])),"**No associated Holiday"))="","",_xlfn.TEXTJOIN(", ",TRUE,IFERROR(_xlfn._xlws.FILTER(Table3[Holiday Name],(G141&gt;=Table3[start])*(G141&lt;=Table3[end])),"**No associated Holiday"))))</f>
        <v/>
      </c>
      <c r="G141" s="36"/>
      <c r="I141" s="31"/>
    </row>
    <row r="142" spans="5:9" x14ac:dyDescent="0.35">
      <c r="E142" s="289" t="str" cm="1">
        <f t="array" ref="E142">IF(IFERROR(_xlfn.TEXTJOIN(", ",TRUE,TEXT(INDEX(Table3[Date],MATCH(_xlfn.FILTERXML("&lt;root&gt;&lt;item&gt;"&amp;SUBSTITUTE(F142,", ","&lt;/item&gt;&lt;item&gt;")&amp;"&lt;/item&gt;&lt;/root&gt;","//item"),Table3[Holiday Name],0)),"m/d/yyyy")),G142)="","",IFERROR(_xlfn.TEXTJOIN(", ",TRUE,TEXT(INDEX(Table3[Date],MATCH(_xlfn.FILTERXML("&lt;root&gt;&lt;item&gt;"&amp;SUBSTITUTE(F142,", ","&lt;/item&gt;&lt;item&gt;")&amp;"&lt;/item&gt;&lt;/root&gt;","//item"),Table3[Holiday Name],0)),"m/d/yyyy")),G142))</f>
        <v/>
      </c>
      <c r="F142" s="234" t="str" cm="1">
        <f t="array" ref="F142">IF(G142="","",IF(_xlfn.TEXTJOIN(", ",TRUE,IFERROR(_xlfn._xlws.FILTER(Table3[Holiday Name],(G142&gt;=Table3[start])*(G142&lt;=Table3[end])),"**No associated Holiday"))="","",_xlfn.TEXTJOIN(", ",TRUE,IFERROR(_xlfn._xlws.FILTER(Table3[Holiday Name],(G142&gt;=Table3[start])*(G142&lt;=Table3[end])),"**No associated Holiday"))))</f>
        <v/>
      </c>
      <c r="G142" s="36"/>
      <c r="I142" s="31"/>
    </row>
    <row r="143" spans="5:9" x14ac:dyDescent="0.35">
      <c r="E143" s="289" t="str" cm="1">
        <f t="array" ref="E143">IF(IFERROR(_xlfn.TEXTJOIN(", ",TRUE,TEXT(INDEX(Table3[Date],MATCH(_xlfn.FILTERXML("&lt;root&gt;&lt;item&gt;"&amp;SUBSTITUTE(F143,", ","&lt;/item&gt;&lt;item&gt;")&amp;"&lt;/item&gt;&lt;/root&gt;","//item"),Table3[Holiday Name],0)),"m/d/yyyy")),G143)="","",IFERROR(_xlfn.TEXTJOIN(", ",TRUE,TEXT(INDEX(Table3[Date],MATCH(_xlfn.FILTERXML("&lt;root&gt;&lt;item&gt;"&amp;SUBSTITUTE(F143,", ","&lt;/item&gt;&lt;item&gt;")&amp;"&lt;/item&gt;&lt;/root&gt;","//item"),Table3[Holiday Name],0)),"m/d/yyyy")),G143))</f>
        <v/>
      </c>
      <c r="F143" s="234" t="str" cm="1">
        <f t="array" ref="F143">IF(G143="","",IF(_xlfn.TEXTJOIN(", ",TRUE,IFERROR(_xlfn._xlws.FILTER(Table3[Holiday Name],(G143&gt;=Table3[start])*(G143&lt;=Table3[end])),"**No associated Holiday"))="","",_xlfn.TEXTJOIN(", ",TRUE,IFERROR(_xlfn._xlws.FILTER(Table3[Holiday Name],(G143&gt;=Table3[start])*(G143&lt;=Table3[end])),"**No associated Holiday"))))</f>
        <v/>
      </c>
      <c r="G143" s="36"/>
      <c r="I143" s="31"/>
    </row>
    <row r="144" spans="5:9" x14ac:dyDescent="0.35">
      <c r="E144" s="289" t="str" cm="1">
        <f t="array" ref="E144">IF(IFERROR(_xlfn.TEXTJOIN(", ",TRUE,TEXT(INDEX(Table3[Date],MATCH(_xlfn.FILTERXML("&lt;root&gt;&lt;item&gt;"&amp;SUBSTITUTE(F144,", ","&lt;/item&gt;&lt;item&gt;")&amp;"&lt;/item&gt;&lt;/root&gt;","//item"),Table3[Holiday Name],0)),"m/d/yyyy")),G144)="","",IFERROR(_xlfn.TEXTJOIN(", ",TRUE,TEXT(INDEX(Table3[Date],MATCH(_xlfn.FILTERXML("&lt;root&gt;&lt;item&gt;"&amp;SUBSTITUTE(F144,", ","&lt;/item&gt;&lt;item&gt;")&amp;"&lt;/item&gt;&lt;/root&gt;","//item"),Table3[Holiday Name],0)),"m/d/yyyy")),G144))</f>
        <v/>
      </c>
      <c r="F144" s="234" t="str" cm="1">
        <f t="array" ref="F144">IF(G144="","",IF(_xlfn.TEXTJOIN(", ",TRUE,IFERROR(_xlfn._xlws.FILTER(Table3[Holiday Name],(G144&gt;=Table3[start])*(G144&lt;=Table3[end])),"**No associated Holiday"))="","",_xlfn.TEXTJOIN(", ",TRUE,IFERROR(_xlfn._xlws.FILTER(Table3[Holiday Name],(G144&gt;=Table3[start])*(G144&lt;=Table3[end])),"**No associated Holiday"))))</f>
        <v/>
      </c>
      <c r="G144" s="36"/>
      <c r="I144" s="31"/>
    </row>
    <row r="145" spans="5:9" x14ac:dyDescent="0.35">
      <c r="E145" s="289" t="str" cm="1">
        <f t="array" ref="E145">IF(IFERROR(_xlfn.TEXTJOIN(", ",TRUE,TEXT(INDEX(Table3[Date],MATCH(_xlfn.FILTERXML("&lt;root&gt;&lt;item&gt;"&amp;SUBSTITUTE(F145,", ","&lt;/item&gt;&lt;item&gt;")&amp;"&lt;/item&gt;&lt;/root&gt;","//item"),Table3[Holiday Name],0)),"m/d/yyyy")),G145)="","",IFERROR(_xlfn.TEXTJOIN(", ",TRUE,TEXT(INDEX(Table3[Date],MATCH(_xlfn.FILTERXML("&lt;root&gt;&lt;item&gt;"&amp;SUBSTITUTE(F145,", ","&lt;/item&gt;&lt;item&gt;")&amp;"&lt;/item&gt;&lt;/root&gt;","//item"),Table3[Holiday Name],0)),"m/d/yyyy")),G145))</f>
        <v/>
      </c>
      <c r="F145" s="234" t="str" cm="1">
        <f t="array" ref="F145">IF(G145="","",IF(_xlfn.TEXTJOIN(", ",TRUE,IFERROR(_xlfn._xlws.FILTER(Table3[Holiday Name],(G145&gt;=Table3[start])*(G145&lt;=Table3[end])),"**No associated Holiday"))="","",_xlfn.TEXTJOIN(", ",TRUE,IFERROR(_xlfn._xlws.FILTER(Table3[Holiday Name],(G145&gt;=Table3[start])*(G145&lt;=Table3[end])),"**No associated Holiday"))))</f>
        <v/>
      </c>
      <c r="G145" s="36"/>
      <c r="I145" s="31"/>
    </row>
    <row r="146" spans="5:9" x14ac:dyDescent="0.35">
      <c r="E146" s="289" t="str" cm="1">
        <f t="array" ref="E146">IF(IFERROR(_xlfn.TEXTJOIN(", ",TRUE,TEXT(INDEX(Table3[Date],MATCH(_xlfn.FILTERXML("&lt;root&gt;&lt;item&gt;"&amp;SUBSTITUTE(F146,", ","&lt;/item&gt;&lt;item&gt;")&amp;"&lt;/item&gt;&lt;/root&gt;","//item"),Table3[Holiday Name],0)),"m/d/yyyy")),G146)="","",IFERROR(_xlfn.TEXTJOIN(", ",TRUE,TEXT(INDEX(Table3[Date],MATCH(_xlfn.FILTERXML("&lt;root&gt;&lt;item&gt;"&amp;SUBSTITUTE(F146,", ","&lt;/item&gt;&lt;item&gt;")&amp;"&lt;/item&gt;&lt;/root&gt;","//item"),Table3[Holiday Name],0)),"m/d/yyyy")),G146))</f>
        <v/>
      </c>
      <c r="F146" s="234" t="str" cm="1">
        <f t="array" ref="F146">IF(G146="","",IF(_xlfn.TEXTJOIN(", ",TRUE,IFERROR(_xlfn._xlws.FILTER(Table3[Holiday Name],(G146&gt;=Table3[start])*(G146&lt;=Table3[end])),"**No associated Holiday"))="","",_xlfn.TEXTJOIN(", ",TRUE,IFERROR(_xlfn._xlws.FILTER(Table3[Holiday Name],(G146&gt;=Table3[start])*(G146&lt;=Table3[end])),"**No associated Holiday"))))</f>
        <v/>
      </c>
      <c r="G146" s="36"/>
      <c r="I146" s="31"/>
    </row>
    <row r="147" spans="5:9" x14ac:dyDescent="0.35">
      <c r="E147" s="289" t="str" cm="1">
        <f t="array" ref="E147">IF(IFERROR(_xlfn.TEXTJOIN(", ",TRUE,TEXT(INDEX(Table3[Date],MATCH(_xlfn.FILTERXML("&lt;root&gt;&lt;item&gt;"&amp;SUBSTITUTE(F147,", ","&lt;/item&gt;&lt;item&gt;")&amp;"&lt;/item&gt;&lt;/root&gt;","//item"),Table3[Holiday Name],0)),"m/d/yyyy")),G147)="","",IFERROR(_xlfn.TEXTJOIN(", ",TRUE,TEXT(INDEX(Table3[Date],MATCH(_xlfn.FILTERXML("&lt;root&gt;&lt;item&gt;"&amp;SUBSTITUTE(F147,", ","&lt;/item&gt;&lt;item&gt;")&amp;"&lt;/item&gt;&lt;/root&gt;","//item"),Table3[Holiday Name],0)),"m/d/yyyy")),G147))</f>
        <v/>
      </c>
      <c r="F147" s="234" t="str" cm="1">
        <f t="array" ref="F147">IF(G147="","",IF(_xlfn.TEXTJOIN(", ",TRUE,IFERROR(_xlfn._xlws.FILTER(Table3[Holiday Name],(G147&gt;=Table3[start])*(G147&lt;=Table3[end])),"**No associated Holiday"))="","",_xlfn.TEXTJOIN(", ",TRUE,IFERROR(_xlfn._xlws.FILTER(Table3[Holiday Name],(G147&gt;=Table3[start])*(G147&lt;=Table3[end])),"**No associated Holiday"))))</f>
        <v/>
      </c>
      <c r="G147" s="36"/>
      <c r="I147" s="31"/>
    </row>
    <row r="148" spans="5:9" x14ac:dyDescent="0.35">
      <c r="E148" s="289" t="str" cm="1">
        <f t="array" ref="E148">IF(IFERROR(_xlfn.TEXTJOIN(", ",TRUE,TEXT(INDEX(Table3[Date],MATCH(_xlfn.FILTERXML("&lt;root&gt;&lt;item&gt;"&amp;SUBSTITUTE(F148,", ","&lt;/item&gt;&lt;item&gt;")&amp;"&lt;/item&gt;&lt;/root&gt;","//item"),Table3[Holiday Name],0)),"m/d/yyyy")),G148)="","",IFERROR(_xlfn.TEXTJOIN(", ",TRUE,TEXT(INDEX(Table3[Date],MATCH(_xlfn.FILTERXML("&lt;root&gt;&lt;item&gt;"&amp;SUBSTITUTE(F148,", ","&lt;/item&gt;&lt;item&gt;")&amp;"&lt;/item&gt;&lt;/root&gt;","//item"),Table3[Holiday Name],0)),"m/d/yyyy")),G148))</f>
        <v/>
      </c>
      <c r="F148" s="234" t="str" cm="1">
        <f t="array" ref="F148">IF(G148="","",IF(_xlfn.TEXTJOIN(", ",TRUE,IFERROR(_xlfn._xlws.FILTER(Table3[Holiday Name],(G148&gt;=Table3[start])*(G148&lt;=Table3[end])),"**No associated Holiday"))="","",_xlfn.TEXTJOIN(", ",TRUE,IFERROR(_xlfn._xlws.FILTER(Table3[Holiday Name],(G148&gt;=Table3[start])*(G148&lt;=Table3[end])),"**No associated Holiday"))))</f>
        <v/>
      </c>
      <c r="G148" s="36"/>
      <c r="I148" s="31"/>
    </row>
    <row r="149" spans="5:9" x14ac:dyDescent="0.35">
      <c r="E149" s="289" t="str" cm="1">
        <f t="array" ref="E149">IF(IFERROR(_xlfn.TEXTJOIN(", ",TRUE,TEXT(INDEX(Table3[Date],MATCH(_xlfn.FILTERXML("&lt;root&gt;&lt;item&gt;"&amp;SUBSTITUTE(F149,", ","&lt;/item&gt;&lt;item&gt;")&amp;"&lt;/item&gt;&lt;/root&gt;","//item"),Table3[Holiday Name],0)),"m/d/yyyy")),G149)="","",IFERROR(_xlfn.TEXTJOIN(", ",TRUE,TEXT(INDEX(Table3[Date],MATCH(_xlfn.FILTERXML("&lt;root&gt;&lt;item&gt;"&amp;SUBSTITUTE(F149,", ","&lt;/item&gt;&lt;item&gt;")&amp;"&lt;/item&gt;&lt;/root&gt;","//item"),Table3[Holiday Name],0)),"m/d/yyyy")),G149))</f>
        <v/>
      </c>
      <c r="F149" s="234" t="str" cm="1">
        <f t="array" ref="F149">IF(G149="","",IF(_xlfn.TEXTJOIN(", ",TRUE,IFERROR(_xlfn._xlws.FILTER(Table3[Holiday Name],(G149&gt;=Table3[start])*(G149&lt;=Table3[end])),"**No associated Holiday"))="","",_xlfn.TEXTJOIN(", ",TRUE,IFERROR(_xlfn._xlws.FILTER(Table3[Holiday Name],(G149&gt;=Table3[start])*(G149&lt;=Table3[end])),"**No associated Holiday"))))</f>
        <v/>
      </c>
      <c r="G149" s="36"/>
      <c r="I149" s="31"/>
    </row>
    <row r="150" spans="5:9" x14ac:dyDescent="0.35">
      <c r="E150" s="289" t="str" cm="1">
        <f t="array" ref="E150">IF(IFERROR(_xlfn.TEXTJOIN(", ",TRUE,TEXT(INDEX(Table3[Date],MATCH(_xlfn.FILTERXML("&lt;root&gt;&lt;item&gt;"&amp;SUBSTITUTE(F150,", ","&lt;/item&gt;&lt;item&gt;")&amp;"&lt;/item&gt;&lt;/root&gt;","//item"),Table3[Holiday Name],0)),"m/d/yyyy")),G150)="","",IFERROR(_xlfn.TEXTJOIN(", ",TRUE,TEXT(INDEX(Table3[Date],MATCH(_xlfn.FILTERXML("&lt;root&gt;&lt;item&gt;"&amp;SUBSTITUTE(F150,", ","&lt;/item&gt;&lt;item&gt;")&amp;"&lt;/item&gt;&lt;/root&gt;","//item"),Table3[Holiday Name],0)),"m/d/yyyy")),G150))</f>
        <v/>
      </c>
      <c r="F150" s="234" t="str" cm="1">
        <f t="array" ref="F150">IF(G150="","",IF(_xlfn.TEXTJOIN(", ",TRUE,IFERROR(_xlfn._xlws.FILTER(Table3[Holiday Name],(G150&gt;=Table3[start])*(G150&lt;=Table3[end])),"**No associated Holiday"))="","",_xlfn.TEXTJOIN(", ",TRUE,IFERROR(_xlfn._xlws.FILTER(Table3[Holiday Name],(G150&gt;=Table3[start])*(G150&lt;=Table3[end])),"**No associated Holiday"))))</f>
        <v/>
      </c>
      <c r="G150" s="36"/>
      <c r="I150" s="31"/>
    </row>
    <row r="151" spans="5:9" x14ac:dyDescent="0.35">
      <c r="E151" s="289" t="str" cm="1">
        <f t="array" ref="E151">IF(IFERROR(_xlfn.TEXTJOIN(", ",TRUE,TEXT(INDEX(Table3[Date],MATCH(_xlfn.FILTERXML("&lt;root&gt;&lt;item&gt;"&amp;SUBSTITUTE(F151,", ","&lt;/item&gt;&lt;item&gt;")&amp;"&lt;/item&gt;&lt;/root&gt;","//item"),Table3[Holiday Name],0)),"m/d/yyyy")),G151)="","",IFERROR(_xlfn.TEXTJOIN(", ",TRUE,TEXT(INDEX(Table3[Date],MATCH(_xlfn.FILTERXML("&lt;root&gt;&lt;item&gt;"&amp;SUBSTITUTE(F151,", ","&lt;/item&gt;&lt;item&gt;")&amp;"&lt;/item&gt;&lt;/root&gt;","//item"),Table3[Holiday Name],0)),"m/d/yyyy")),G151))</f>
        <v/>
      </c>
      <c r="F151" s="234" t="str" cm="1">
        <f t="array" ref="F151">IF(G151="","",IF(_xlfn.TEXTJOIN(", ",TRUE,IFERROR(_xlfn._xlws.FILTER(Table3[Holiday Name],(G151&gt;=Table3[start])*(G151&lt;=Table3[end])),"**No associated Holiday"))="","",_xlfn.TEXTJOIN(", ",TRUE,IFERROR(_xlfn._xlws.FILTER(Table3[Holiday Name],(G151&gt;=Table3[start])*(G151&lt;=Table3[end])),"**No associated Holiday"))))</f>
        <v/>
      </c>
      <c r="G151" s="36"/>
      <c r="I151" s="31"/>
    </row>
    <row r="152" spans="5:9" x14ac:dyDescent="0.35">
      <c r="E152" s="289" t="str" cm="1">
        <f t="array" ref="E152">IF(IFERROR(_xlfn.TEXTJOIN(", ",TRUE,TEXT(INDEX(Table3[Date],MATCH(_xlfn.FILTERXML("&lt;root&gt;&lt;item&gt;"&amp;SUBSTITUTE(F152,", ","&lt;/item&gt;&lt;item&gt;")&amp;"&lt;/item&gt;&lt;/root&gt;","//item"),Table3[Holiday Name],0)),"m/d/yyyy")),G152)="","",IFERROR(_xlfn.TEXTJOIN(", ",TRUE,TEXT(INDEX(Table3[Date],MATCH(_xlfn.FILTERXML("&lt;root&gt;&lt;item&gt;"&amp;SUBSTITUTE(F152,", ","&lt;/item&gt;&lt;item&gt;")&amp;"&lt;/item&gt;&lt;/root&gt;","//item"),Table3[Holiday Name],0)),"m/d/yyyy")),G152))</f>
        <v/>
      </c>
      <c r="F152" s="234" t="str" cm="1">
        <f t="array" ref="F152">IF(G152="","",IF(_xlfn.TEXTJOIN(", ",TRUE,IFERROR(_xlfn._xlws.FILTER(Table3[Holiday Name],(G152&gt;=Table3[start])*(G152&lt;=Table3[end])),"**No associated Holiday"))="","",_xlfn.TEXTJOIN(", ",TRUE,IFERROR(_xlfn._xlws.FILTER(Table3[Holiday Name],(G152&gt;=Table3[start])*(G152&lt;=Table3[end])),"**No associated Holiday"))))</f>
        <v/>
      </c>
      <c r="G152" s="36"/>
      <c r="I152" s="31"/>
    </row>
    <row r="153" spans="5:9" x14ac:dyDescent="0.35">
      <c r="E153" s="289" t="str" cm="1">
        <f t="array" ref="E153">IF(IFERROR(_xlfn.TEXTJOIN(", ",TRUE,TEXT(INDEX(Table3[Date],MATCH(_xlfn.FILTERXML("&lt;root&gt;&lt;item&gt;"&amp;SUBSTITUTE(F153,", ","&lt;/item&gt;&lt;item&gt;")&amp;"&lt;/item&gt;&lt;/root&gt;","//item"),Table3[Holiday Name],0)),"m/d/yyyy")),G153)="","",IFERROR(_xlfn.TEXTJOIN(", ",TRUE,TEXT(INDEX(Table3[Date],MATCH(_xlfn.FILTERXML("&lt;root&gt;&lt;item&gt;"&amp;SUBSTITUTE(F153,", ","&lt;/item&gt;&lt;item&gt;")&amp;"&lt;/item&gt;&lt;/root&gt;","//item"),Table3[Holiday Name],0)),"m/d/yyyy")),G153))</f>
        <v/>
      </c>
      <c r="F153" s="234" t="str" cm="1">
        <f t="array" ref="F153">IF(G153="","",IF(_xlfn.TEXTJOIN(", ",TRUE,IFERROR(_xlfn._xlws.FILTER(Table3[Holiday Name],(G153&gt;=Table3[start])*(G153&lt;=Table3[end])),"**No associated Holiday"))="","",_xlfn.TEXTJOIN(", ",TRUE,IFERROR(_xlfn._xlws.FILTER(Table3[Holiday Name],(G153&gt;=Table3[start])*(G153&lt;=Table3[end])),"**No associated Holiday"))))</f>
        <v/>
      </c>
      <c r="G153" s="36"/>
      <c r="I153" s="31"/>
    </row>
    <row r="154" spans="5:9" x14ac:dyDescent="0.35">
      <c r="E154" s="289" t="str" cm="1">
        <f t="array" ref="E154">IF(IFERROR(_xlfn.TEXTJOIN(", ",TRUE,TEXT(INDEX(Table3[Date],MATCH(_xlfn.FILTERXML("&lt;root&gt;&lt;item&gt;"&amp;SUBSTITUTE(F154,", ","&lt;/item&gt;&lt;item&gt;")&amp;"&lt;/item&gt;&lt;/root&gt;","//item"),Table3[Holiday Name],0)),"m/d/yyyy")),G154)="","",IFERROR(_xlfn.TEXTJOIN(", ",TRUE,TEXT(INDEX(Table3[Date],MATCH(_xlfn.FILTERXML("&lt;root&gt;&lt;item&gt;"&amp;SUBSTITUTE(F154,", ","&lt;/item&gt;&lt;item&gt;")&amp;"&lt;/item&gt;&lt;/root&gt;","//item"),Table3[Holiday Name],0)),"m/d/yyyy")),G154))</f>
        <v/>
      </c>
      <c r="F154" s="234" t="str" cm="1">
        <f t="array" ref="F154">IF(G154="","",IF(_xlfn.TEXTJOIN(", ",TRUE,IFERROR(_xlfn._xlws.FILTER(Table3[Holiday Name],(G154&gt;=Table3[start])*(G154&lt;=Table3[end])),"**No associated Holiday"))="","",_xlfn.TEXTJOIN(", ",TRUE,IFERROR(_xlfn._xlws.FILTER(Table3[Holiday Name],(G154&gt;=Table3[start])*(G154&lt;=Table3[end])),"**No associated Holiday"))))</f>
        <v/>
      </c>
      <c r="G154" s="36"/>
      <c r="I154" s="31"/>
    </row>
    <row r="155" spans="5:9" x14ac:dyDescent="0.35">
      <c r="E155" s="289" t="str" cm="1">
        <f t="array" ref="E155">IF(IFERROR(_xlfn.TEXTJOIN(", ",TRUE,TEXT(INDEX(Table3[Date],MATCH(_xlfn.FILTERXML("&lt;root&gt;&lt;item&gt;"&amp;SUBSTITUTE(F155,", ","&lt;/item&gt;&lt;item&gt;")&amp;"&lt;/item&gt;&lt;/root&gt;","//item"),Table3[Holiday Name],0)),"m/d/yyyy")),G155)="","",IFERROR(_xlfn.TEXTJOIN(", ",TRUE,TEXT(INDEX(Table3[Date],MATCH(_xlfn.FILTERXML("&lt;root&gt;&lt;item&gt;"&amp;SUBSTITUTE(F155,", ","&lt;/item&gt;&lt;item&gt;")&amp;"&lt;/item&gt;&lt;/root&gt;","//item"),Table3[Holiday Name],0)),"m/d/yyyy")),G155))</f>
        <v/>
      </c>
      <c r="F155" s="234" t="str" cm="1">
        <f t="array" ref="F155">IF(G155="","",IF(_xlfn.TEXTJOIN(", ",TRUE,IFERROR(_xlfn._xlws.FILTER(Table3[Holiday Name],(G155&gt;=Table3[start])*(G155&lt;=Table3[end])),"**No associated Holiday"))="","",_xlfn.TEXTJOIN(", ",TRUE,IFERROR(_xlfn._xlws.FILTER(Table3[Holiday Name],(G155&gt;=Table3[start])*(G155&lt;=Table3[end])),"**No associated Holiday"))))</f>
        <v/>
      </c>
      <c r="G155" s="36"/>
      <c r="I155" s="31"/>
    </row>
    <row r="156" spans="5:9" x14ac:dyDescent="0.35">
      <c r="E156" s="289" t="str" cm="1">
        <f t="array" ref="E156">IF(IFERROR(_xlfn.TEXTJOIN(", ",TRUE,TEXT(INDEX(Table3[Date],MATCH(_xlfn.FILTERXML("&lt;root&gt;&lt;item&gt;"&amp;SUBSTITUTE(F156,", ","&lt;/item&gt;&lt;item&gt;")&amp;"&lt;/item&gt;&lt;/root&gt;","//item"),Table3[Holiday Name],0)),"m/d/yyyy")),G156)="","",IFERROR(_xlfn.TEXTJOIN(", ",TRUE,TEXT(INDEX(Table3[Date],MATCH(_xlfn.FILTERXML("&lt;root&gt;&lt;item&gt;"&amp;SUBSTITUTE(F156,", ","&lt;/item&gt;&lt;item&gt;")&amp;"&lt;/item&gt;&lt;/root&gt;","//item"),Table3[Holiday Name],0)),"m/d/yyyy")),G156))</f>
        <v/>
      </c>
      <c r="F156" s="234" t="str" cm="1">
        <f t="array" ref="F156">IF(G156="","",IF(_xlfn.TEXTJOIN(", ",TRUE,IFERROR(_xlfn._xlws.FILTER(Table3[Holiday Name],(G156&gt;=Table3[start])*(G156&lt;=Table3[end])),"**No associated Holiday"))="","",_xlfn.TEXTJOIN(", ",TRUE,IFERROR(_xlfn._xlws.FILTER(Table3[Holiday Name],(G156&gt;=Table3[start])*(G156&lt;=Table3[end])),"**No associated Holiday"))))</f>
        <v/>
      </c>
      <c r="G156" s="36"/>
      <c r="I156" s="31"/>
    </row>
    <row r="157" spans="5:9" x14ac:dyDescent="0.35">
      <c r="E157" s="289" t="str" cm="1">
        <f t="array" ref="E157">IF(IFERROR(_xlfn.TEXTJOIN(", ",TRUE,TEXT(INDEX(Table3[Date],MATCH(_xlfn.FILTERXML("&lt;root&gt;&lt;item&gt;"&amp;SUBSTITUTE(F157,", ","&lt;/item&gt;&lt;item&gt;")&amp;"&lt;/item&gt;&lt;/root&gt;","//item"),Table3[Holiday Name],0)),"m/d/yyyy")),G157)="","",IFERROR(_xlfn.TEXTJOIN(", ",TRUE,TEXT(INDEX(Table3[Date],MATCH(_xlfn.FILTERXML("&lt;root&gt;&lt;item&gt;"&amp;SUBSTITUTE(F157,", ","&lt;/item&gt;&lt;item&gt;")&amp;"&lt;/item&gt;&lt;/root&gt;","//item"),Table3[Holiday Name],0)),"m/d/yyyy")),G157))</f>
        <v/>
      </c>
      <c r="F157" s="234" t="str" cm="1">
        <f t="array" ref="F157">IF(G157="","",IF(_xlfn.TEXTJOIN(", ",TRUE,IFERROR(_xlfn._xlws.FILTER(Table3[Holiday Name],(G157&gt;=Table3[start])*(G157&lt;=Table3[end])),"**No associated Holiday"))="","",_xlfn.TEXTJOIN(", ",TRUE,IFERROR(_xlfn._xlws.FILTER(Table3[Holiday Name],(G157&gt;=Table3[start])*(G157&lt;=Table3[end])),"**No associated Holiday"))))</f>
        <v/>
      </c>
      <c r="G157" s="36"/>
      <c r="I157" s="31"/>
    </row>
    <row r="158" spans="5:9" x14ac:dyDescent="0.35">
      <c r="E158" s="289" t="str" cm="1">
        <f t="array" ref="E158">IF(IFERROR(_xlfn.TEXTJOIN(", ",TRUE,TEXT(INDEX(Table3[Date],MATCH(_xlfn.FILTERXML("&lt;root&gt;&lt;item&gt;"&amp;SUBSTITUTE(F158,", ","&lt;/item&gt;&lt;item&gt;")&amp;"&lt;/item&gt;&lt;/root&gt;","//item"),Table3[Holiday Name],0)),"m/d/yyyy")),G158)="","",IFERROR(_xlfn.TEXTJOIN(", ",TRUE,TEXT(INDEX(Table3[Date],MATCH(_xlfn.FILTERXML("&lt;root&gt;&lt;item&gt;"&amp;SUBSTITUTE(F158,", ","&lt;/item&gt;&lt;item&gt;")&amp;"&lt;/item&gt;&lt;/root&gt;","//item"),Table3[Holiday Name],0)),"m/d/yyyy")),G158))</f>
        <v/>
      </c>
      <c r="F158" s="234" t="str" cm="1">
        <f t="array" ref="F158">IF(G158="","",IF(_xlfn.TEXTJOIN(", ",TRUE,IFERROR(_xlfn._xlws.FILTER(Table3[Holiday Name],(G158&gt;=Table3[start])*(G158&lt;=Table3[end])),"**No associated Holiday"))="","",_xlfn.TEXTJOIN(", ",TRUE,IFERROR(_xlfn._xlws.FILTER(Table3[Holiday Name],(G158&gt;=Table3[start])*(G158&lt;=Table3[end])),"**No associated Holiday"))))</f>
        <v/>
      </c>
      <c r="G158" s="36"/>
      <c r="I158" s="31"/>
    </row>
    <row r="159" spans="5:9" x14ac:dyDescent="0.35">
      <c r="E159" s="289" t="str" cm="1">
        <f t="array" ref="E159">IF(IFERROR(_xlfn.TEXTJOIN(", ",TRUE,TEXT(INDEX(Table3[Date],MATCH(_xlfn.FILTERXML("&lt;root&gt;&lt;item&gt;"&amp;SUBSTITUTE(F159,", ","&lt;/item&gt;&lt;item&gt;")&amp;"&lt;/item&gt;&lt;/root&gt;","//item"),Table3[Holiday Name],0)),"m/d/yyyy")),G159)="","",IFERROR(_xlfn.TEXTJOIN(", ",TRUE,TEXT(INDEX(Table3[Date],MATCH(_xlfn.FILTERXML("&lt;root&gt;&lt;item&gt;"&amp;SUBSTITUTE(F159,", ","&lt;/item&gt;&lt;item&gt;")&amp;"&lt;/item&gt;&lt;/root&gt;","//item"),Table3[Holiday Name],0)),"m/d/yyyy")),G159))</f>
        <v/>
      </c>
      <c r="F159" s="234" t="str" cm="1">
        <f t="array" ref="F159">IF(G159="","",IF(_xlfn.TEXTJOIN(", ",TRUE,IFERROR(_xlfn._xlws.FILTER(Table3[Holiday Name],(G159&gt;=Table3[start])*(G159&lt;=Table3[end])),"**No associated Holiday"))="","",_xlfn.TEXTJOIN(", ",TRUE,IFERROR(_xlfn._xlws.FILTER(Table3[Holiday Name],(G159&gt;=Table3[start])*(G159&lt;=Table3[end])),"**No associated Holiday"))))</f>
        <v/>
      </c>
      <c r="G159" s="36"/>
      <c r="I159" s="31"/>
    </row>
    <row r="160" spans="5:9" x14ac:dyDescent="0.35">
      <c r="E160" s="289" t="str" cm="1">
        <f t="array" ref="E160">IF(IFERROR(_xlfn.TEXTJOIN(", ",TRUE,TEXT(INDEX(Table3[Date],MATCH(_xlfn.FILTERXML("&lt;root&gt;&lt;item&gt;"&amp;SUBSTITUTE(F160,", ","&lt;/item&gt;&lt;item&gt;")&amp;"&lt;/item&gt;&lt;/root&gt;","//item"),Table3[Holiday Name],0)),"m/d/yyyy")),G160)="","",IFERROR(_xlfn.TEXTJOIN(", ",TRUE,TEXT(INDEX(Table3[Date],MATCH(_xlfn.FILTERXML("&lt;root&gt;&lt;item&gt;"&amp;SUBSTITUTE(F160,", ","&lt;/item&gt;&lt;item&gt;")&amp;"&lt;/item&gt;&lt;/root&gt;","//item"),Table3[Holiday Name],0)),"m/d/yyyy")),G160))</f>
        <v/>
      </c>
      <c r="F160" s="234" t="str" cm="1">
        <f t="array" ref="F160">IF(G160="","",IF(_xlfn.TEXTJOIN(", ",TRUE,IFERROR(_xlfn._xlws.FILTER(Table3[Holiday Name],(G160&gt;=Table3[start])*(G160&lt;=Table3[end])),"**No associated Holiday"))="","",_xlfn.TEXTJOIN(", ",TRUE,IFERROR(_xlfn._xlws.FILTER(Table3[Holiday Name],(G160&gt;=Table3[start])*(G160&lt;=Table3[end])),"**No associated Holiday"))))</f>
        <v/>
      </c>
      <c r="G160" s="36"/>
      <c r="I160" s="31"/>
    </row>
    <row r="161" spans="5:9" x14ac:dyDescent="0.35">
      <c r="E161" s="289" t="str" cm="1">
        <f t="array" ref="E161">IF(IFERROR(_xlfn.TEXTJOIN(", ",TRUE,TEXT(INDEX(Table3[Date],MATCH(_xlfn.FILTERXML("&lt;root&gt;&lt;item&gt;"&amp;SUBSTITUTE(F161,", ","&lt;/item&gt;&lt;item&gt;")&amp;"&lt;/item&gt;&lt;/root&gt;","//item"),Table3[Holiday Name],0)),"m/d/yyyy")),G161)="","",IFERROR(_xlfn.TEXTJOIN(", ",TRUE,TEXT(INDEX(Table3[Date],MATCH(_xlfn.FILTERXML("&lt;root&gt;&lt;item&gt;"&amp;SUBSTITUTE(F161,", ","&lt;/item&gt;&lt;item&gt;")&amp;"&lt;/item&gt;&lt;/root&gt;","//item"),Table3[Holiday Name],0)),"m/d/yyyy")),G161))</f>
        <v/>
      </c>
      <c r="F161" s="234" t="str" cm="1">
        <f t="array" ref="F161">IF(G161="","",IF(_xlfn.TEXTJOIN(", ",TRUE,IFERROR(_xlfn._xlws.FILTER(Table3[Holiday Name],(G161&gt;=Table3[start])*(G161&lt;=Table3[end])),"**No associated Holiday"))="","",_xlfn.TEXTJOIN(", ",TRUE,IFERROR(_xlfn._xlws.FILTER(Table3[Holiday Name],(G161&gt;=Table3[start])*(G161&lt;=Table3[end])),"**No associated Holiday"))))</f>
        <v/>
      </c>
      <c r="G161" s="36"/>
      <c r="I161" s="31"/>
    </row>
    <row r="162" spans="5:9" x14ac:dyDescent="0.35">
      <c r="E162" s="289" t="str" cm="1">
        <f t="array" ref="E162">IF(IFERROR(_xlfn.TEXTJOIN(", ",TRUE,TEXT(INDEX(Table3[Date],MATCH(_xlfn.FILTERXML("&lt;root&gt;&lt;item&gt;"&amp;SUBSTITUTE(F162,", ","&lt;/item&gt;&lt;item&gt;")&amp;"&lt;/item&gt;&lt;/root&gt;","//item"),Table3[Holiday Name],0)),"m/d/yyyy")),G162)="","",IFERROR(_xlfn.TEXTJOIN(", ",TRUE,TEXT(INDEX(Table3[Date],MATCH(_xlfn.FILTERXML("&lt;root&gt;&lt;item&gt;"&amp;SUBSTITUTE(F162,", ","&lt;/item&gt;&lt;item&gt;")&amp;"&lt;/item&gt;&lt;/root&gt;","//item"),Table3[Holiday Name],0)),"m/d/yyyy")),G162))</f>
        <v/>
      </c>
      <c r="F162" s="234" t="str" cm="1">
        <f t="array" ref="F162">IF(G162="","",IF(_xlfn.TEXTJOIN(", ",TRUE,IFERROR(_xlfn._xlws.FILTER(Table3[Holiday Name],(G162&gt;=Table3[start])*(G162&lt;=Table3[end])),"**No associated Holiday"))="","",_xlfn.TEXTJOIN(", ",TRUE,IFERROR(_xlfn._xlws.FILTER(Table3[Holiday Name],(G162&gt;=Table3[start])*(G162&lt;=Table3[end])),"**No associated Holiday"))))</f>
        <v/>
      </c>
      <c r="G162" s="36"/>
      <c r="I162" s="31"/>
    </row>
    <row r="163" spans="5:9" x14ac:dyDescent="0.35">
      <c r="E163" s="289" t="str" cm="1">
        <f t="array" ref="E163">IF(IFERROR(_xlfn.TEXTJOIN(", ",TRUE,TEXT(INDEX(Table3[Date],MATCH(_xlfn.FILTERXML("&lt;root&gt;&lt;item&gt;"&amp;SUBSTITUTE(F163,", ","&lt;/item&gt;&lt;item&gt;")&amp;"&lt;/item&gt;&lt;/root&gt;","//item"),Table3[Holiday Name],0)),"m/d/yyyy")),G163)="","",IFERROR(_xlfn.TEXTJOIN(", ",TRUE,TEXT(INDEX(Table3[Date],MATCH(_xlfn.FILTERXML("&lt;root&gt;&lt;item&gt;"&amp;SUBSTITUTE(F163,", ","&lt;/item&gt;&lt;item&gt;")&amp;"&lt;/item&gt;&lt;/root&gt;","//item"),Table3[Holiday Name],0)),"m/d/yyyy")),G163))</f>
        <v/>
      </c>
      <c r="F163" s="234" t="str" cm="1">
        <f t="array" ref="F163">IF(G163="","",IF(_xlfn.TEXTJOIN(", ",TRUE,IFERROR(_xlfn._xlws.FILTER(Table3[Holiday Name],(G163&gt;=Table3[start])*(G163&lt;=Table3[end])),"**No associated Holiday"))="","",_xlfn.TEXTJOIN(", ",TRUE,IFERROR(_xlfn._xlws.FILTER(Table3[Holiday Name],(G163&gt;=Table3[start])*(G163&lt;=Table3[end])),"**No associated Holiday"))))</f>
        <v/>
      </c>
      <c r="G163" s="36"/>
      <c r="I163" s="31"/>
    </row>
    <row r="164" spans="5:9" x14ac:dyDescent="0.35">
      <c r="E164" s="289" t="str" cm="1">
        <f t="array" ref="E164">IF(IFERROR(_xlfn.TEXTJOIN(", ",TRUE,TEXT(INDEX(Table3[Date],MATCH(_xlfn.FILTERXML("&lt;root&gt;&lt;item&gt;"&amp;SUBSTITUTE(F164,", ","&lt;/item&gt;&lt;item&gt;")&amp;"&lt;/item&gt;&lt;/root&gt;","//item"),Table3[Holiday Name],0)),"m/d/yyyy")),G164)="","",IFERROR(_xlfn.TEXTJOIN(", ",TRUE,TEXT(INDEX(Table3[Date],MATCH(_xlfn.FILTERXML("&lt;root&gt;&lt;item&gt;"&amp;SUBSTITUTE(F164,", ","&lt;/item&gt;&lt;item&gt;")&amp;"&lt;/item&gt;&lt;/root&gt;","//item"),Table3[Holiday Name],0)),"m/d/yyyy")),G164))</f>
        <v/>
      </c>
      <c r="F164" s="234" t="str" cm="1">
        <f t="array" ref="F164">IF(G164="","",IF(_xlfn.TEXTJOIN(", ",TRUE,IFERROR(_xlfn._xlws.FILTER(Table3[Holiday Name],(G164&gt;=Table3[start])*(G164&lt;=Table3[end])),"**No associated Holiday"))="","",_xlfn.TEXTJOIN(", ",TRUE,IFERROR(_xlfn._xlws.FILTER(Table3[Holiday Name],(G164&gt;=Table3[start])*(G164&lt;=Table3[end])),"**No associated Holiday"))))</f>
        <v/>
      </c>
      <c r="G164" s="36"/>
      <c r="I164" s="31"/>
    </row>
    <row r="165" spans="5:9" x14ac:dyDescent="0.35">
      <c r="E165" s="289" t="str" cm="1">
        <f t="array" ref="E165">IF(IFERROR(_xlfn.TEXTJOIN(", ",TRUE,TEXT(INDEX(Table3[Date],MATCH(_xlfn.FILTERXML("&lt;root&gt;&lt;item&gt;"&amp;SUBSTITUTE(F165,", ","&lt;/item&gt;&lt;item&gt;")&amp;"&lt;/item&gt;&lt;/root&gt;","//item"),Table3[Holiday Name],0)),"m/d/yyyy")),G165)="","",IFERROR(_xlfn.TEXTJOIN(", ",TRUE,TEXT(INDEX(Table3[Date],MATCH(_xlfn.FILTERXML("&lt;root&gt;&lt;item&gt;"&amp;SUBSTITUTE(F165,", ","&lt;/item&gt;&lt;item&gt;")&amp;"&lt;/item&gt;&lt;/root&gt;","//item"),Table3[Holiday Name],0)),"m/d/yyyy")),G165))</f>
        <v/>
      </c>
      <c r="F165" s="234" t="str" cm="1">
        <f t="array" ref="F165">IF(G165="","",IF(_xlfn.TEXTJOIN(", ",TRUE,IFERROR(_xlfn._xlws.FILTER(Table3[Holiday Name],(G165&gt;=Table3[start])*(G165&lt;=Table3[end])),"**No associated Holiday"))="","",_xlfn.TEXTJOIN(", ",TRUE,IFERROR(_xlfn._xlws.FILTER(Table3[Holiday Name],(G165&gt;=Table3[start])*(G165&lt;=Table3[end])),"**No associated Holiday"))))</f>
        <v/>
      </c>
      <c r="G165" s="36"/>
      <c r="I165" s="31"/>
    </row>
    <row r="166" spans="5:9" x14ac:dyDescent="0.35">
      <c r="E166" s="289" t="str" cm="1">
        <f t="array" ref="E166">IF(IFERROR(_xlfn.TEXTJOIN(", ",TRUE,TEXT(INDEX(Table3[Date],MATCH(_xlfn.FILTERXML("&lt;root&gt;&lt;item&gt;"&amp;SUBSTITUTE(F166,", ","&lt;/item&gt;&lt;item&gt;")&amp;"&lt;/item&gt;&lt;/root&gt;","//item"),Table3[Holiday Name],0)),"m/d/yyyy")),G166)="","",IFERROR(_xlfn.TEXTJOIN(", ",TRUE,TEXT(INDEX(Table3[Date],MATCH(_xlfn.FILTERXML("&lt;root&gt;&lt;item&gt;"&amp;SUBSTITUTE(F166,", ","&lt;/item&gt;&lt;item&gt;")&amp;"&lt;/item&gt;&lt;/root&gt;","//item"),Table3[Holiday Name],0)),"m/d/yyyy")),G166))</f>
        <v/>
      </c>
      <c r="F166" s="234" t="str" cm="1">
        <f t="array" ref="F166">IF(G166="","",IF(_xlfn.TEXTJOIN(", ",TRUE,IFERROR(_xlfn._xlws.FILTER(Table3[Holiday Name],(G166&gt;=Table3[start])*(G166&lt;=Table3[end])),"**No associated Holiday"))="","",_xlfn.TEXTJOIN(", ",TRUE,IFERROR(_xlfn._xlws.FILTER(Table3[Holiday Name],(G166&gt;=Table3[start])*(G166&lt;=Table3[end])),"**No associated Holiday"))))</f>
        <v/>
      </c>
      <c r="G166" s="36"/>
      <c r="I166" s="31"/>
    </row>
    <row r="167" spans="5:9" x14ac:dyDescent="0.35">
      <c r="E167" s="289" t="str" cm="1">
        <f t="array" ref="E167">IF(IFERROR(_xlfn.TEXTJOIN(", ",TRUE,TEXT(INDEX(Table3[Date],MATCH(_xlfn.FILTERXML("&lt;root&gt;&lt;item&gt;"&amp;SUBSTITUTE(F167,", ","&lt;/item&gt;&lt;item&gt;")&amp;"&lt;/item&gt;&lt;/root&gt;","//item"),Table3[Holiday Name],0)),"m/d/yyyy")),G167)="","",IFERROR(_xlfn.TEXTJOIN(", ",TRUE,TEXT(INDEX(Table3[Date],MATCH(_xlfn.FILTERXML("&lt;root&gt;&lt;item&gt;"&amp;SUBSTITUTE(F167,", ","&lt;/item&gt;&lt;item&gt;")&amp;"&lt;/item&gt;&lt;/root&gt;","//item"),Table3[Holiday Name],0)),"m/d/yyyy")),G167))</f>
        <v/>
      </c>
      <c r="F167" s="234" t="str" cm="1">
        <f t="array" ref="F167">IF(G167="","",IF(_xlfn.TEXTJOIN(", ",TRUE,IFERROR(_xlfn._xlws.FILTER(Table3[Holiday Name],(G167&gt;=Table3[start])*(G167&lt;=Table3[end])),"**No associated Holiday"))="","",_xlfn.TEXTJOIN(", ",TRUE,IFERROR(_xlfn._xlws.FILTER(Table3[Holiday Name],(G167&gt;=Table3[start])*(G167&lt;=Table3[end])),"**No associated Holiday"))))</f>
        <v/>
      </c>
      <c r="G167" s="36"/>
      <c r="I167" s="31"/>
    </row>
    <row r="168" spans="5:9" x14ac:dyDescent="0.35">
      <c r="E168" s="289" t="str" cm="1">
        <f t="array" ref="E168">IF(IFERROR(_xlfn.TEXTJOIN(", ",TRUE,TEXT(INDEX(Table3[Date],MATCH(_xlfn.FILTERXML("&lt;root&gt;&lt;item&gt;"&amp;SUBSTITUTE(F168,", ","&lt;/item&gt;&lt;item&gt;")&amp;"&lt;/item&gt;&lt;/root&gt;","//item"),Table3[Holiday Name],0)),"m/d/yyyy")),G168)="","",IFERROR(_xlfn.TEXTJOIN(", ",TRUE,TEXT(INDEX(Table3[Date],MATCH(_xlfn.FILTERXML("&lt;root&gt;&lt;item&gt;"&amp;SUBSTITUTE(F168,", ","&lt;/item&gt;&lt;item&gt;")&amp;"&lt;/item&gt;&lt;/root&gt;","//item"),Table3[Holiday Name],0)),"m/d/yyyy")),G168))</f>
        <v/>
      </c>
      <c r="F168" s="234" t="str" cm="1">
        <f t="array" ref="F168">IF(G168="","",IF(_xlfn.TEXTJOIN(", ",TRUE,IFERROR(_xlfn._xlws.FILTER(Table3[Holiday Name],(G168&gt;=Table3[start])*(G168&lt;=Table3[end])),"**No associated Holiday"))="","",_xlfn.TEXTJOIN(", ",TRUE,IFERROR(_xlfn._xlws.FILTER(Table3[Holiday Name],(G168&gt;=Table3[start])*(G168&lt;=Table3[end])),"**No associated Holiday"))))</f>
        <v/>
      </c>
      <c r="G168" s="36"/>
      <c r="I168" s="31"/>
    </row>
    <row r="169" spans="5:9" x14ac:dyDescent="0.35">
      <c r="E169" s="289" t="str" cm="1">
        <f t="array" ref="E169">IF(IFERROR(_xlfn.TEXTJOIN(", ",TRUE,TEXT(INDEX(Table3[Date],MATCH(_xlfn.FILTERXML("&lt;root&gt;&lt;item&gt;"&amp;SUBSTITUTE(F169,", ","&lt;/item&gt;&lt;item&gt;")&amp;"&lt;/item&gt;&lt;/root&gt;","//item"),Table3[Holiday Name],0)),"m/d/yyyy")),G169)="","",IFERROR(_xlfn.TEXTJOIN(", ",TRUE,TEXT(INDEX(Table3[Date],MATCH(_xlfn.FILTERXML("&lt;root&gt;&lt;item&gt;"&amp;SUBSTITUTE(F169,", ","&lt;/item&gt;&lt;item&gt;")&amp;"&lt;/item&gt;&lt;/root&gt;","//item"),Table3[Holiday Name],0)),"m/d/yyyy")),G169))</f>
        <v/>
      </c>
      <c r="F169" s="234" t="str" cm="1">
        <f t="array" ref="F169">IF(G169="","",IF(_xlfn.TEXTJOIN(", ",TRUE,IFERROR(_xlfn._xlws.FILTER(Table3[Holiday Name],(G169&gt;=Table3[start])*(G169&lt;=Table3[end])),"**No associated Holiday"))="","",_xlfn.TEXTJOIN(", ",TRUE,IFERROR(_xlfn._xlws.FILTER(Table3[Holiday Name],(G169&gt;=Table3[start])*(G169&lt;=Table3[end])),"**No associated Holiday"))))</f>
        <v/>
      </c>
      <c r="G169" s="36"/>
      <c r="I169" s="31"/>
    </row>
    <row r="170" spans="5:9" x14ac:dyDescent="0.35">
      <c r="E170" s="289" t="str" cm="1">
        <f t="array" ref="E170">IF(IFERROR(_xlfn.TEXTJOIN(", ",TRUE,TEXT(INDEX(Table3[Date],MATCH(_xlfn.FILTERXML("&lt;root&gt;&lt;item&gt;"&amp;SUBSTITUTE(F170,", ","&lt;/item&gt;&lt;item&gt;")&amp;"&lt;/item&gt;&lt;/root&gt;","//item"),Table3[Holiday Name],0)),"m/d/yyyy")),G170)="","",IFERROR(_xlfn.TEXTJOIN(", ",TRUE,TEXT(INDEX(Table3[Date],MATCH(_xlfn.FILTERXML("&lt;root&gt;&lt;item&gt;"&amp;SUBSTITUTE(F170,", ","&lt;/item&gt;&lt;item&gt;")&amp;"&lt;/item&gt;&lt;/root&gt;","//item"),Table3[Holiday Name],0)),"m/d/yyyy")),G170))</f>
        <v/>
      </c>
      <c r="F170" s="234" t="str" cm="1">
        <f t="array" ref="F170">IF(G170="","",IF(_xlfn.TEXTJOIN(", ",TRUE,IFERROR(_xlfn._xlws.FILTER(Table3[Holiday Name],(G170&gt;=Table3[start])*(G170&lt;=Table3[end])),"**No associated Holiday"))="","",_xlfn.TEXTJOIN(", ",TRUE,IFERROR(_xlfn._xlws.FILTER(Table3[Holiday Name],(G170&gt;=Table3[start])*(G170&lt;=Table3[end])),"**No associated Holiday"))))</f>
        <v/>
      </c>
      <c r="G170" s="36"/>
      <c r="I170" s="31"/>
    </row>
    <row r="171" spans="5:9" x14ac:dyDescent="0.35">
      <c r="E171" s="289" t="str" cm="1">
        <f t="array" ref="E171">IF(IFERROR(_xlfn.TEXTJOIN(", ",TRUE,TEXT(INDEX(Table3[Date],MATCH(_xlfn.FILTERXML("&lt;root&gt;&lt;item&gt;"&amp;SUBSTITUTE(F171,", ","&lt;/item&gt;&lt;item&gt;")&amp;"&lt;/item&gt;&lt;/root&gt;","//item"),Table3[Holiday Name],0)),"m/d/yyyy")),G171)="","",IFERROR(_xlfn.TEXTJOIN(", ",TRUE,TEXT(INDEX(Table3[Date],MATCH(_xlfn.FILTERXML("&lt;root&gt;&lt;item&gt;"&amp;SUBSTITUTE(F171,", ","&lt;/item&gt;&lt;item&gt;")&amp;"&lt;/item&gt;&lt;/root&gt;","//item"),Table3[Holiday Name],0)),"m/d/yyyy")),G171))</f>
        <v/>
      </c>
      <c r="F171" s="234" t="str" cm="1">
        <f t="array" ref="F171">IF(G171="","",IF(_xlfn.TEXTJOIN(", ",TRUE,IFERROR(_xlfn._xlws.FILTER(Table3[Holiday Name],(G171&gt;=Table3[start])*(G171&lt;=Table3[end])),"**No associated Holiday"))="","",_xlfn.TEXTJOIN(", ",TRUE,IFERROR(_xlfn._xlws.FILTER(Table3[Holiday Name],(G171&gt;=Table3[start])*(G171&lt;=Table3[end])),"**No associated Holiday"))))</f>
        <v/>
      </c>
      <c r="G171" s="36"/>
      <c r="I171" s="31"/>
    </row>
    <row r="172" spans="5:9" x14ac:dyDescent="0.35">
      <c r="E172" s="289" t="str" cm="1">
        <f t="array" ref="E172">IF(IFERROR(_xlfn.TEXTJOIN(", ",TRUE,TEXT(INDEX(Table3[Date],MATCH(_xlfn.FILTERXML("&lt;root&gt;&lt;item&gt;"&amp;SUBSTITUTE(F172,", ","&lt;/item&gt;&lt;item&gt;")&amp;"&lt;/item&gt;&lt;/root&gt;","//item"),Table3[Holiday Name],0)),"m/d/yyyy")),G172)="","",IFERROR(_xlfn.TEXTJOIN(", ",TRUE,TEXT(INDEX(Table3[Date],MATCH(_xlfn.FILTERXML("&lt;root&gt;&lt;item&gt;"&amp;SUBSTITUTE(F172,", ","&lt;/item&gt;&lt;item&gt;")&amp;"&lt;/item&gt;&lt;/root&gt;","//item"),Table3[Holiday Name],0)),"m/d/yyyy")),G172))</f>
        <v/>
      </c>
      <c r="F172" s="234" t="str" cm="1">
        <f t="array" ref="F172">IF(G172="","",IF(_xlfn.TEXTJOIN(", ",TRUE,IFERROR(_xlfn._xlws.FILTER(Table3[Holiday Name],(G172&gt;=Table3[start])*(G172&lt;=Table3[end])),"**No associated Holiday"))="","",_xlfn.TEXTJOIN(", ",TRUE,IFERROR(_xlfn._xlws.FILTER(Table3[Holiday Name],(G172&gt;=Table3[start])*(G172&lt;=Table3[end])),"**No associated Holiday"))))</f>
        <v/>
      </c>
      <c r="G172" s="36"/>
      <c r="I172" s="31"/>
    </row>
    <row r="173" spans="5:9" x14ac:dyDescent="0.35">
      <c r="E173" s="289" t="str" cm="1">
        <f t="array" ref="E173">IF(IFERROR(_xlfn.TEXTJOIN(", ",TRUE,TEXT(INDEX(Table3[Date],MATCH(_xlfn.FILTERXML("&lt;root&gt;&lt;item&gt;"&amp;SUBSTITUTE(F173,", ","&lt;/item&gt;&lt;item&gt;")&amp;"&lt;/item&gt;&lt;/root&gt;","//item"),Table3[Holiday Name],0)),"m/d/yyyy")),G173)="","",IFERROR(_xlfn.TEXTJOIN(", ",TRUE,TEXT(INDEX(Table3[Date],MATCH(_xlfn.FILTERXML("&lt;root&gt;&lt;item&gt;"&amp;SUBSTITUTE(F173,", ","&lt;/item&gt;&lt;item&gt;")&amp;"&lt;/item&gt;&lt;/root&gt;","//item"),Table3[Holiday Name],0)),"m/d/yyyy")),G173))</f>
        <v/>
      </c>
      <c r="F173" s="234" t="str" cm="1">
        <f t="array" ref="F173">IF(G173="","",IF(_xlfn.TEXTJOIN(", ",TRUE,IFERROR(_xlfn._xlws.FILTER(Table3[Holiday Name],(G173&gt;=Table3[start])*(G173&lt;=Table3[end])),"**No associated Holiday"))="","",_xlfn.TEXTJOIN(", ",TRUE,IFERROR(_xlfn._xlws.FILTER(Table3[Holiday Name],(G173&gt;=Table3[start])*(G173&lt;=Table3[end])),"**No associated Holiday"))))</f>
        <v/>
      </c>
      <c r="G173" s="36"/>
      <c r="I173" s="31"/>
    </row>
    <row r="174" spans="5:9" x14ac:dyDescent="0.35">
      <c r="E174" s="289" t="str" cm="1">
        <f t="array" ref="E174">IF(IFERROR(_xlfn.TEXTJOIN(", ",TRUE,TEXT(INDEX(Table3[Date],MATCH(_xlfn.FILTERXML("&lt;root&gt;&lt;item&gt;"&amp;SUBSTITUTE(F174,", ","&lt;/item&gt;&lt;item&gt;")&amp;"&lt;/item&gt;&lt;/root&gt;","//item"),Table3[Holiday Name],0)),"m/d/yyyy")),G174)="","",IFERROR(_xlfn.TEXTJOIN(", ",TRUE,TEXT(INDEX(Table3[Date],MATCH(_xlfn.FILTERXML("&lt;root&gt;&lt;item&gt;"&amp;SUBSTITUTE(F174,", ","&lt;/item&gt;&lt;item&gt;")&amp;"&lt;/item&gt;&lt;/root&gt;","//item"),Table3[Holiday Name],0)),"m/d/yyyy")),G174))</f>
        <v/>
      </c>
      <c r="F174" s="234" t="str" cm="1">
        <f t="array" ref="F174">IF(G174="","",IF(_xlfn.TEXTJOIN(", ",TRUE,IFERROR(_xlfn._xlws.FILTER(Table3[Holiday Name],(G174&gt;=Table3[start])*(G174&lt;=Table3[end])),"**No associated Holiday"))="","",_xlfn.TEXTJOIN(", ",TRUE,IFERROR(_xlfn._xlws.FILTER(Table3[Holiday Name],(G174&gt;=Table3[start])*(G174&lt;=Table3[end])),"**No associated Holiday"))))</f>
        <v/>
      </c>
      <c r="G174" s="36"/>
      <c r="I174" s="31"/>
    </row>
    <row r="175" spans="5:9" x14ac:dyDescent="0.35">
      <c r="E175" s="289" t="str" cm="1">
        <f t="array" ref="E175">IF(IFERROR(_xlfn.TEXTJOIN(", ",TRUE,TEXT(INDEX(Table3[Date],MATCH(_xlfn.FILTERXML("&lt;root&gt;&lt;item&gt;"&amp;SUBSTITUTE(F175,", ","&lt;/item&gt;&lt;item&gt;")&amp;"&lt;/item&gt;&lt;/root&gt;","//item"),Table3[Holiday Name],0)),"m/d/yyyy")),G175)="","",IFERROR(_xlfn.TEXTJOIN(", ",TRUE,TEXT(INDEX(Table3[Date],MATCH(_xlfn.FILTERXML("&lt;root&gt;&lt;item&gt;"&amp;SUBSTITUTE(F175,", ","&lt;/item&gt;&lt;item&gt;")&amp;"&lt;/item&gt;&lt;/root&gt;","//item"),Table3[Holiday Name],0)),"m/d/yyyy")),G175))</f>
        <v/>
      </c>
      <c r="F175" s="234" t="str" cm="1">
        <f t="array" ref="F175">IF(G175="","",IF(_xlfn.TEXTJOIN(", ",TRUE,IFERROR(_xlfn._xlws.FILTER(Table3[Holiday Name],(G175&gt;=Table3[start])*(G175&lt;=Table3[end])),"**No associated Holiday"))="","",_xlfn.TEXTJOIN(", ",TRUE,IFERROR(_xlfn._xlws.FILTER(Table3[Holiday Name],(G175&gt;=Table3[start])*(G175&lt;=Table3[end])),"**No associated Holiday"))))</f>
        <v/>
      </c>
      <c r="G175" s="36"/>
      <c r="I175" s="31"/>
    </row>
    <row r="176" spans="5:9" x14ac:dyDescent="0.35">
      <c r="E176" s="289" t="str" cm="1">
        <f t="array" ref="E176">IF(IFERROR(_xlfn.TEXTJOIN(", ",TRUE,TEXT(INDEX(Table3[Date],MATCH(_xlfn.FILTERXML("&lt;root&gt;&lt;item&gt;"&amp;SUBSTITUTE(F176,", ","&lt;/item&gt;&lt;item&gt;")&amp;"&lt;/item&gt;&lt;/root&gt;","//item"),Table3[Holiday Name],0)),"m/d/yyyy")),G176)="","",IFERROR(_xlfn.TEXTJOIN(", ",TRUE,TEXT(INDEX(Table3[Date],MATCH(_xlfn.FILTERXML("&lt;root&gt;&lt;item&gt;"&amp;SUBSTITUTE(F176,", ","&lt;/item&gt;&lt;item&gt;")&amp;"&lt;/item&gt;&lt;/root&gt;","//item"),Table3[Holiday Name],0)),"m/d/yyyy")),G176))</f>
        <v/>
      </c>
      <c r="F176" s="234" t="str" cm="1">
        <f t="array" ref="F176">IF(G176="","",IF(_xlfn.TEXTJOIN(", ",TRUE,IFERROR(_xlfn._xlws.FILTER(Table3[Holiday Name],(G176&gt;=Table3[start])*(G176&lt;=Table3[end])),"**No associated Holiday"))="","",_xlfn.TEXTJOIN(", ",TRUE,IFERROR(_xlfn._xlws.FILTER(Table3[Holiday Name],(G176&gt;=Table3[start])*(G176&lt;=Table3[end])),"**No associated Holiday"))))</f>
        <v/>
      </c>
      <c r="G176" s="36"/>
      <c r="I176" s="31"/>
    </row>
    <row r="177" spans="5:9" x14ac:dyDescent="0.35">
      <c r="E177" s="289" t="str" cm="1">
        <f t="array" ref="E177">IF(IFERROR(_xlfn.TEXTJOIN(", ",TRUE,TEXT(INDEX(Table3[Date],MATCH(_xlfn.FILTERXML("&lt;root&gt;&lt;item&gt;"&amp;SUBSTITUTE(F177,", ","&lt;/item&gt;&lt;item&gt;")&amp;"&lt;/item&gt;&lt;/root&gt;","//item"),Table3[Holiday Name],0)),"m/d/yyyy")),G177)="","",IFERROR(_xlfn.TEXTJOIN(", ",TRUE,TEXT(INDEX(Table3[Date],MATCH(_xlfn.FILTERXML("&lt;root&gt;&lt;item&gt;"&amp;SUBSTITUTE(F177,", ","&lt;/item&gt;&lt;item&gt;")&amp;"&lt;/item&gt;&lt;/root&gt;","//item"),Table3[Holiday Name],0)),"m/d/yyyy")),G177))</f>
        <v/>
      </c>
      <c r="F177" s="234" t="str" cm="1">
        <f t="array" ref="F177">IF(G177="","",IF(_xlfn.TEXTJOIN(", ",TRUE,IFERROR(_xlfn._xlws.FILTER(Table3[Holiday Name],(G177&gt;=Table3[start])*(G177&lt;=Table3[end])),"**No associated Holiday"))="","",_xlfn.TEXTJOIN(", ",TRUE,IFERROR(_xlfn._xlws.FILTER(Table3[Holiday Name],(G177&gt;=Table3[start])*(G177&lt;=Table3[end])),"**No associated Holiday"))))</f>
        <v/>
      </c>
      <c r="G177" s="36"/>
      <c r="I177" s="31"/>
    </row>
    <row r="178" spans="5:9" x14ac:dyDescent="0.35">
      <c r="E178" s="289" t="str" cm="1">
        <f t="array" ref="E178">IF(IFERROR(_xlfn.TEXTJOIN(", ",TRUE,TEXT(INDEX(Table3[Date],MATCH(_xlfn.FILTERXML("&lt;root&gt;&lt;item&gt;"&amp;SUBSTITUTE(F178,", ","&lt;/item&gt;&lt;item&gt;")&amp;"&lt;/item&gt;&lt;/root&gt;","//item"),Table3[Holiday Name],0)),"m/d/yyyy")),G178)="","",IFERROR(_xlfn.TEXTJOIN(", ",TRUE,TEXT(INDEX(Table3[Date],MATCH(_xlfn.FILTERXML("&lt;root&gt;&lt;item&gt;"&amp;SUBSTITUTE(F178,", ","&lt;/item&gt;&lt;item&gt;")&amp;"&lt;/item&gt;&lt;/root&gt;","//item"),Table3[Holiday Name],0)),"m/d/yyyy")),G178))</f>
        <v/>
      </c>
      <c r="F178" s="234" t="str" cm="1">
        <f t="array" ref="F178">IF(G178="","",IF(_xlfn.TEXTJOIN(", ",TRUE,IFERROR(_xlfn._xlws.FILTER(Table3[Holiday Name],(G178&gt;=Table3[start])*(G178&lt;=Table3[end])),"**No associated Holiday"))="","",_xlfn.TEXTJOIN(", ",TRUE,IFERROR(_xlfn._xlws.FILTER(Table3[Holiday Name],(G178&gt;=Table3[start])*(G178&lt;=Table3[end])),"**No associated Holiday"))))</f>
        <v/>
      </c>
      <c r="G178" s="36"/>
      <c r="I178" s="31"/>
    </row>
    <row r="179" spans="5:9" x14ac:dyDescent="0.35">
      <c r="E179" s="289" t="str" cm="1">
        <f t="array" ref="E179">IF(IFERROR(_xlfn.TEXTJOIN(", ",TRUE,TEXT(INDEX(Table3[Date],MATCH(_xlfn.FILTERXML("&lt;root&gt;&lt;item&gt;"&amp;SUBSTITUTE(F179,", ","&lt;/item&gt;&lt;item&gt;")&amp;"&lt;/item&gt;&lt;/root&gt;","//item"),Table3[Holiday Name],0)),"m/d/yyyy")),G179)="","",IFERROR(_xlfn.TEXTJOIN(", ",TRUE,TEXT(INDEX(Table3[Date],MATCH(_xlfn.FILTERXML("&lt;root&gt;&lt;item&gt;"&amp;SUBSTITUTE(F179,", ","&lt;/item&gt;&lt;item&gt;")&amp;"&lt;/item&gt;&lt;/root&gt;","//item"),Table3[Holiday Name],0)),"m/d/yyyy")),G179))</f>
        <v/>
      </c>
      <c r="F179" s="234" t="str" cm="1">
        <f t="array" ref="F179">IF(G179="","",IF(_xlfn.TEXTJOIN(", ",TRUE,IFERROR(_xlfn._xlws.FILTER(Table3[Holiday Name],(G179&gt;=Table3[start])*(G179&lt;=Table3[end])),"**No associated Holiday"))="","",_xlfn.TEXTJOIN(", ",TRUE,IFERROR(_xlfn._xlws.FILTER(Table3[Holiday Name],(G179&gt;=Table3[start])*(G179&lt;=Table3[end])),"**No associated Holiday"))))</f>
        <v/>
      </c>
      <c r="G179" s="36"/>
      <c r="I179" s="31"/>
    </row>
    <row r="180" spans="5:9" x14ac:dyDescent="0.35">
      <c r="E180" s="289" t="str" cm="1">
        <f t="array" ref="E180">IF(IFERROR(_xlfn.TEXTJOIN(", ",TRUE,TEXT(INDEX(Table3[Date],MATCH(_xlfn.FILTERXML("&lt;root&gt;&lt;item&gt;"&amp;SUBSTITUTE(F180,", ","&lt;/item&gt;&lt;item&gt;")&amp;"&lt;/item&gt;&lt;/root&gt;","//item"),Table3[Holiday Name],0)),"m/d/yyyy")),G180)="","",IFERROR(_xlfn.TEXTJOIN(", ",TRUE,TEXT(INDEX(Table3[Date],MATCH(_xlfn.FILTERXML("&lt;root&gt;&lt;item&gt;"&amp;SUBSTITUTE(F180,", ","&lt;/item&gt;&lt;item&gt;")&amp;"&lt;/item&gt;&lt;/root&gt;","//item"),Table3[Holiday Name],0)),"m/d/yyyy")),G180))</f>
        <v/>
      </c>
      <c r="F180" s="234" t="str" cm="1">
        <f t="array" ref="F180">IF(G180="","",IF(_xlfn.TEXTJOIN(", ",TRUE,IFERROR(_xlfn._xlws.FILTER(Table3[Holiday Name],(G180&gt;=Table3[start])*(G180&lt;=Table3[end])),"**No associated Holiday"))="","",_xlfn.TEXTJOIN(", ",TRUE,IFERROR(_xlfn._xlws.FILTER(Table3[Holiday Name],(G180&gt;=Table3[start])*(G180&lt;=Table3[end])),"**No associated Holiday"))))</f>
        <v/>
      </c>
      <c r="G180" s="36"/>
      <c r="I180" s="31"/>
    </row>
    <row r="181" spans="5:9" x14ac:dyDescent="0.35">
      <c r="E181" s="289" t="str" cm="1">
        <f t="array" ref="E181">IF(IFERROR(_xlfn.TEXTJOIN(", ",TRUE,TEXT(INDEX(Table3[Date],MATCH(_xlfn.FILTERXML("&lt;root&gt;&lt;item&gt;"&amp;SUBSTITUTE(F181,", ","&lt;/item&gt;&lt;item&gt;")&amp;"&lt;/item&gt;&lt;/root&gt;","//item"),Table3[Holiday Name],0)),"m/d/yyyy")),G181)="","",IFERROR(_xlfn.TEXTJOIN(", ",TRUE,TEXT(INDEX(Table3[Date],MATCH(_xlfn.FILTERXML("&lt;root&gt;&lt;item&gt;"&amp;SUBSTITUTE(F181,", ","&lt;/item&gt;&lt;item&gt;")&amp;"&lt;/item&gt;&lt;/root&gt;","//item"),Table3[Holiday Name],0)),"m/d/yyyy")),G181))</f>
        <v/>
      </c>
      <c r="F181" s="234" t="str" cm="1">
        <f t="array" ref="F181">IF(G181="","",IF(_xlfn.TEXTJOIN(", ",TRUE,IFERROR(_xlfn._xlws.FILTER(Table3[Holiday Name],(G181&gt;=Table3[start])*(G181&lt;=Table3[end])),"**No associated Holiday"))="","",_xlfn.TEXTJOIN(", ",TRUE,IFERROR(_xlfn._xlws.FILTER(Table3[Holiday Name],(G181&gt;=Table3[start])*(G181&lt;=Table3[end])),"**No associated Holiday"))))</f>
        <v/>
      </c>
      <c r="G181" s="36"/>
      <c r="I181" s="31"/>
    </row>
    <row r="182" spans="5:9" x14ac:dyDescent="0.35">
      <c r="E182" s="289" t="str" cm="1">
        <f t="array" ref="E182">IF(IFERROR(_xlfn.TEXTJOIN(", ",TRUE,TEXT(INDEX(Table3[Date],MATCH(_xlfn.FILTERXML("&lt;root&gt;&lt;item&gt;"&amp;SUBSTITUTE(F182,", ","&lt;/item&gt;&lt;item&gt;")&amp;"&lt;/item&gt;&lt;/root&gt;","//item"),Table3[Holiday Name],0)),"m/d/yyyy")),G182)="","",IFERROR(_xlfn.TEXTJOIN(", ",TRUE,TEXT(INDEX(Table3[Date],MATCH(_xlfn.FILTERXML("&lt;root&gt;&lt;item&gt;"&amp;SUBSTITUTE(F182,", ","&lt;/item&gt;&lt;item&gt;")&amp;"&lt;/item&gt;&lt;/root&gt;","//item"),Table3[Holiday Name],0)),"m/d/yyyy")),G182))</f>
        <v/>
      </c>
      <c r="F182" s="234" t="str" cm="1">
        <f t="array" ref="F182">IF(G182="","",IF(_xlfn.TEXTJOIN(", ",TRUE,IFERROR(_xlfn._xlws.FILTER(Table3[Holiday Name],(G182&gt;=Table3[start])*(G182&lt;=Table3[end])),"**No associated Holiday"))="","",_xlfn.TEXTJOIN(", ",TRUE,IFERROR(_xlfn._xlws.FILTER(Table3[Holiday Name],(G182&gt;=Table3[start])*(G182&lt;=Table3[end])),"**No associated Holiday"))))</f>
        <v/>
      </c>
      <c r="G182" s="36"/>
      <c r="I182" s="31"/>
    </row>
    <row r="183" spans="5:9" x14ac:dyDescent="0.35">
      <c r="E183" s="289" t="str" cm="1">
        <f t="array" ref="E183">IF(IFERROR(_xlfn.TEXTJOIN(", ",TRUE,TEXT(INDEX(Table3[Date],MATCH(_xlfn.FILTERXML("&lt;root&gt;&lt;item&gt;"&amp;SUBSTITUTE(F183,", ","&lt;/item&gt;&lt;item&gt;")&amp;"&lt;/item&gt;&lt;/root&gt;","//item"),Table3[Holiday Name],0)),"m/d/yyyy")),G183)="","",IFERROR(_xlfn.TEXTJOIN(", ",TRUE,TEXT(INDEX(Table3[Date],MATCH(_xlfn.FILTERXML("&lt;root&gt;&lt;item&gt;"&amp;SUBSTITUTE(F183,", ","&lt;/item&gt;&lt;item&gt;")&amp;"&lt;/item&gt;&lt;/root&gt;","//item"),Table3[Holiday Name],0)),"m/d/yyyy")),G183))</f>
        <v/>
      </c>
      <c r="F183" s="234" t="str" cm="1">
        <f t="array" ref="F183">IF(G183="","",IF(_xlfn.TEXTJOIN(", ",TRUE,IFERROR(_xlfn._xlws.FILTER(Table3[Holiday Name],(G183&gt;=Table3[start])*(G183&lt;=Table3[end])),"**No associated Holiday"))="","",_xlfn.TEXTJOIN(", ",TRUE,IFERROR(_xlfn._xlws.FILTER(Table3[Holiday Name],(G183&gt;=Table3[start])*(G183&lt;=Table3[end])),"**No associated Holiday"))))</f>
        <v/>
      </c>
      <c r="G183" s="36"/>
      <c r="I183" s="31"/>
    </row>
    <row r="184" spans="5:9" x14ac:dyDescent="0.35">
      <c r="E184" s="289" t="str" cm="1">
        <f t="array" ref="E184">IF(IFERROR(_xlfn.TEXTJOIN(", ",TRUE,TEXT(INDEX(Table3[Date],MATCH(_xlfn.FILTERXML("&lt;root&gt;&lt;item&gt;"&amp;SUBSTITUTE(F184,", ","&lt;/item&gt;&lt;item&gt;")&amp;"&lt;/item&gt;&lt;/root&gt;","//item"),Table3[Holiday Name],0)),"m/d/yyyy")),G184)="","",IFERROR(_xlfn.TEXTJOIN(", ",TRUE,TEXT(INDEX(Table3[Date],MATCH(_xlfn.FILTERXML("&lt;root&gt;&lt;item&gt;"&amp;SUBSTITUTE(F184,", ","&lt;/item&gt;&lt;item&gt;")&amp;"&lt;/item&gt;&lt;/root&gt;","//item"),Table3[Holiday Name],0)),"m/d/yyyy")),G184))</f>
        <v/>
      </c>
      <c r="F184" s="234" t="str" cm="1">
        <f t="array" ref="F184">IF(G184="","",IF(_xlfn.TEXTJOIN(", ",TRUE,IFERROR(_xlfn._xlws.FILTER(Table3[Holiday Name],(G184&gt;=Table3[start])*(G184&lt;=Table3[end])),"**No associated Holiday"))="","",_xlfn.TEXTJOIN(", ",TRUE,IFERROR(_xlfn._xlws.FILTER(Table3[Holiday Name],(G184&gt;=Table3[start])*(G184&lt;=Table3[end])),"**No associated Holiday"))))</f>
        <v/>
      </c>
      <c r="G184" s="36"/>
      <c r="I184" s="31"/>
    </row>
    <row r="185" spans="5:9" x14ac:dyDescent="0.35">
      <c r="E185" s="289" t="str" cm="1">
        <f t="array" ref="E185">IF(IFERROR(_xlfn.TEXTJOIN(", ",TRUE,TEXT(INDEX(Table3[Date],MATCH(_xlfn.FILTERXML("&lt;root&gt;&lt;item&gt;"&amp;SUBSTITUTE(F185,", ","&lt;/item&gt;&lt;item&gt;")&amp;"&lt;/item&gt;&lt;/root&gt;","//item"),Table3[Holiday Name],0)),"m/d/yyyy")),G185)="","",IFERROR(_xlfn.TEXTJOIN(", ",TRUE,TEXT(INDEX(Table3[Date],MATCH(_xlfn.FILTERXML("&lt;root&gt;&lt;item&gt;"&amp;SUBSTITUTE(F185,", ","&lt;/item&gt;&lt;item&gt;")&amp;"&lt;/item&gt;&lt;/root&gt;","//item"),Table3[Holiday Name],0)),"m/d/yyyy")),G185))</f>
        <v/>
      </c>
      <c r="F185" s="234" t="str" cm="1">
        <f t="array" ref="F185">IF(G185="","",IF(_xlfn.TEXTJOIN(", ",TRUE,IFERROR(_xlfn._xlws.FILTER(Table3[Holiday Name],(G185&gt;=Table3[start])*(G185&lt;=Table3[end])),"**No associated Holiday"))="","",_xlfn.TEXTJOIN(", ",TRUE,IFERROR(_xlfn._xlws.FILTER(Table3[Holiday Name],(G185&gt;=Table3[start])*(G185&lt;=Table3[end])),"**No associated Holiday"))))</f>
        <v/>
      </c>
      <c r="G185" s="36"/>
      <c r="I185" s="31"/>
    </row>
    <row r="186" spans="5:9" x14ac:dyDescent="0.35">
      <c r="E186" s="289" t="str" cm="1">
        <f t="array" ref="E186">IF(IFERROR(_xlfn.TEXTJOIN(", ",TRUE,TEXT(INDEX(Table3[Date],MATCH(_xlfn.FILTERXML("&lt;root&gt;&lt;item&gt;"&amp;SUBSTITUTE(F186,", ","&lt;/item&gt;&lt;item&gt;")&amp;"&lt;/item&gt;&lt;/root&gt;","//item"),Table3[Holiday Name],0)),"m/d/yyyy")),G186)="","",IFERROR(_xlfn.TEXTJOIN(", ",TRUE,TEXT(INDEX(Table3[Date],MATCH(_xlfn.FILTERXML("&lt;root&gt;&lt;item&gt;"&amp;SUBSTITUTE(F186,", ","&lt;/item&gt;&lt;item&gt;")&amp;"&lt;/item&gt;&lt;/root&gt;","//item"),Table3[Holiday Name],0)),"m/d/yyyy")),G186))</f>
        <v/>
      </c>
      <c r="F186" s="234" t="str" cm="1">
        <f t="array" ref="F186">IF(G186="","",IF(_xlfn.TEXTJOIN(", ",TRUE,IFERROR(_xlfn._xlws.FILTER(Table3[Holiday Name],(G186&gt;=Table3[start])*(G186&lt;=Table3[end])),"**No associated Holiday"))="","",_xlfn.TEXTJOIN(", ",TRUE,IFERROR(_xlfn._xlws.FILTER(Table3[Holiday Name],(G186&gt;=Table3[start])*(G186&lt;=Table3[end])),"**No associated Holiday"))))</f>
        <v/>
      </c>
      <c r="G186" s="36"/>
      <c r="I186" s="31"/>
    </row>
    <row r="187" spans="5:9" x14ac:dyDescent="0.35">
      <c r="E187" s="289" t="str" cm="1">
        <f t="array" ref="E187">IF(IFERROR(_xlfn.TEXTJOIN(", ",TRUE,TEXT(INDEX(Table3[Date],MATCH(_xlfn.FILTERXML("&lt;root&gt;&lt;item&gt;"&amp;SUBSTITUTE(F187,", ","&lt;/item&gt;&lt;item&gt;")&amp;"&lt;/item&gt;&lt;/root&gt;","//item"),Table3[Holiday Name],0)),"m/d/yyyy")),G187)="","",IFERROR(_xlfn.TEXTJOIN(", ",TRUE,TEXT(INDEX(Table3[Date],MATCH(_xlfn.FILTERXML("&lt;root&gt;&lt;item&gt;"&amp;SUBSTITUTE(F187,", ","&lt;/item&gt;&lt;item&gt;")&amp;"&lt;/item&gt;&lt;/root&gt;","//item"),Table3[Holiday Name],0)),"m/d/yyyy")),G187))</f>
        <v/>
      </c>
      <c r="F187" s="234" t="str" cm="1">
        <f t="array" ref="F187">IF(G187="","",IF(_xlfn.TEXTJOIN(", ",TRUE,IFERROR(_xlfn._xlws.FILTER(Table3[Holiday Name],(G187&gt;=Table3[start])*(G187&lt;=Table3[end])),"**No associated Holiday"))="","",_xlfn.TEXTJOIN(", ",TRUE,IFERROR(_xlfn._xlws.FILTER(Table3[Holiday Name],(G187&gt;=Table3[start])*(G187&lt;=Table3[end])),"**No associated Holiday"))))</f>
        <v/>
      </c>
      <c r="G187" s="36"/>
      <c r="I187" s="31"/>
    </row>
    <row r="188" spans="5:9" x14ac:dyDescent="0.35">
      <c r="E188" s="289" t="str" cm="1">
        <f t="array" ref="E188">IF(IFERROR(_xlfn.TEXTJOIN(", ",TRUE,TEXT(INDEX(Table3[Date],MATCH(_xlfn.FILTERXML("&lt;root&gt;&lt;item&gt;"&amp;SUBSTITUTE(F188,", ","&lt;/item&gt;&lt;item&gt;")&amp;"&lt;/item&gt;&lt;/root&gt;","//item"),Table3[Holiday Name],0)),"m/d/yyyy")),G188)="","",IFERROR(_xlfn.TEXTJOIN(", ",TRUE,TEXT(INDEX(Table3[Date],MATCH(_xlfn.FILTERXML("&lt;root&gt;&lt;item&gt;"&amp;SUBSTITUTE(F188,", ","&lt;/item&gt;&lt;item&gt;")&amp;"&lt;/item&gt;&lt;/root&gt;","//item"),Table3[Holiday Name],0)),"m/d/yyyy")),G188))</f>
        <v/>
      </c>
      <c r="F188" s="234" t="str" cm="1">
        <f t="array" ref="F188">IF(G188="","",IF(_xlfn.TEXTJOIN(", ",TRUE,IFERROR(_xlfn._xlws.FILTER(Table3[Holiday Name],(G188&gt;=Table3[start])*(G188&lt;=Table3[end])),"**No associated Holiday"))="","",_xlfn.TEXTJOIN(", ",TRUE,IFERROR(_xlfn._xlws.FILTER(Table3[Holiday Name],(G188&gt;=Table3[start])*(G188&lt;=Table3[end])),"**No associated Holiday"))))</f>
        <v/>
      </c>
      <c r="G188" s="36"/>
      <c r="I188" s="31"/>
    </row>
    <row r="189" spans="5:9" x14ac:dyDescent="0.35">
      <c r="E189" s="289" t="str" cm="1">
        <f t="array" ref="E189">IF(IFERROR(_xlfn.TEXTJOIN(", ",TRUE,TEXT(INDEX(Table3[Date],MATCH(_xlfn.FILTERXML("&lt;root&gt;&lt;item&gt;"&amp;SUBSTITUTE(F189,", ","&lt;/item&gt;&lt;item&gt;")&amp;"&lt;/item&gt;&lt;/root&gt;","//item"),Table3[Holiday Name],0)),"m/d/yyyy")),G189)="","",IFERROR(_xlfn.TEXTJOIN(", ",TRUE,TEXT(INDEX(Table3[Date],MATCH(_xlfn.FILTERXML("&lt;root&gt;&lt;item&gt;"&amp;SUBSTITUTE(F189,", ","&lt;/item&gt;&lt;item&gt;")&amp;"&lt;/item&gt;&lt;/root&gt;","//item"),Table3[Holiday Name],0)),"m/d/yyyy")),G189))</f>
        <v/>
      </c>
      <c r="F189" s="234" t="str" cm="1">
        <f t="array" ref="F189">IF(G189="","",IF(_xlfn.TEXTJOIN(", ",TRUE,IFERROR(_xlfn._xlws.FILTER(Table3[Holiday Name],(G189&gt;=Table3[start])*(G189&lt;=Table3[end])),"**No associated Holiday"))="","",_xlfn.TEXTJOIN(", ",TRUE,IFERROR(_xlfn._xlws.FILTER(Table3[Holiday Name],(G189&gt;=Table3[start])*(G189&lt;=Table3[end])),"**No associated Holiday"))))</f>
        <v/>
      </c>
      <c r="G189" s="36"/>
      <c r="I189" s="31"/>
    </row>
    <row r="190" spans="5:9" x14ac:dyDescent="0.35">
      <c r="E190" s="289" t="str" cm="1">
        <f t="array" ref="E190">IF(IFERROR(_xlfn.TEXTJOIN(", ",TRUE,TEXT(INDEX(Table3[Date],MATCH(_xlfn.FILTERXML("&lt;root&gt;&lt;item&gt;"&amp;SUBSTITUTE(F190,", ","&lt;/item&gt;&lt;item&gt;")&amp;"&lt;/item&gt;&lt;/root&gt;","//item"),Table3[Holiday Name],0)),"m/d/yyyy")),G190)="","",IFERROR(_xlfn.TEXTJOIN(", ",TRUE,TEXT(INDEX(Table3[Date],MATCH(_xlfn.FILTERXML("&lt;root&gt;&lt;item&gt;"&amp;SUBSTITUTE(F190,", ","&lt;/item&gt;&lt;item&gt;")&amp;"&lt;/item&gt;&lt;/root&gt;","//item"),Table3[Holiday Name],0)),"m/d/yyyy")),G190))</f>
        <v/>
      </c>
      <c r="F190" s="234" t="str" cm="1">
        <f t="array" ref="F190">IF(G190="","",IF(_xlfn.TEXTJOIN(", ",TRUE,IFERROR(_xlfn._xlws.FILTER(Table3[Holiday Name],(G190&gt;=Table3[start])*(G190&lt;=Table3[end])),"**No associated Holiday"))="","",_xlfn.TEXTJOIN(", ",TRUE,IFERROR(_xlfn._xlws.FILTER(Table3[Holiday Name],(G190&gt;=Table3[start])*(G190&lt;=Table3[end])),"**No associated Holiday"))))</f>
        <v/>
      </c>
      <c r="G190" s="36"/>
      <c r="I190" s="31"/>
    </row>
    <row r="191" spans="5:9" x14ac:dyDescent="0.35">
      <c r="E191" s="289" t="str" cm="1">
        <f t="array" ref="E191">IF(IFERROR(_xlfn.TEXTJOIN(", ",TRUE,TEXT(INDEX(Table3[Date],MATCH(_xlfn.FILTERXML("&lt;root&gt;&lt;item&gt;"&amp;SUBSTITUTE(F191,", ","&lt;/item&gt;&lt;item&gt;")&amp;"&lt;/item&gt;&lt;/root&gt;","//item"),Table3[Holiday Name],0)),"m/d/yyyy")),G191)="","",IFERROR(_xlfn.TEXTJOIN(", ",TRUE,TEXT(INDEX(Table3[Date],MATCH(_xlfn.FILTERXML("&lt;root&gt;&lt;item&gt;"&amp;SUBSTITUTE(F191,", ","&lt;/item&gt;&lt;item&gt;")&amp;"&lt;/item&gt;&lt;/root&gt;","//item"),Table3[Holiday Name],0)),"m/d/yyyy")),G191))</f>
        <v/>
      </c>
      <c r="F191" s="234" t="str" cm="1">
        <f t="array" ref="F191">IF(G191="","",IF(_xlfn.TEXTJOIN(", ",TRUE,IFERROR(_xlfn._xlws.FILTER(Table3[Holiday Name],(G191&gt;=Table3[start])*(G191&lt;=Table3[end])),"**No associated Holiday"))="","",_xlfn.TEXTJOIN(", ",TRUE,IFERROR(_xlfn._xlws.FILTER(Table3[Holiday Name],(G191&gt;=Table3[start])*(G191&lt;=Table3[end])),"**No associated Holiday"))))</f>
        <v/>
      </c>
      <c r="G191" s="36"/>
      <c r="I191" s="31"/>
    </row>
    <row r="192" spans="5:9" x14ac:dyDescent="0.35">
      <c r="E192" s="289" t="str" cm="1">
        <f t="array" ref="E192">IF(IFERROR(_xlfn.TEXTJOIN(", ",TRUE,TEXT(INDEX(Table3[Date],MATCH(_xlfn.FILTERXML("&lt;root&gt;&lt;item&gt;"&amp;SUBSTITUTE(F192,", ","&lt;/item&gt;&lt;item&gt;")&amp;"&lt;/item&gt;&lt;/root&gt;","//item"),Table3[Holiday Name],0)),"m/d/yyyy")),G192)="","",IFERROR(_xlfn.TEXTJOIN(", ",TRUE,TEXT(INDEX(Table3[Date],MATCH(_xlfn.FILTERXML("&lt;root&gt;&lt;item&gt;"&amp;SUBSTITUTE(F192,", ","&lt;/item&gt;&lt;item&gt;")&amp;"&lt;/item&gt;&lt;/root&gt;","//item"),Table3[Holiday Name],0)),"m/d/yyyy")),G192))</f>
        <v/>
      </c>
      <c r="F192" s="234" t="str" cm="1">
        <f t="array" ref="F192">IF(G192="","",IF(_xlfn.TEXTJOIN(", ",TRUE,IFERROR(_xlfn._xlws.FILTER(Table3[Holiday Name],(G192&gt;=Table3[start])*(G192&lt;=Table3[end])),"**No associated Holiday"))="","",_xlfn.TEXTJOIN(", ",TRUE,IFERROR(_xlfn._xlws.FILTER(Table3[Holiday Name],(G192&gt;=Table3[start])*(G192&lt;=Table3[end])),"**No associated Holiday"))))</f>
        <v/>
      </c>
      <c r="G192" s="36"/>
      <c r="I192" s="31"/>
    </row>
    <row r="193" spans="5:9" x14ac:dyDescent="0.35">
      <c r="E193" s="289" t="str" cm="1">
        <f t="array" ref="E193">IF(IFERROR(_xlfn.TEXTJOIN(", ",TRUE,TEXT(INDEX(Table3[Date],MATCH(_xlfn.FILTERXML("&lt;root&gt;&lt;item&gt;"&amp;SUBSTITUTE(F193,", ","&lt;/item&gt;&lt;item&gt;")&amp;"&lt;/item&gt;&lt;/root&gt;","//item"),Table3[Holiday Name],0)),"m/d/yyyy")),G193)="","",IFERROR(_xlfn.TEXTJOIN(", ",TRUE,TEXT(INDEX(Table3[Date],MATCH(_xlfn.FILTERXML("&lt;root&gt;&lt;item&gt;"&amp;SUBSTITUTE(F193,", ","&lt;/item&gt;&lt;item&gt;")&amp;"&lt;/item&gt;&lt;/root&gt;","//item"),Table3[Holiday Name],0)),"m/d/yyyy")),G193))</f>
        <v/>
      </c>
      <c r="F193" s="234" t="str" cm="1">
        <f t="array" ref="F193">IF(G193="","",IF(_xlfn.TEXTJOIN(", ",TRUE,IFERROR(_xlfn._xlws.FILTER(Table3[Holiday Name],(G193&gt;=Table3[start])*(G193&lt;=Table3[end])),"**No associated Holiday"))="","",_xlfn.TEXTJOIN(", ",TRUE,IFERROR(_xlfn._xlws.FILTER(Table3[Holiday Name],(G193&gt;=Table3[start])*(G193&lt;=Table3[end])),"**No associated Holiday"))))</f>
        <v/>
      </c>
      <c r="G193" s="36"/>
      <c r="I193" s="31"/>
    </row>
    <row r="194" spans="5:9" x14ac:dyDescent="0.35">
      <c r="E194" s="289" t="str" cm="1">
        <f t="array" ref="E194">IF(IFERROR(_xlfn.TEXTJOIN(", ",TRUE,TEXT(INDEX(Table3[Date],MATCH(_xlfn.FILTERXML("&lt;root&gt;&lt;item&gt;"&amp;SUBSTITUTE(F194,", ","&lt;/item&gt;&lt;item&gt;")&amp;"&lt;/item&gt;&lt;/root&gt;","//item"),Table3[Holiday Name],0)),"m/d/yyyy")),G194)="","",IFERROR(_xlfn.TEXTJOIN(", ",TRUE,TEXT(INDEX(Table3[Date],MATCH(_xlfn.FILTERXML("&lt;root&gt;&lt;item&gt;"&amp;SUBSTITUTE(F194,", ","&lt;/item&gt;&lt;item&gt;")&amp;"&lt;/item&gt;&lt;/root&gt;","//item"),Table3[Holiday Name],0)),"m/d/yyyy")),G194))</f>
        <v/>
      </c>
      <c r="F194" s="234" t="str" cm="1">
        <f t="array" ref="F194">IF(G194="","",IF(_xlfn.TEXTJOIN(", ",TRUE,IFERROR(_xlfn._xlws.FILTER(Table3[Holiday Name],(G194&gt;=Table3[start])*(G194&lt;=Table3[end])),"**No associated Holiday"))="","",_xlfn.TEXTJOIN(", ",TRUE,IFERROR(_xlfn._xlws.FILTER(Table3[Holiday Name],(G194&gt;=Table3[start])*(G194&lt;=Table3[end])),"**No associated Holiday"))))</f>
        <v/>
      </c>
      <c r="G194" s="36"/>
      <c r="I194" s="31"/>
    </row>
    <row r="195" spans="5:9" x14ac:dyDescent="0.35">
      <c r="E195" s="289" t="str" cm="1">
        <f t="array" ref="E195">IF(IFERROR(_xlfn.TEXTJOIN(", ",TRUE,TEXT(INDEX(Table3[Date],MATCH(_xlfn.FILTERXML("&lt;root&gt;&lt;item&gt;"&amp;SUBSTITUTE(F195,", ","&lt;/item&gt;&lt;item&gt;")&amp;"&lt;/item&gt;&lt;/root&gt;","//item"),Table3[Holiday Name],0)),"m/d/yyyy")),G195)="","",IFERROR(_xlfn.TEXTJOIN(", ",TRUE,TEXT(INDEX(Table3[Date],MATCH(_xlfn.FILTERXML("&lt;root&gt;&lt;item&gt;"&amp;SUBSTITUTE(F195,", ","&lt;/item&gt;&lt;item&gt;")&amp;"&lt;/item&gt;&lt;/root&gt;","//item"),Table3[Holiday Name],0)),"m/d/yyyy")),G195))</f>
        <v/>
      </c>
      <c r="F195" s="234" t="str" cm="1">
        <f t="array" ref="F195">IF(G195="","",IF(_xlfn.TEXTJOIN(", ",TRUE,IFERROR(_xlfn._xlws.FILTER(Table3[Holiday Name],(G195&gt;=Table3[start])*(G195&lt;=Table3[end])),"**No associated Holiday"))="","",_xlfn.TEXTJOIN(", ",TRUE,IFERROR(_xlfn._xlws.FILTER(Table3[Holiday Name],(G195&gt;=Table3[start])*(G195&lt;=Table3[end])),"**No associated Holiday"))))</f>
        <v/>
      </c>
      <c r="G195" s="36"/>
      <c r="I195" s="31"/>
    </row>
    <row r="196" spans="5:9" x14ac:dyDescent="0.35">
      <c r="E196" s="289" t="str" cm="1">
        <f t="array" ref="E196">IF(IFERROR(_xlfn.TEXTJOIN(", ",TRUE,TEXT(INDEX(Table3[Date],MATCH(_xlfn.FILTERXML("&lt;root&gt;&lt;item&gt;"&amp;SUBSTITUTE(F196,", ","&lt;/item&gt;&lt;item&gt;")&amp;"&lt;/item&gt;&lt;/root&gt;","//item"),Table3[Holiday Name],0)),"m/d/yyyy")),G196)="","",IFERROR(_xlfn.TEXTJOIN(", ",TRUE,TEXT(INDEX(Table3[Date],MATCH(_xlfn.FILTERXML("&lt;root&gt;&lt;item&gt;"&amp;SUBSTITUTE(F196,", ","&lt;/item&gt;&lt;item&gt;")&amp;"&lt;/item&gt;&lt;/root&gt;","//item"),Table3[Holiday Name],0)),"m/d/yyyy")),G196))</f>
        <v/>
      </c>
      <c r="F196" s="234" t="str" cm="1">
        <f t="array" ref="F196">IF(G196="","",IF(_xlfn.TEXTJOIN(", ",TRUE,IFERROR(_xlfn._xlws.FILTER(Table3[Holiday Name],(G196&gt;=Table3[start])*(G196&lt;=Table3[end])),"**No associated Holiday"))="","",_xlfn.TEXTJOIN(", ",TRUE,IFERROR(_xlfn._xlws.FILTER(Table3[Holiday Name],(G196&gt;=Table3[start])*(G196&lt;=Table3[end])),"**No associated Holiday"))))</f>
        <v/>
      </c>
      <c r="G196" s="36"/>
      <c r="I196" s="31"/>
    </row>
    <row r="197" spans="5:9" x14ac:dyDescent="0.35">
      <c r="E197" s="289" t="str" cm="1">
        <f t="array" ref="E197">IF(IFERROR(_xlfn.TEXTJOIN(", ",TRUE,TEXT(INDEX(Table3[Date],MATCH(_xlfn.FILTERXML("&lt;root&gt;&lt;item&gt;"&amp;SUBSTITUTE(F197,", ","&lt;/item&gt;&lt;item&gt;")&amp;"&lt;/item&gt;&lt;/root&gt;","//item"),Table3[Holiday Name],0)),"m/d/yyyy")),G197)="","",IFERROR(_xlfn.TEXTJOIN(", ",TRUE,TEXT(INDEX(Table3[Date],MATCH(_xlfn.FILTERXML("&lt;root&gt;&lt;item&gt;"&amp;SUBSTITUTE(F197,", ","&lt;/item&gt;&lt;item&gt;")&amp;"&lt;/item&gt;&lt;/root&gt;","//item"),Table3[Holiday Name],0)),"m/d/yyyy")),G197))</f>
        <v/>
      </c>
      <c r="F197" s="234" t="str" cm="1">
        <f t="array" ref="F197">IF(G197="","",IF(_xlfn.TEXTJOIN(", ",TRUE,IFERROR(_xlfn._xlws.FILTER(Table3[Holiday Name],(G197&gt;=Table3[start])*(G197&lt;=Table3[end])),"**No associated Holiday"))="","",_xlfn.TEXTJOIN(", ",TRUE,IFERROR(_xlfn._xlws.FILTER(Table3[Holiday Name],(G197&gt;=Table3[start])*(G197&lt;=Table3[end])),"**No associated Holiday"))))</f>
        <v/>
      </c>
      <c r="G197" s="36"/>
      <c r="I197" s="31"/>
    </row>
    <row r="198" spans="5:9" x14ac:dyDescent="0.35">
      <c r="E198" s="289" t="str" cm="1">
        <f t="array" ref="E198">IF(IFERROR(_xlfn.TEXTJOIN(", ",TRUE,TEXT(INDEX(Table3[Date],MATCH(_xlfn.FILTERXML("&lt;root&gt;&lt;item&gt;"&amp;SUBSTITUTE(F198,", ","&lt;/item&gt;&lt;item&gt;")&amp;"&lt;/item&gt;&lt;/root&gt;","//item"),Table3[Holiday Name],0)),"m/d/yyyy")),G198)="","",IFERROR(_xlfn.TEXTJOIN(", ",TRUE,TEXT(INDEX(Table3[Date],MATCH(_xlfn.FILTERXML("&lt;root&gt;&lt;item&gt;"&amp;SUBSTITUTE(F198,", ","&lt;/item&gt;&lt;item&gt;")&amp;"&lt;/item&gt;&lt;/root&gt;","//item"),Table3[Holiday Name],0)),"m/d/yyyy")),G198))</f>
        <v/>
      </c>
      <c r="F198" s="234" t="str" cm="1">
        <f t="array" ref="F198">IF(G198="","",IF(_xlfn.TEXTJOIN(", ",TRUE,IFERROR(_xlfn._xlws.FILTER(Table3[Holiday Name],(G198&gt;=Table3[start])*(G198&lt;=Table3[end])),"**No associated Holiday"))="","",_xlfn.TEXTJOIN(", ",TRUE,IFERROR(_xlfn._xlws.FILTER(Table3[Holiday Name],(G198&gt;=Table3[start])*(G198&lt;=Table3[end])),"**No associated Holiday"))))</f>
        <v/>
      </c>
      <c r="G198" s="36"/>
      <c r="I198" s="31"/>
    </row>
    <row r="199" spans="5:9" x14ac:dyDescent="0.35">
      <c r="E199" s="289" t="str" cm="1">
        <f t="array" ref="E199">IF(IFERROR(_xlfn.TEXTJOIN(", ",TRUE,TEXT(INDEX(Table3[Date],MATCH(_xlfn.FILTERXML("&lt;root&gt;&lt;item&gt;"&amp;SUBSTITUTE(F199,", ","&lt;/item&gt;&lt;item&gt;")&amp;"&lt;/item&gt;&lt;/root&gt;","//item"),Table3[Holiday Name],0)),"m/d/yyyy")),G199)="","",IFERROR(_xlfn.TEXTJOIN(", ",TRUE,TEXT(INDEX(Table3[Date],MATCH(_xlfn.FILTERXML("&lt;root&gt;&lt;item&gt;"&amp;SUBSTITUTE(F199,", ","&lt;/item&gt;&lt;item&gt;")&amp;"&lt;/item&gt;&lt;/root&gt;","//item"),Table3[Holiday Name],0)),"m/d/yyyy")),G199))</f>
        <v/>
      </c>
      <c r="F199" s="234" t="str" cm="1">
        <f t="array" ref="F199">IF(G199="","",IF(_xlfn.TEXTJOIN(", ",TRUE,IFERROR(_xlfn._xlws.FILTER(Table3[Holiday Name],(G199&gt;=Table3[start])*(G199&lt;=Table3[end])),"**No associated Holiday"))="","",_xlfn.TEXTJOIN(", ",TRUE,IFERROR(_xlfn._xlws.FILTER(Table3[Holiday Name],(G199&gt;=Table3[start])*(G199&lt;=Table3[end])),"**No associated Holiday"))))</f>
        <v/>
      </c>
      <c r="G199" s="36"/>
      <c r="I199" s="31"/>
    </row>
    <row r="200" spans="5:9" x14ac:dyDescent="0.35">
      <c r="E200" s="289" t="str" cm="1">
        <f t="array" ref="E200">IF(IFERROR(_xlfn.TEXTJOIN(", ",TRUE,TEXT(INDEX(Table3[Date],MATCH(_xlfn.FILTERXML("&lt;root&gt;&lt;item&gt;"&amp;SUBSTITUTE(F200,", ","&lt;/item&gt;&lt;item&gt;")&amp;"&lt;/item&gt;&lt;/root&gt;","//item"),Table3[Holiday Name],0)),"m/d/yyyy")),G200)="","",IFERROR(_xlfn.TEXTJOIN(", ",TRUE,TEXT(INDEX(Table3[Date],MATCH(_xlfn.FILTERXML("&lt;root&gt;&lt;item&gt;"&amp;SUBSTITUTE(F200,", ","&lt;/item&gt;&lt;item&gt;")&amp;"&lt;/item&gt;&lt;/root&gt;","//item"),Table3[Holiday Name],0)),"m/d/yyyy")),G200))</f>
        <v/>
      </c>
      <c r="F200" s="234" t="str" cm="1">
        <f t="array" ref="F200">IF(G200="","",IF(_xlfn.TEXTJOIN(", ",TRUE,IFERROR(_xlfn._xlws.FILTER(Table3[Holiday Name],(G200&gt;=Table3[start])*(G200&lt;=Table3[end])),"**No associated Holiday"))="","",_xlfn.TEXTJOIN(", ",TRUE,IFERROR(_xlfn._xlws.FILTER(Table3[Holiday Name],(G200&gt;=Table3[start])*(G200&lt;=Table3[end])),"**No associated Holiday"))))</f>
        <v/>
      </c>
      <c r="G200" s="36"/>
      <c r="I200" s="31"/>
    </row>
    <row r="201" spans="5:9" x14ac:dyDescent="0.35">
      <c r="E201" s="289" t="str" cm="1">
        <f t="array" ref="E201">IF(IFERROR(_xlfn.TEXTJOIN(", ",TRUE,TEXT(INDEX(Table3[Date],MATCH(_xlfn.FILTERXML("&lt;root&gt;&lt;item&gt;"&amp;SUBSTITUTE(F201,", ","&lt;/item&gt;&lt;item&gt;")&amp;"&lt;/item&gt;&lt;/root&gt;","//item"),Table3[Holiday Name],0)),"m/d/yyyy")),G201)="","",IFERROR(_xlfn.TEXTJOIN(", ",TRUE,TEXT(INDEX(Table3[Date],MATCH(_xlfn.FILTERXML("&lt;root&gt;&lt;item&gt;"&amp;SUBSTITUTE(F201,", ","&lt;/item&gt;&lt;item&gt;")&amp;"&lt;/item&gt;&lt;/root&gt;","//item"),Table3[Holiday Name],0)),"m/d/yyyy")),G201))</f>
        <v/>
      </c>
      <c r="F201" s="234" t="str" cm="1">
        <f t="array" ref="F201">IF(G201="","",IF(_xlfn.TEXTJOIN(", ",TRUE,IFERROR(_xlfn._xlws.FILTER(Table3[Holiday Name],(G201&gt;=Table3[start])*(G201&lt;=Table3[end])),"**No associated Holiday"))="","",_xlfn.TEXTJOIN(", ",TRUE,IFERROR(_xlfn._xlws.FILTER(Table3[Holiday Name],(G201&gt;=Table3[start])*(G201&lt;=Table3[end])),"**No associated Holiday"))))</f>
        <v/>
      </c>
      <c r="G201" s="36"/>
      <c r="I201" s="31"/>
    </row>
    <row r="202" spans="5:9" x14ac:dyDescent="0.35">
      <c r="E202" s="289" t="str" cm="1">
        <f t="array" ref="E202">IF(IFERROR(_xlfn.TEXTJOIN(", ",TRUE,TEXT(INDEX(Table3[Date],MATCH(_xlfn.FILTERXML("&lt;root&gt;&lt;item&gt;"&amp;SUBSTITUTE(F202,", ","&lt;/item&gt;&lt;item&gt;")&amp;"&lt;/item&gt;&lt;/root&gt;","//item"),Table3[Holiday Name],0)),"m/d/yyyy")),G202)="","",IFERROR(_xlfn.TEXTJOIN(", ",TRUE,TEXT(INDEX(Table3[Date],MATCH(_xlfn.FILTERXML("&lt;root&gt;&lt;item&gt;"&amp;SUBSTITUTE(F202,", ","&lt;/item&gt;&lt;item&gt;")&amp;"&lt;/item&gt;&lt;/root&gt;","//item"),Table3[Holiday Name],0)),"m/d/yyyy")),G202))</f>
        <v/>
      </c>
      <c r="F202" s="234" t="str" cm="1">
        <f t="array" ref="F202">IF(G202="","",IF(_xlfn.TEXTJOIN(", ",TRUE,IFERROR(_xlfn._xlws.FILTER(Table3[Holiday Name],(G202&gt;=Table3[start])*(G202&lt;=Table3[end])),"**No associated Holiday"))="","",_xlfn.TEXTJOIN(", ",TRUE,IFERROR(_xlfn._xlws.FILTER(Table3[Holiday Name],(G202&gt;=Table3[start])*(G202&lt;=Table3[end])),"**No associated Holiday"))))</f>
        <v/>
      </c>
      <c r="G202" s="36"/>
      <c r="I202" s="31"/>
    </row>
    <row r="203" spans="5:9" x14ac:dyDescent="0.35">
      <c r="E203" s="289" t="str" cm="1">
        <f t="array" ref="E203">IF(IFERROR(_xlfn.TEXTJOIN(", ",TRUE,TEXT(INDEX(Table3[Date],MATCH(_xlfn.FILTERXML("&lt;root&gt;&lt;item&gt;"&amp;SUBSTITUTE(F203,", ","&lt;/item&gt;&lt;item&gt;")&amp;"&lt;/item&gt;&lt;/root&gt;","//item"),Table3[Holiday Name],0)),"m/d/yyyy")),G203)="","",IFERROR(_xlfn.TEXTJOIN(", ",TRUE,TEXT(INDEX(Table3[Date],MATCH(_xlfn.FILTERXML("&lt;root&gt;&lt;item&gt;"&amp;SUBSTITUTE(F203,", ","&lt;/item&gt;&lt;item&gt;")&amp;"&lt;/item&gt;&lt;/root&gt;","//item"),Table3[Holiday Name],0)),"m/d/yyyy")),G203))</f>
        <v/>
      </c>
      <c r="F203" s="234" t="str" cm="1">
        <f t="array" ref="F203">IF(G203="","",IF(_xlfn.TEXTJOIN(", ",TRUE,IFERROR(_xlfn._xlws.FILTER(Table3[Holiday Name],(G203&gt;=Table3[start])*(G203&lt;=Table3[end])),"**No associated Holiday"))="","",_xlfn.TEXTJOIN(", ",TRUE,IFERROR(_xlfn._xlws.FILTER(Table3[Holiday Name],(G203&gt;=Table3[start])*(G203&lt;=Table3[end])),"**No associated Holiday"))))</f>
        <v/>
      </c>
      <c r="G203" s="36"/>
      <c r="I203" s="31"/>
    </row>
    <row r="204" spans="5:9" x14ac:dyDescent="0.35">
      <c r="E204" s="289" t="str" cm="1">
        <f t="array" ref="E204">IF(IFERROR(_xlfn.TEXTJOIN(", ",TRUE,TEXT(INDEX(Table3[Date],MATCH(_xlfn.FILTERXML("&lt;root&gt;&lt;item&gt;"&amp;SUBSTITUTE(F204,", ","&lt;/item&gt;&lt;item&gt;")&amp;"&lt;/item&gt;&lt;/root&gt;","//item"),Table3[Holiday Name],0)),"m/d/yyyy")),G204)="","",IFERROR(_xlfn.TEXTJOIN(", ",TRUE,TEXT(INDEX(Table3[Date],MATCH(_xlfn.FILTERXML("&lt;root&gt;&lt;item&gt;"&amp;SUBSTITUTE(F204,", ","&lt;/item&gt;&lt;item&gt;")&amp;"&lt;/item&gt;&lt;/root&gt;","//item"),Table3[Holiday Name],0)),"m/d/yyyy")),G204))</f>
        <v/>
      </c>
      <c r="F204" s="234" t="str" cm="1">
        <f t="array" ref="F204">IF(G204="","",IF(_xlfn.TEXTJOIN(", ",TRUE,IFERROR(_xlfn._xlws.FILTER(Table3[Holiday Name],(G204&gt;=Table3[start])*(G204&lt;=Table3[end])),"**No associated Holiday"))="","",_xlfn.TEXTJOIN(", ",TRUE,IFERROR(_xlfn._xlws.FILTER(Table3[Holiday Name],(G204&gt;=Table3[start])*(G204&lt;=Table3[end])),"**No associated Holiday"))))</f>
        <v/>
      </c>
      <c r="G204" s="36"/>
      <c r="I204" s="31"/>
    </row>
    <row r="205" spans="5:9" x14ac:dyDescent="0.35">
      <c r="E205" s="289" t="str" cm="1">
        <f t="array" ref="E205">IF(IFERROR(_xlfn.TEXTJOIN(", ",TRUE,TEXT(INDEX(Table3[Date],MATCH(_xlfn.FILTERXML("&lt;root&gt;&lt;item&gt;"&amp;SUBSTITUTE(F205,", ","&lt;/item&gt;&lt;item&gt;")&amp;"&lt;/item&gt;&lt;/root&gt;","//item"),Table3[Holiday Name],0)),"m/d/yyyy")),G205)="","",IFERROR(_xlfn.TEXTJOIN(", ",TRUE,TEXT(INDEX(Table3[Date],MATCH(_xlfn.FILTERXML("&lt;root&gt;&lt;item&gt;"&amp;SUBSTITUTE(F205,", ","&lt;/item&gt;&lt;item&gt;")&amp;"&lt;/item&gt;&lt;/root&gt;","//item"),Table3[Holiday Name],0)),"m/d/yyyy")),G205))</f>
        <v/>
      </c>
      <c r="F205" s="234" t="str" cm="1">
        <f t="array" ref="F205">IF(G205="","",IF(_xlfn.TEXTJOIN(", ",TRUE,IFERROR(_xlfn._xlws.FILTER(Table3[Holiday Name],(G205&gt;=Table3[start])*(G205&lt;=Table3[end])),"**No associated Holiday"))="","",_xlfn.TEXTJOIN(", ",TRUE,IFERROR(_xlfn._xlws.FILTER(Table3[Holiday Name],(G205&gt;=Table3[start])*(G205&lt;=Table3[end])),"**No associated Holiday"))))</f>
        <v/>
      </c>
      <c r="G205" s="36"/>
      <c r="I205" s="31"/>
    </row>
    <row r="206" spans="5:9" x14ac:dyDescent="0.35">
      <c r="E206" s="289" t="str" cm="1">
        <f t="array" ref="E206">IF(IFERROR(_xlfn.TEXTJOIN(", ",TRUE,TEXT(INDEX(Table3[Date],MATCH(_xlfn.FILTERXML("&lt;root&gt;&lt;item&gt;"&amp;SUBSTITUTE(F206,", ","&lt;/item&gt;&lt;item&gt;")&amp;"&lt;/item&gt;&lt;/root&gt;","//item"),Table3[Holiday Name],0)),"m/d/yyyy")),G206)="","",IFERROR(_xlfn.TEXTJOIN(", ",TRUE,TEXT(INDEX(Table3[Date],MATCH(_xlfn.FILTERXML("&lt;root&gt;&lt;item&gt;"&amp;SUBSTITUTE(F206,", ","&lt;/item&gt;&lt;item&gt;")&amp;"&lt;/item&gt;&lt;/root&gt;","//item"),Table3[Holiday Name],0)),"m/d/yyyy")),G206))</f>
        <v/>
      </c>
      <c r="F206" s="234" t="str" cm="1">
        <f t="array" ref="F206">IF(G206="","",IF(_xlfn.TEXTJOIN(", ",TRUE,IFERROR(_xlfn._xlws.FILTER(Table3[Holiday Name],(G206&gt;=Table3[start])*(G206&lt;=Table3[end])),"**No associated Holiday"))="","",_xlfn.TEXTJOIN(", ",TRUE,IFERROR(_xlfn._xlws.FILTER(Table3[Holiday Name],(G206&gt;=Table3[start])*(G206&lt;=Table3[end])),"**No associated Holiday"))))</f>
        <v/>
      </c>
      <c r="G206" s="36"/>
      <c r="I206" s="31"/>
    </row>
    <row r="207" spans="5:9" x14ac:dyDescent="0.35">
      <c r="E207" s="289" t="str" cm="1">
        <f t="array" ref="E207">IF(IFERROR(_xlfn.TEXTJOIN(", ",TRUE,TEXT(INDEX(Table3[Date],MATCH(_xlfn.FILTERXML("&lt;root&gt;&lt;item&gt;"&amp;SUBSTITUTE(F207,", ","&lt;/item&gt;&lt;item&gt;")&amp;"&lt;/item&gt;&lt;/root&gt;","//item"),Table3[Holiday Name],0)),"m/d/yyyy")),G207)="","",IFERROR(_xlfn.TEXTJOIN(", ",TRUE,TEXT(INDEX(Table3[Date],MATCH(_xlfn.FILTERXML("&lt;root&gt;&lt;item&gt;"&amp;SUBSTITUTE(F207,", ","&lt;/item&gt;&lt;item&gt;")&amp;"&lt;/item&gt;&lt;/root&gt;","//item"),Table3[Holiday Name],0)),"m/d/yyyy")),G207))</f>
        <v/>
      </c>
      <c r="F207" s="234" t="str" cm="1">
        <f t="array" ref="F207">IF(G207="","",IF(_xlfn.TEXTJOIN(", ",TRUE,IFERROR(_xlfn._xlws.FILTER(Table3[Holiday Name],(G207&gt;=Table3[start])*(G207&lt;=Table3[end])),"**No associated Holiday"))="","",_xlfn.TEXTJOIN(", ",TRUE,IFERROR(_xlfn._xlws.FILTER(Table3[Holiday Name],(G207&gt;=Table3[start])*(G207&lt;=Table3[end])),"**No associated Holiday"))))</f>
        <v/>
      </c>
      <c r="G207" s="36"/>
      <c r="I207" s="31"/>
    </row>
    <row r="208" spans="5:9" x14ac:dyDescent="0.35">
      <c r="E208" s="289" t="str" cm="1">
        <f t="array" ref="E208">IF(IFERROR(_xlfn.TEXTJOIN(", ",TRUE,TEXT(INDEX(Table3[Date],MATCH(_xlfn.FILTERXML("&lt;root&gt;&lt;item&gt;"&amp;SUBSTITUTE(F208,", ","&lt;/item&gt;&lt;item&gt;")&amp;"&lt;/item&gt;&lt;/root&gt;","//item"),Table3[Holiday Name],0)),"m/d/yyyy")),G208)="","",IFERROR(_xlfn.TEXTJOIN(", ",TRUE,TEXT(INDEX(Table3[Date],MATCH(_xlfn.FILTERXML("&lt;root&gt;&lt;item&gt;"&amp;SUBSTITUTE(F208,", ","&lt;/item&gt;&lt;item&gt;")&amp;"&lt;/item&gt;&lt;/root&gt;","//item"),Table3[Holiday Name],0)),"m/d/yyyy")),G208))</f>
        <v/>
      </c>
      <c r="F208" s="234" t="str" cm="1">
        <f t="array" ref="F208">IF(G208="","",IF(_xlfn.TEXTJOIN(", ",TRUE,IFERROR(_xlfn._xlws.FILTER(Table3[Holiday Name],(G208&gt;=Table3[start])*(G208&lt;=Table3[end])),"**No associated Holiday"))="","",_xlfn.TEXTJOIN(", ",TRUE,IFERROR(_xlfn._xlws.FILTER(Table3[Holiday Name],(G208&gt;=Table3[start])*(G208&lt;=Table3[end])),"**No associated Holiday"))))</f>
        <v/>
      </c>
      <c r="G208" s="36"/>
      <c r="I208" s="31"/>
    </row>
    <row r="209" spans="5:9" x14ac:dyDescent="0.35">
      <c r="E209" s="289" t="str" cm="1">
        <f t="array" ref="E209">IF(IFERROR(_xlfn.TEXTJOIN(", ",TRUE,TEXT(INDEX(Table3[Date],MATCH(_xlfn.FILTERXML("&lt;root&gt;&lt;item&gt;"&amp;SUBSTITUTE(F209,", ","&lt;/item&gt;&lt;item&gt;")&amp;"&lt;/item&gt;&lt;/root&gt;","//item"),Table3[Holiday Name],0)),"m/d/yyyy")),G209)="","",IFERROR(_xlfn.TEXTJOIN(", ",TRUE,TEXT(INDEX(Table3[Date],MATCH(_xlfn.FILTERXML("&lt;root&gt;&lt;item&gt;"&amp;SUBSTITUTE(F209,", ","&lt;/item&gt;&lt;item&gt;")&amp;"&lt;/item&gt;&lt;/root&gt;","//item"),Table3[Holiday Name],0)),"m/d/yyyy")),G209))</f>
        <v/>
      </c>
      <c r="F209" s="234" t="str" cm="1">
        <f t="array" ref="F209">IF(G209="","",IF(_xlfn.TEXTJOIN(", ",TRUE,IFERROR(_xlfn._xlws.FILTER(Table3[Holiday Name],(G209&gt;=Table3[start])*(G209&lt;=Table3[end])),"**No associated Holiday"))="","",_xlfn.TEXTJOIN(", ",TRUE,IFERROR(_xlfn._xlws.FILTER(Table3[Holiday Name],(G209&gt;=Table3[start])*(G209&lt;=Table3[end])),"**No associated Holiday"))))</f>
        <v/>
      </c>
      <c r="G209" s="36"/>
      <c r="I209" s="31"/>
    </row>
    <row r="210" spans="5:9" x14ac:dyDescent="0.35">
      <c r="E210" s="289" t="str" cm="1">
        <f t="array" ref="E210">IF(IFERROR(_xlfn.TEXTJOIN(", ",TRUE,TEXT(INDEX(Table3[Date],MATCH(_xlfn.FILTERXML("&lt;root&gt;&lt;item&gt;"&amp;SUBSTITUTE(F210,", ","&lt;/item&gt;&lt;item&gt;")&amp;"&lt;/item&gt;&lt;/root&gt;","//item"),Table3[Holiday Name],0)),"m/d/yyyy")),G210)="","",IFERROR(_xlfn.TEXTJOIN(", ",TRUE,TEXT(INDEX(Table3[Date],MATCH(_xlfn.FILTERXML("&lt;root&gt;&lt;item&gt;"&amp;SUBSTITUTE(F210,", ","&lt;/item&gt;&lt;item&gt;")&amp;"&lt;/item&gt;&lt;/root&gt;","//item"),Table3[Holiday Name],0)),"m/d/yyyy")),G210))</f>
        <v/>
      </c>
      <c r="F210" s="234" t="str" cm="1">
        <f t="array" ref="F210">IF(G210="","",IF(_xlfn.TEXTJOIN(", ",TRUE,IFERROR(_xlfn._xlws.FILTER(Table3[Holiday Name],(G210&gt;=Table3[start])*(G210&lt;=Table3[end])),"**No associated Holiday"))="","",_xlfn.TEXTJOIN(", ",TRUE,IFERROR(_xlfn._xlws.FILTER(Table3[Holiday Name],(G210&gt;=Table3[start])*(G210&lt;=Table3[end])),"**No associated Holiday"))))</f>
        <v/>
      </c>
      <c r="G210" s="36"/>
      <c r="I210" s="31"/>
    </row>
    <row r="211" spans="5:9" x14ac:dyDescent="0.35">
      <c r="E211" s="289" t="str" cm="1">
        <f t="array" ref="E211">IF(IFERROR(_xlfn.TEXTJOIN(", ",TRUE,TEXT(INDEX(Table3[Date],MATCH(_xlfn.FILTERXML("&lt;root&gt;&lt;item&gt;"&amp;SUBSTITUTE(F211,", ","&lt;/item&gt;&lt;item&gt;")&amp;"&lt;/item&gt;&lt;/root&gt;","//item"),Table3[Holiday Name],0)),"m/d/yyyy")),G211)="","",IFERROR(_xlfn.TEXTJOIN(", ",TRUE,TEXT(INDEX(Table3[Date],MATCH(_xlfn.FILTERXML("&lt;root&gt;&lt;item&gt;"&amp;SUBSTITUTE(F211,", ","&lt;/item&gt;&lt;item&gt;")&amp;"&lt;/item&gt;&lt;/root&gt;","//item"),Table3[Holiday Name],0)),"m/d/yyyy")),G211))</f>
        <v/>
      </c>
      <c r="F211" s="234" t="str" cm="1">
        <f t="array" ref="F211">IF(G211="","",IF(_xlfn.TEXTJOIN(", ",TRUE,IFERROR(_xlfn._xlws.FILTER(Table3[Holiday Name],(G211&gt;=Table3[start])*(G211&lt;=Table3[end])),"**No associated Holiday"))="","",_xlfn.TEXTJOIN(", ",TRUE,IFERROR(_xlfn._xlws.FILTER(Table3[Holiday Name],(G211&gt;=Table3[start])*(G211&lt;=Table3[end])),"**No associated Holiday"))))</f>
        <v/>
      </c>
      <c r="G211" s="36"/>
      <c r="I211" s="31"/>
    </row>
    <row r="212" spans="5:9" x14ac:dyDescent="0.35">
      <c r="E212" s="289" t="str" cm="1">
        <f t="array" ref="E212">IF(IFERROR(_xlfn.TEXTJOIN(", ",TRUE,TEXT(INDEX(Table3[Date],MATCH(_xlfn.FILTERXML("&lt;root&gt;&lt;item&gt;"&amp;SUBSTITUTE(F212,", ","&lt;/item&gt;&lt;item&gt;")&amp;"&lt;/item&gt;&lt;/root&gt;","//item"),Table3[Holiday Name],0)),"m/d/yyyy")),G212)="","",IFERROR(_xlfn.TEXTJOIN(", ",TRUE,TEXT(INDEX(Table3[Date],MATCH(_xlfn.FILTERXML("&lt;root&gt;&lt;item&gt;"&amp;SUBSTITUTE(F212,", ","&lt;/item&gt;&lt;item&gt;")&amp;"&lt;/item&gt;&lt;/root&gt;","//item"),Table3[Holiday Name],0)),"m/d/yyyy")),G212))</f>
        <v/>
      </c>
      <c r="F212" s="234" t="str" cm="1">
        <f t="array" ref="F212">IF(G212="","",IF(_xlfn.TEXTJOIN(", ",TRUE,IFERROR(_xlfn._xlws.FILTER(Table3[Holiday Name],(G212&gt;=Table3[start])*(G212&lt;=Table3[end])),"**No associated Holiday"))="","",_xlfn.TEXTJOIN(", ",TRUE,IFERROR(_xlfn._xlws.FILTER(Table3[Holiday Name],(G212&gt;=Table3[start])*(G212&lt;=Table3[end])),"**No associated Holiday"))))</f>
        <v/>
      </c>
      <c r="G212" s="36"/>
      <c r="I212" s="31"/>
    </row>
    <row r="213" spans="5:9" x14ac:dyDescent="0.35">
      <c r="E213" s="289" t="str" cm="1">
        <f t="array" ref="E213">IF(IFERROR(_xlfn.TEXTJOIN(", ",TRUE,TEXT(INDEX(Table3[Date],MATCH(_xlfn.FILTERXML("&lt;root&gt;&lt;item&gt;"&amp;SUBSTITUTE(F213,", ","&lt;/item&gt;&lt;item&gt;")&amp;"&lt;/item&gt;&lt;/root&gt;","//item"),Table3[Holiday Name],0)),"m/d/yyyy")),G213)="","",IFERROR(_xlfn.TEXTJOIN(", ",TRUE,TEXT(INDEX(Table3[Date],MATCH(_xlfn.FILTERXML("&lt;root&gt;&lt;item&gt;"&amp;SUBSTITUTE(F213,", ","&lt;/item&gt;&lt;item&gt;")&amp;"&lt;/item&gt;&lt;/root&gt;","//item"),Table3[Holiday Name],0)),"m/d/yyyy")),G213))</f>
        <v/>
      </c>
      <c r="F213" s="234" t="str" cm="1">
        <f t="array" ref="F213">IF(G213="","",IF(_xlfn.TEXTJOIN(", ",TRUE,IFERROR(_xlfn._xlws.FILTER(Table3[Holiday Name],(G213&gt;=Table3[start])*(G213&lt;=Table3[end])),"**No associated Holiday"))="","",_xlfn.TEXTJOIN(", ",TRUE,IFERROR(_xlfn._xlws.FILTER(Table3[Holiday Name],(G213&gt;=Table3[start])*(G213&lt;=Table3[end])),"**No associated Holiday"))))</f>
        <v/>
      </c>
      <c r="G213" s="36"/>
      <c r="I213" s="31"/>
    </row>
    <row r="214" spans="5:9" x14ac:dyDescent="0.35">
      <c r="E214" s="289" t="str" cm="1">
        <f t="array" ref="E214">IF(IFERROR(_xlfn.TEXTJOIN(", ",TRUE,TEXT(INDEX(Table3[Date],MATCH(_xlfn.FILTERXML("&lt;root&gt;&lt;item&gt;"&amp;SUBSTITUTE(F214,", ","&lt;/item&gt;&lt;item&gt;")&amp;"&lt;/item&gt;&lt;/root&gt;","//item"),Table3[Holiday Name],0)),"m/d/yyyy")),G214)="","",IFERROR(_xlfn.TEXTJOIN(", ",TRUE,TEXT(INDEX(Table3[Date],MATCH(_xlfn.FILTERXML("&lt;root&gt;&lt;item&gt;"&amp;SUBSTITUTE(F214,", ","&lt;/item&gt;&lt;item&gt;")&amp;"&lt;/item&gt;&lt;/root&gt;","//item"),Table3[Holiday Name],0)),"m/d/yyyy")),G214))</f>
        <v/>
      </c>
      <c r="F214" s="234" t="str" cm="1">
        <f t="array" ref="F214">IF(G214="","",IF(_xlfn.TEXTJOIN(", ",TRUE,IFERROR(_xlfn._xlws.FILTER(Table3[Holiday Name],(G214&gt;=Table3[start])*(G214&lt;=Table3[end])),"**No associated Holiday"))="","",_xlfn.TEXTJOIN(", ",TRUE,IFERROR(_xlfn._xlws.FILTER(Table3[Holiday Name],(G214&gt;=Table3[start])*(G214&lt;=Table3[end])),"**No associated Holiday"))))</f>
        <v/>
      </c>
      <c r="G214" s="36"/>
      <c r="I214" s="31"/>
    </row>
    <row r="215" spans="5:9" x14ac:dyDescent="0.35">
      <c r="E215" s="289" t="str" cm="1">
        <f t="array" ref="E215">IF(IFERROR(_xlfn.TEXTJOIN(", ",TRUE,TEXT(INDEX(Table3[Date],MATCH(_xlfn.FILTERXML("&lt;root&gt;&lt;item&gt;"&amp;SUBSTITUTE(F215,", ","&lt;/item&gt;&lt;item&gt;")&amp;"&lt;/item&gt;&lt;/root&gt;","//item"),Table3[Holiday Name],0)),"m/d/yyyy")),G215)="","",IFERROR(_xlfn.TEXTJOIN(", ",TRUE,TEXT(INDEX(Table3[Date],MATCH(_xlfn.FILTERXML("&lt;root&gt;&lt;item&gt;"&amp;SUBSTITUTE(F215,", ","&lt;/item&gt;&lt;item&gt;")&amp;"&lt;/item&gt;&lt;/root&gt;","//item"),Table3[Holiday Name],0)),"m/d/yyyy")),G215))</f>
        <v/>
      </c>
      <c r="F215" s="234" t="str" cm="1">
        <f t="array" ref="F215">IF(G215="","",IF(_xlfn.TEXTJOIN(", ",TRUE,IFERROR(_xlfn._xlws.FILTER(Table3[Holiday Name],(G215&gt;=Table3[start])*(G215&lt;=Table3[end])),"**No associated Holiday"))="","",_xlfn.TEXTJOIN(", ",TRUE,IFERROR(_xlfn._xlws.FILTER(Table3[Holiday Name],(G215&gt;=Table3[start])*(G215&lt;=Table3[end])),"**No associated Holiday"))))</f>
        <v/>
      </c>
      <c r="G215" s="36"/>
      <c r="I215" s="31"/>
    </row>
    <row r="216" spans="5:9" x14ac:dyDescent="0.35">
      <c r="E216" s="289" t="str" cm="1">
        <f t="array" ref="E216">IF(IFERROR(_xlfn.TEXTJOIN(", ",TRUE,TEXT(INDEX(Table3[Date],MATCH(_xlfn.FILTERXML("&lt;root&gt;&lt;item&gt;"&amp;SUBSTITUTE(F216,", ","&lt;/item&gt;&lt;item&gt;")&amp;"&lt;/item&gt;&lt;/root&gt;","//item"),Table3[Holiday Name],0)),"m/d/yyyy")),G216)="","",IFERROR(_xlfn.TEXTJOIN(", ",TRUE,TEXT(INDEX(Table3[Date],MATCH(_xlfn.FILTERXML("&lt;root&gt;&lt;item&gt;"&amp;SUBSTITUTE(F216,", ","&lt;/item&gt;&lt;item&gt;")&amp;"&lt;/item&gt;&lt;/root&gt;","//item"),Table3[Holiday Name],0)),"m/d/yyyy")),G216))</f>
        <v/>
      </c>
      <c r="F216" s="234" t="str" cm="1">
        <f t="array" ref="F216">IF(G216="","",IF(_xlfn.TEXTJOIN(", ",TRUE,IFERROR(_xlfn._xlws.FILTER(Table3[Holiday Name],(G216&gt;=Table3[start])*(G216&lt;=Table3[end])),"**No associated Holiday"))="","",_xlfn.TEXTJOIN(", ",TRUE,IFERROR(_xlfn._xlws.FILTER(Table3[Holiday Name],(G216&gt;=Table3[start])*(G216&lt;=Table3[end])),"**No associated Holiday"))))</f>
        <v/>
      </c>
      <c r="G216" s="36"/>
      <c r="I216" s="31"/>
    </row>
    <row r="217" spans="5:9" x14ac:dyDescent="0.35">
      <c r="E217" s="289" t="str" cm="1">
        <f t="array" ref="E217">IF(IFERROR(_xlfn.TEXTJOIN(", ",TRUE,TEXT(INDEX(Table3[Date],MATCH(_xlfn.FILTERXML("&lt;root&gt;&lt;item&gt;"&amp;SUBSTITUTE(F217,", ","&lt;/item&gt;&lt;item&gt;")&amp;"&lt;/item&gt;&lt;/root&gt;","//item"),Table3[Holiday Name],0)),"m/d/yyyy")),G217)="","",IFERROR(_xlfn.TEXTJOIN(", ",TRUE,TEXT(INDEX(Table3[Date],MATCH(_xlfn.FILTERXML("&lt;root&gt;&lt;item&gt;"&amp;SUBSTITUTE(F217,", ","&lt;/item&gt;&lt;item&gt;")&amp;"&lt;/item&gt;&lt;/root&gt;","//item"),Table3[Holiday Name],0)),"m/d/yyyy")),G217))</f>
        <v/>
      </c>
      <c r="F217" s="234" t="str" cm="1">
        <f t="array" ref="F217">IF(G217="","",IF(_xlfn.TEXTJOIN(", ",TRUE,IFERROR(_xlfn._xlws.FILTER(Table3[Holiday Name],(G217&gt;=Table3[start])*(G217&lt;=Table3[end])),"**No associated Holiday"))="","",_xlfn.TEXTJOIN(", ",TRUE,IFERROR(_xlfn._xlws.FILTER(Table3[Holiday Name],(G217&gt;=Table3[start])*(G217&lt;=Table3[end])),"**No associated Holiday"))))</f>
        <v/>
      </c>
      <c r="G217" s="36"/>
      <c r="I217" s="31"/>
    </row>
    <row r="218" spans="5:9" x14ac:dyDescent="0.35">
      <c r="E218" s="289" t="str" cm="1">
        <f t="array" ref="E218">IF(IFERROR(_xlfn.TEXTJOIN(", ",TRUE,TEXT(INDEX(Table3[Date],MATCH(_xlfn.FILTERXML("&lt;root&gt;&lt;item&gt;"&amp;SUBSTITUTE(F218,", ","&lt;/item&gt;&lt;item&gt;")&amp;"&lt;/item&gt;&lt;/root&gt;","//item"),Table3[Holiday Name],0)),"m/d/yyyy")),G218)="","",IFERROR(_xlfn.TEXTJOIN(", ",TRUE,TEXT(INDEX(Table3[Date],MATCH(_xlfn.FILTERXML("&lt;root&gt;&lt;item&gt;"&amp;SUBSTITUTE(F218,", ","&lt;/item&gt;&lt;item&gt;")&amp;"&lt;/item&gt;&lt;/root&gt;","//item"),Table3[Holiday Name],0)),"m/d/yyyy")),G218))</f>
        <v/>
      </c>
      <c r="F218" s="234" t="str" cm="1">
        <f t="array" ref="F218">IF(G218="","",IF(_xlfn.TEXTJOIN(", ",TRUE,IFERROR(_xlfn._xlws.FILTER(Table3[Holiday Name],(G218&gt;=Table3[start])*(G218&lt;=Table3[end])),"**No associated Holiday"))="","",_xlfn.TEXTJOIN(", ",TRUE,IFERROR(_xlfn._xlws.FILTER(Table3[Holiday Name],(G218&gt;=Table3[start])*(G218&lt;=Table3[end])),"**No associated Holiday"))))</f>
        <v/>
      </c>
      <c r="G218" s="36"/>
      <c r="I218" s="31"/>
    </row>
    <row r="219" spans="5:9" x14ac:dyDescent="0.35">
      <c r="E219" s="289" t="str" cm="1">
        <f t="array" ref="E219">IF(IFERROR(_xlfn.TEXTJOIN(", ",TRUE,TEXT(INDEX(Table3[Date],MATCH(_xlfn.FILTERXML("&lt;root&gt;&lt;item&gt;"&amp;SUBSTITUTE(F219,", ","&lt;/item&gt;&lt;item&gt;")&amp;"&lt;/item&gt;&lt;/root&gt;","//item"),Table3[Holiday Name],0)),"m/d/yyyy")),G219)="","",IFERROR(_xlfn.TEXTJOIN(", ",TRUE,TEXT(INDEX(Table3[Date],MATCH(_xlfn.FILTERXML("&lt;root&gt;&lt;item&gt;"&amp;SUBSTITUTE(F219,", ","&lt;/item&gt;&lt;item&gt;")&amp;"&lt;/item&gt;&lt;/root&gt;","//item"),Table3[Holiday Name],0)),"m/d/yyyy")),G219))</f>
        <v/>
      </c>
      <c r="F219" s="234" t="str" cm="1">
        <f t="array" ref="F219">IF(G219="","",IF(_xlfn.TEXTJOIN(", ",TRUE,IFERROR(_xlfn._xlws.FILTER(Table3[Holiday Name],(G219&gt;=Table3[start])*(G219&lt;=Table3[end])),"**No associated Holiday"))="","",_xlfn.TEXTJOIN(", ",TRUE,IFERROR(_xlfn._xlws.FILTER(Table3[Holiday Name],(G219&gt;=Table3[start])*(G219&lt;=Table3[end])),"**No associated Holiday"))))</f>
        <v/>
      </c>
      <c r="G219" s="36"/>
      <c r="I219" s="31"/>
    </row>
    <row r="220" spans="5:9" x14ac:dyDescent="0.35">
      <c r="E220" s="289" t="str" cm="1">
        <f t="array" ref="E220">IF(IFERROR(_xlfn.TEXTJOIN(", ",TRUE,TEXT(INDEX(Table3[Date],MATCH(_xlfn.FILTERXML("&lt;root&gt;&lt;item&gt;"&amp;SUBSTITUTE(F220,", ","&lt;/item&gt;&lt;item&gt;")&amp;"&lt;/item&gt;&lt;/root&gt;","//item"),Table3[Holiday Name],0)),"m/d/yyyy")),G220)="","",IFERROR(_xlfn.TEXTJOIN(", ",TRUE,TEXT(INDEX(Table3[Date],MATCH(_xlfn.FILTERXML("&lt;root&gt;&lt;item&gt;"&amp;SUBSTITUTE(F220,", ","&lt;/item&gt;&lt;item&gt;")&amp;"&lt;/item&gt;&lt;/root&gt;","//item"),Table3[Holiday Name],0)),"m/d/yyyy")),G220))</f>
        <v/>
      </c>
      <c r="F220" s="234" t="str" cm="1">
        <f t="array" ref="F220">IF(G220="","",IF(_xlfn.TEXTJOIN(", ",TRUE,IFERROR(_xlfn._xlws.FILTER(Table3[Holiday Name],(G220&gt;=Table3[start])*(G220&lt;=Table3[end])),"**No associated Holiday"))="","",_xlfn.TEXTJOIN(", ",TRUE,IFERROR(_xlfn._xlws.FILTER(Table3[Holiday Name],(G220&gt;=Table3[start])*(G220&lt;=Table3[end])),"**No associated Holiday"))))</f>
        <v/>
      </c>
      <c r="G220" s="36"/>
      <c r="I220" s="31"/>
    </row>
    <row r="221" spans="5:9" x14ac:dyDescent="0.35">
      <c r="E221" s="289" t="str" cm="1">
        <f t="array" ref="E221">IF(IFERROR(_xlfn.TEXTJOIN(", ",TRUE,TEXT(INDEX(Table3[Date],MATCH(_xlfn.FILTERXML("&lt;root&gt;&lt;item&gt;"&amp;SUBSTITUTE(F221,", ","&lt;/item&gt;&lt;item&gt;")&amp;"&lt;/item&gt;&lt;/root&gt;","//item"),Table3[Holiday Name],0)),"m/d/yyyy")),G221)="","",IFERROR(_xlfn.TEXTJOIN(", ",TRUE,TEXT(INDEX(Table3[Date],MATCH(_xlfn.FILTERXML("&lt;root&gt;&lt;item&gt;"&amp;SUBSTITUTE(F221,", ","&lt;/item&gt;&lt;item&gt;")&amp;"&lt;/item&gt;&lt;/root&gt;","//item"),Table3[Holiday Name],0)),"m/d/yyyy")),G221))</f>
        <v/>
      </c>
      <c r="F221" s="234" t="str" cm="1">
        <f t="array" ref="F221">IF(G221="","",IF(_xlfn.TEXTJOIN(", ",TRUE,IFERROR(_xlfn._xlws.FILTER(Table3[Holiday Name],(G221&gt;=Table3[start])*(G221&lt;=Table3[end])),"**No associated Holiday"))="","",_xlfn.TEXTJOIN(", ",TRUE,IFERROR(_xlfn._xlws.FILTER(Table3[Holiday Name],(G221&gt;=Table3[start])*(G221&lt;=Table3[end])),"**No associated Holiday"))))</f>
        <v/>
      </c>
      <c r="G221" s="36"/>
      <c r="I221" s="31"/>
    </row>
    <row r="222" spans="5:9" x14ac:dyDescent="0.35">
      <c r="E222" s="289" t="str" cm="1">
        <f t="array" ref="E222">IF(IFERROR(_xlfn.TEXTJOIN(", ",TRUE,TEXT(INDEX(Table3[Date],MATCH(_xlfn.FILTERXML("&lt;root&gt;&lt;item&gt;"&amp;SUBSTITUTE(F222,", ","&lt;/item&gt;&lt;item&gt;")&amp;"&lt;/item&gt;&lt;/root&gt;","//item"),Table3[Holiday Name],0)),"m/d/yyyy")),G222)="","",IFERROR(_xlfn.TEXTJOIN(", ",TRUE,TEXT(INDEX(Table3[Date],MATCH(_xlfn.FILTERXML("&lt;root&gt;&lt;item&gt;"&amp;SUBSTITUTE(F222,", ","&lt;/item&gt;&lt;item&gt;")&amp;"&lt;/item&gt;&lt;/root&gt;","//item"),Table3[Holiday Name],0)),"m/d/yyyy")),G222))</f>
        <v/>
      </c>
      <c r="F222" s="234" t="str" cm="1">
        <f t="array" ref="F222">IF(G222="","",IF(_xlfn.TEXTJOIN(", ",TRUE,IFERROR(_xlfn._xlws.FILTER(Table3[Holiday Name],(G222&gt;=Table3[start])*(G222&lt;=Table3[end])),"**No associated Holiday"))="","",_xlfn.TEXTJOIN(", ",TRUE,IFERROR(_xlfn._xlws.FILTER(Table3[Holiday Name],(G222&gt;=Table3[start])*(G222&lt;=Table3[end])),"**No associated Holiday"))))</f>
        <v/>
      </c>
      <c r="G222" s="36"/>
      <c r="I222" s="31"/>
    </row>
    <row r="223" spans="5:9" x14ac:dyDescent="0.35">
      <c r="E223" s="289" t="str" cm="1">
        <f t="array" ref="E223">IF(IFERROR(_xlfn.TEXTJOIN(", ",TRUE,TEXT(INDEX(Table3[Date],MATCH(_xlfn.FILTERXML("&lt;root&gt;&lt;item&gt;"&amp;SUBSTITUTE(F223,", ","&lt;/item&gt;&lt;item&gt;")&amp;"&lt;/item&gt;&lt;/root&gt;","//item"),Table3[Holiday Name],0)),"m/d/yyyy")),G223)="","",IFERROR(_xlfn.TEXTJOIN(", ",TRUE,TEXT(INDEX(Table3[Date],MATCH(_xlfn.FILTERXML("&lt;root&gt;&lt;item&gt;"&amp;SUBSTITUTE(F223,", ","&lt;/item&gt;&lt;item&gt;")&amp;"&lt;/item&gt;&lt;/root&gt;","//item"),Table3[Holiday Name],0)),"m/d/yyyy")),G223))</f>
        <v/>
      </c>
      <c r="F223" s="234" t="str" cm="1">
        <f t="array" ref="F223">IF(G223="","",IF(_xlfn.TEXTJOIN(", ",TRUE,IFERROR(_xlfn._xlws.FILTER(Table3[Holiday Name],(G223&gt;=Table3[start])*(G223&lt;=Table3[end])),"**No associated Holiday"))="","",_xlfn.TEXTJOIN(", ",TRUE,IFERROR(_xlfn._xlws.FILTER(Table3[Holiday Name],(G223&gt;=Table3[start])*(G223&lt;=Table3[end])),"**No associated Holiday"))))</f>
        <v/>
      </c>
      <c r="G223" s="36"/>
      <c r="I223" s="31"/>
    </row>
    <row r="224" spans="5:9" x14ac:dyDescent="0.35">
      <c r="E224" s="289" t="str" cm="1">
        <f t="array" ref="E224">IF(IFERROR(_xlfn.TEXTJOIN(", ",TRUE,TEXT(INDEX(Table3[Date],MATCH(_xlfn.FILTERXML("&lt;root&gt;&lt;item&gt;"&amp;SUBSTITUTE(F224,", ","&lt;/item&gt;&lt;item&gt;")&amp;"&lt;/item&gt;&lt;/root&gt;","//item"),Table3[Holiday Name],0)),"m/d/yyyy")),G224)="","",IFERROR(_xlfn.TEXTJOIN(", ",TRUE,TEXT(INDEX(Table3[Date],MATCH(_xlfn.FILTERXML("&lt;root&gt;&lt;item&gt;"&amp;SUBSTITUTE(F224,", ","&lt;/item&gt;&lt;item&gt;")&amp;"&lt;/item&gt;&lt;/root&gt;","//item"),Table3[Holiday Name],0)),"m/d/yyyy")),G224))</f>
        <v/>
      </c>
      <c r="F224" s="234" t="str" cm="1">
        <f t="array" ref="F224">IF(G224="","",IF(_xlfn.TEXTJOIN(", ",TRUE,IFERROR(_xlfn._xlws.FILTER(Table3[Holiday Name],(G224&gt;=Table3[start])*(G224&lt;=Table3[end])),"**No associated Holiday"))="","",_xlfn.TEXTJOIN(", ",TRUE,IFERROR(_xlfn._xlws.FILTER(Table3[Holiday Name],(G224&gt;=Table3[start])*(G224&lt;=Table3[end])),"**No associated Holiday"))))</f>
        <v/>
      </c>
      <c r="G224" s="36"/>
      <c r="I224" s="31"/>
    </row>
    <row r="225" spans="5:9" x14ac:dyDescent="0.35">
      <c r="E225" s="289" t="str" cm="1">
        <f t="array" ref="E225">IF(IFERROR(_xlfn.TEXTJOIN(", ",TRUE,TEXT(INDEX(Table3[Date],MATCH(_xlfn.FILTERXML("&lt;root&gt;&lt;item&gt;"&amp;SUBSTITUTE(F225,", ","&lt;/item&gt;&lt;item&gt;")&amp;"&lt;/item&gt;&lt;/root&gt;","//item"),Table3[Holiday Name],0)),"m/d/yyyy")),G225)="","",IFERROR(_xlfn.TEXTJOIN(", ",TRUE,TEXT(INDEX(Table3[Date],MATCH(_xlfn.FILTERXML("&lt;root&gt;&lt;item&gt;"&amp;SUBSTITUTE(F225,", ","&lt;/item&gt;&lt;item&gt;")&amp;"&lt;/item&gt;&lt;/root&gt;","//item"),Table3[Holiday Name],0)),"m/d/yyyy")),G225))</f>
        <v/>
      </c>
      <c r="F225" s="234" t="str" cm="1">
        <f t="array" ref="F225">IF(G225="","",IF(_xlfn.TEXTJOIN(", ",TRUE,IFERROR(_xlfn._xlws.FILTER(Table3[Holiday Name],(G225&gt;=Table3[start])*(G225&lt;=Table3[end])),"**No associated Holiday"))="","",_xlfn.TEXTJOIN(", ",TRUE,IFERROR(_xlfn._xlws.FILTER(Table3[Holiday Name],(G225&gt;=Table3[start])*(G225&lt;=Table3[end])),"**No associated Holiday"))))</f>
        <v/>
      </c>
      <c r="G225" s="36"/>
      <c r="I225" s="31"/>
    </row>
    <row r="226" spans="5:9" x14ac:dyDescent="0.35">
      <c r="E226" s="289" t="str" cm="1">
        <f t="array" ref="E226">IF(IFERROR(_xlfn.TEXTJOIN(", ",TRUE,TEXT(INDEX(Table3[Date],MATCH(_xlfn.FILTERXML("&lt;root&gt;&lt;item&gt;"&amp;SUBSTITUTE(F226,", ","&lt;/item&gt;&lt;item&gt;")&amp;"&lt;/item&gt;&lt;/root&gt;","//item"),Table3[Holiday Name],0)),"m/d/yyyy")),G226)="","",IFERROR(_xlfn.TEXTJOIN(", ",TRUE,TEXT(INDEX(Table3[Date],MATCH(_xlfn.FILTERXML("&lt;root&gt;&lt;item&gt;"&amp;SUBSTITUTE(F226,", ","&lt;/item&gt;&lt;item&gt;")&amp;"&lt;/item&gt;&lt;/root&gt;","//item"),Table3[Holiday Name],0)),"m/d/yyyy")),G226))</f>
        <v/>
      </c>
      <c r="F226" s="234" t="str" cm="1">
        <f t="array" ref="F226">IF(G226="","",IF(_xlfn.TEXTJOIN(", ",TRUE,IFERROR(_xlfn._xlws.FILTER(Table3[Holiday Name],(G226&gt;=Table3[start])*(G226&lt;=Table3[end])),"**No associated Holiday"))="","",_xlfn.TEXTJOIN(", ",TRUE,IFERROR(_xlfn._xlws.FILTER(Table3[Holiday Name],(G226&gt;=Table3[start])*(G226&lt;=Table3[end])),"**No associated Holiday"))))</f>
        <v/>
      </c>
      <c r="G226" s="36"/>
      <c r="I226" s="31"/>
    </row>
    <row r="227" spans="5:9" x14ac:dyDescent="0.35">
      <c r="E227" s="289" t="str" cm="1">
        <f t="array" ref="E227">IF(IFERROR(_xlfn.TEXTJOIN(", ",TRUE,TEXT(INDEX(Table3[Date],MATCH(_xlfn.FILTERXML("&lt;root&gt;&lt;item&gt;"&amp;SUBSTITUTE(F227,", ","&lt;/item&gt;&lt;item&gt;")&amp;"&lt;/item&gt;&lt;/root&gt;","//item"),Table3[Holiday Name],0)),"m/d/yyyy")),G227)="","",IFERROR(_xlfn.TEXTJOIN(", ",TRUE,TEXT(INDEX(Table3[Date],MATCH(_xlfn.FILTERXML("&lt;root&gt;&lt;item&gt;"&amp;SUBSTITUTE(F227,", ","&lt;/item&gt;&lt;item&gt;")&amp;"&lt;/item&gt;&lt;/root&gt;","//item"),Table3[Holiday Name],0)),"m/d/yyyy")),G227))</f>
        <v/>
      </c>
      <c r="F227" s="234" t="str" cm="1">
        <f t="array" ref="F227">IF(G227="","",IF(_xlfn.TEXTJOIN(", ",TRUE,IFERROR(_xlfn._xlws.FILTER(Table3[Holiday Name],(G227&gt;=Table3[start])*(G227&lt;=Table3[end])),"**No associated Holiday"))="","",_xlfn.TEXTJOIN(", ",TRUE,IFERROR(_xlfn._xlws.FILTER(Table3[Holiday Name],(G227&gt;=Table3[start])*(G227&lt;=Table3[end])),"**No associated Holiday"))))</f>
        <v/>
      </c>
      <c r="G227" s="36"/>
      <c r="I227" s="31"/>
    </row>
    <row r="228" spans="5:9" x14ac:dyDescent="0.35">
      <c r="E228" s="289" t="str" cm="1">
        <f t="array" ref="E228">IF(IFERROR(_xlfn.TEXTJOIN(", ",TRUE,TEXT(INDEX(Table3[Date],MATCH(_xlfn.FILTERXML("&lt;root&gt;&lt;item&gt;"&amp;SUBSTITUTE(F228,", ","&lt;/item&gt;&lt;item&gt;")&amp;"&lt;/item&gt;&lt;/root&gt;","//item"),Table3[Holiday Name],0)),"m/d/yyyy")),G228)="","",IFERROR(_xlfn.TEXTJOIN(", ",TRUE,TEXT(INDEX(Table3[Date],MATCH(_xlfn.FILTERXML("&lt;root&gt;&lt;item&gt;"&amp;SUBSTITUTE(F228,", ","&lt;/item&gt;&lt;item&gt;")&amp;"&lt;/item&gt;&lt;/root&gt;","//item"),Table3[Holiday Name],0)),"m/d/yyyy")),G228))</f>
        <v/>
      </c>
      <c r="F228" s="234" t="str" cm="1">
        <f t="array" ref="F228">IF(G228="","",IF(_xlfn.TEXTJOIN(", ",TRUE,IFERROR(_xlfn._xlws.FILTER(Table3[Holiday Name],(G228&gt;=Table3[start])*(G228&lt;=Table3[end])),"**No associated Holiday"))="","",_xlfn.TEXTJOIN(", ",TRUE,IFERROR(_xlfn._xlws.FILTER(Table3[Holiday Name],(G228&gt;=Table3[start])*(G228&lt;=Table3[end])),"**No associated Holiday"))))</f>
        <v/>
      </c>
      <c r="G228" s="36"/>
      <c r="I228" s="31"/>
    </row>
    <row r="229" spans="5:9" x14ac:dyDescent="0.35">
      <c r="E229" s="289" t="str" cm="1">
        <f t="array" ref="E229">IF(IFERROR(_xlfn.TEXTJOIN(", ",TRUE,TEXT(INDEX(Table3[Date],MATCH(_xlfn.FILTERXML("&lt;root&gt;&lt;item&gt;"&amp;SUBSTITUTE(F229,", ","&lt;/item&gt;&lt;item&gt;")&amp;"&lt;/item&gt;&lt;/root&gt;","//item"),Table3[Holiday Name],0)),"m/d/yyyy")),G229)="","",IFERROR(_xlfn.TEXTJOIN(", ",TRUE,TEXT(INDEX(Table3[Date],MATCH(_xlfn.FILTERXML("&lt;root&gt;&lt;item&gt;"&amp;SUBSTITUTE(F229,", ","&lt;/item&gt;&lt;item&gt;")&amp;"&lt;/item&gt;&lt;/root&gt;","//item"),Table3[Holiday Name],0)),"m/d/yyyy")),G229))</f>
        <v/>
      </c>
      <c r="F229" s="234" t="str" cm="1">
        <f t="array" ref="F229">IF(G229="","",IF(_xlfn.TEXTJOIN(", ",TRUE,IFERROR(_xlfn._xlws.FILTER(Table3[Holiday Name],(G229&gt;=Table3[start])*(G229&lt;=Table3[end])),"**No associated Holiday"))="","",_xlfn.TEXTJOIN(", ",TRUE,IFERROR(_xlfn._xlws.FILTER(Table3[Holiday Name],(G229&gt;=Table3[start])*(G229&lt;=Table3[end])),"**No associated Holiday"))))</f>
        <v/>
      </c>
      <c r="G229" s="36"/>
      <c r="I229" s="31"/>
    </row>
    <row r="230" spans="5:9" x14ac:dyDescent="0.35">
      <c r="E230" s="289" t="str" cm="1">
        <f t="array" ref="E230">IF(IFERROR(_xlfn.TEXTJOIN(", ",TRUE,TEXT(INDEX(Table3[Date],MATCH(_xlfn.FILTERXML("&lt;root&gt;&lt;item&gt;"&amp;SUBSTITUTE(F230,", ","&lt;/item&gt;&lt;item&gt;")&amp;"&lt;/item&gt;&lt;/root&gt;","//item"),Table3[Holiday Name],0)),"m/d/yyyy")),G230)="","",IFERROR(_xlfn.TEXTJOIN(", ",TRUE,TEXT(INDEX(Table3[Date],MATCH(_xlfn.FILTERXML("&lt;root&gt;&lt;item&gt;"&amp;SUBSTITUTE(F230,", ","&lt;/item&gt;&lt;item&gt;")&amp;"&lt;/item&gt;&lt;/root&gt;","//item"),Table3[Holiday Name],0)),"m/d/yyyy")),G230))</f>
        <v/>
      </c>
      <c r="F230" s="234" t="str" cm="1">
        <f t="array" ref="F230">IF(G230="","",IF(_xlfn.TEXTJOIN(", ",TRUE,IFERROR(_xlfn._xlws.FILTER(Table3[Holiday Name],(G230&gt;=Table3[start])*(G230&lt;=Table3[end])),"**No associated Holiday"))="","",_xlfn.TEXTJOIN(", ",TRUE,IFERROR(_xlfn._xlws.FILTER(Table3[Holiday Name],(G230&gt;=Table3[start])*(G230&lt;=Table3[end])),"**No associated Holiday"))))</f>
        <v/>
      </c>
      <c r="G230" s="36"/>
      <c r="I230" s="31"/>
    </row>
    <row r="231" spans="5:9" x14ac:dyDescent="0.35">
      <c r="E231" s="289" t="str" cm="1">
        <f t="array" ref="E231">IF(IFERROR(_xlfn.TEXTJOIN(", ",TRUE,TEXT(INDEX(Table3[Date],MATCH(_xlfn.FILTERXML("&lt;root&gt;&lt;item&gt;"&amp;SUBSTITUTE(F231,", ","&lt;/item&gt;&lt;item&gt;")&amp;"&lt;/item&gt;&lt;/root&gt;","//item"),Table3[Holiday Name],0)),"m/d/yyyy")),G231)="","",IFERROR(_xlfn.TEXTJOIN(", ",TRUE,TEXT(INDEX(Table3[Date],MATCH(_xlfn.FILTERXML("&lt;root&gt;&lt;item&gt;"&amp;SUBSTITUTE(F231,", ","&lt;/item&gt;&lt;item&gt;")&amp;"&lt;/item&gt;&lt;/root&gt;","//item"),Table3[Holiday Name],0)),"m/d/yyyy")),G231))</f>
        <v/>
      </c>
      <c r="F231" s="234" t="str" cm="1">
        <f t="array" ref="F231">IF(G231="","",IF(_xlfn.TEXTJOIN(", ",TRUE,IFERROR(_xlfn._xlws.FILTER(Table3[Holiday Name],(G231&gt;=Table3[start])*(G231&lt;=Table3[end])),"**No associated Holiday"))="","",_xlfn.TEXTJOIN(", ",TRUE,IFERROR(_xlfn._xlws.FILTER(Table3[Holiday Name],(G231&gt;=Table3[start])*(G231&lt;=Table3[end])),"**No associated Holiday"))))</f>
        <v/>
      </c>
      <c r="G231" s="36"/>
      <c r="I231" s="31"/>
    </row>
    <row r="232" spans="5:9" x14ac:dyDescent="0.35">
      <c r="E232" s="289" t="str" cm="1">
        <f t="array" ref="E232">IF(IFERROR(_xlfn.TEXTJOIN(", ",TRUE,TEXT(INDEX(Table3[Date],MATCH(_xlfn.FILTERXML("&lt;root&gt;&lt;item&gt;"&amp;SUBSTITUTE(F232,", ","&lt;/item&gt;&lt;item&gt;")&amp;"&lt;/item&gt;&lt;/root&gt;","//item"),Table3[Holiday Name],0)),"m/d/yyyy")),G232)="","",IFERROR(_xlfn.TEXTJOIN(", ",TRUE,TEXT(INDEX(Table3[Date],MATCH(_xlfn.FILTERXML("&lt;root&gt;&lt;item&gt;"&amp;SUBSTITUTE(F232,", ","&lt;/item&gt;&lt;item&gt;")&amp;"&lt;/item&gt;&lt;/root&gt;","//item"),Table3[Holiday Name],0)),"m/d/yyyy")),G232))</f>
        <v/>
      </c>
      <c r="F232" s="234" t="str" cm="1">
        <f t="array" ref="F232">IF(G232="","",IF(_xlfn.TEXTJOIN(", ",TRUE,IFERROR(_xlfn._xlws.FILTER(Table3[Holiday Name],(G232&gt;=Table3[start])*(G232&lt;=Table3[end])),"**No associated Holiday"))="","",_xlfn.TEXTJOIN(", ",TRUE,IFERROR(_xlfn._xlws.FILTER(Table3[Holiday Name],(G232&gt;=Table3[start])*(G232&lt;=Table3[end])),"**No associated Holiday"))))</f>
        <v/>
      </c>
      <c r="G232" s="36"/>
      <c r="I232" s="31"/>
    </row>
    <row r="233" spans="5:9" x14ac:dyDescent="0.35">
      <c r="E233" s="289" t="str" cm="1">
        <f t="array" ref="E233">IF(IFERROR(_xlfn.TEXTJOIN(", ",TRUE,TEXT(INDEX(Table3[Date],MATCH(_xlfn.FILTERXML("&lt;root&gt;&lt;item&gt;"&amp;SUBSTITUTE(F233,", ","&lt;/item&gt;&lt;item&gt;")&amp;"&lt;/item&gt;&lt;/root&gt;","//item"),Table3[Holiday Name],0)),"m/d/yyyy")),G233)="","",IFERROR(_xlfn.TEXTJOIN(", ",TRUE,TEXT(INDEX(Table3[Date],MATCH(_xlfn.FILTERXML("&lt;root&gt;&lt;item&gt;"&amp;SUBSTITUTE(F233,", ","&lt;/item&gt;&lt;item&gt;")&amp;"&lt;/item&gt;&lt;/root&gt;","//item"),Table3[Holiday Name],0)),"m/d/yyyy")),G233))</f>
        <v/>
      </c>
      <c r="F233" s="234" t="str" cm="1">
        <f t="array" ref="F233">IF(G233="","",IF(_xlfn.TEXTJOIN(", ",TRUE,IFERROR(_xlfn._xlws.FILTER(Table3[Holiday Name],(G233&gt;=Table3[start])*(G233&lt;=Table3[end])),"**No associated Holiday"))="","",_xlfn.TEXTJOIN(", ",TRUE,IFERROR(_xlfn._xlws.FILTER(Table3[Holiday Name],(G233&gt;=Table3[start])*(G233&lt;=Table3[end])),"**No associated Holiday"))))</f>
        <v/>
      </c>
      <c r="G233" s="36"/>
      <c r="I233" s="31"/>
    </row>
    <row r="234" spans="5:9" x14ac:dyDescent="0.35">
      <c r="E234" s="289" t="str" cm="1">
        <f t="array" ref="E234">IF(IFERROR(_xlfn.TEXTJOIN(", ",TRUE,TEXT(INDEX(Table3[Date],MATCH(_xlfn.FILTERXML("&lt;root&gt;&lt;item&gt;"&amp;SUBSTITUTE(F234,", ","&lt;/item&gt;&lt;item&gt;")&amp;"&lt;/item&gt;&lt;/root&gt;","//item"),Table3[Holiday Name],0)),"m/d/yyyy")),G234)="","",IFERROR(_xlfn.TEXTJOIN(", ",TRUE,TEXT(INDEX(Table3[Date],MATCH(_xlfn.FILTERXML("&lt;root&gt;&lt;item&gt;"&amp;SUBSTITUTE(F234,", ","&lt;/item&gt;&lt;item&gt;")&amp;"&lt;/item&gt;&lt;/root&gt;","//item"),Table3[Holiday Name],0)),"m/d/yyyy")),G234))</f>
        <v/>
      </c>
      <c r="F234" s="234" t="str" cm="1">
        <f t="array" ref="F234">IF(G234="","",IF(_xlfn.TEXTJOIN(", ",TRUE,IFERROR(_xlfn._xlws.FILTER(Table3[Holiday Name],(G234&gt;=Table3[start])*(G234&lt;=Table3[end])),"**No associated Holiday"))="","",_xlfn.TEXTJOIN(", ",TRUE,IFERROR(_xlfn._xlws.FILTER(Table3[Holiday Name],(G234&gt;=Table3[start])*(G234&lt;=Table3[end])),"**No associated Holiday"))))</f>
        <v/>
      </c>
      <c r="G234" s="36"/>
      <c r="I234" s="31"/>
    </row>
    <row r="235" spans="5:9" x14ac:dyDescent="0.35">
      <c r="E235" s="289" t="str" cm="1">
        <f t="array" ref="E235">IF(IFERROR(_xlfn.TEXTJOIN(", ",TRUE,TEXT(INDEX(Table3[Date],MATCH(_xlfn.FILTERXML("&lt;root&gt;&lt;item&gt;"&amp;SUBSTITUTE(F235,", ","&lt;/item&gt;&lt;item&gt;")&amp;"&lt;/item&gt;&lt;/root&gt;","//item"),Table3[Holiday Name],0)),"m/d/yyyy")),G235)="","",IFERROR(_xlfn.TEXTJOIN(", ",TRUE,TEXT(INDEX(Table3[Date],MATCH(_xlfn.FILTERXML("&lt;root&gt;&lt;item&gt;"&amp;SUBSTITUTE(F235,", ","&lt;/item&gt;&lt;item&gt;")&amp;"&lt;/item&gt;&lt;/root&gt;","//item"),Table3[Holiday Name],0)),"m/d/yyyy")),G235))</f>
        <v/>
      </c>
      <c r="F235" s="234" t="str" cm="1">
        <f t="array" ref="F235">IF(G235="","",IF(_xlfn.TEXTJOIN(", ",TRUE,IFERROR(_xlfn._xlws.FILTER(Table3[Holiday Name],(G235&gt;=Table3[start])*(G235&lt;=Table3[end])),"**No associated Holiday"))="","",_xlfn.TEXTJOIN(", ",TRUE,IFERROR(_xlfn._xlws.FILTER(Table3[Holiday Name],(G235&gt;=Table3[start])*(G235&lt;=Table3[end])),"**No associated Holiday"))))</f>
        <v/>
      </c>
      <c r="G235" s="36"/>
      <c r="I235" s="31"/>
    </row>
    <row r="236" spans="5:9" x14ac:dyDescent="0.35">
      <c r="E236" s="289" t="str" cm="1">
        <f t="array" ref="E236">IF(IFERROR(_xlfn.TEXTJOIN(", ",TRUE,TEXT(INDEX(Table3[Date],MATCH(_xlfn.FILTERXML("&lt;root&gt;&lt;item&gt;"&amp;SUBSTITUTE(F236,", ","&lt;/item&gt;&lt;item&gt;")&amp;"&lt;/item&gt;&lt;/root&gt;","//item"),Table3[Holiday Name],0)),"m/d/yyyy")),G236)="","",IFERROR(_xlfn.TEXTJOIN(", ",TRUE,TEXT(INDEX(Table3[Date],MATCH(_xlfn.FILTERXML("&lt;root&gt;&lt;item&gt;"&amp;SUBSTITUTE(F236,", ","&lt;/item&gt;&lt;item&gt;")&amp;"&lt;/item&gt;&lt;/root&gt;","//item"),Table3[Holiday Name],0)),"m/d/yyyy")),G236))</f>
        <v/>
      </c>
      <c r="F236" s="234" t="str" cm="1">
        <f t="array" ref="F236">IF(G236="","",IF(_xlfn.TEXTJOIN(", ",TRUE,IFERROR(_xlfn._xlws.FILTER(Table3[Holiday Name],(G236&gt;=Table3[start])*(G236&lt;=Table3[end])),"**No associated Holiday"))="","",_xlfn.TEXTJOIN(", ",TRUE,IFERROR(_xlfn._xlws.FILTER(Table3[Holiday Name],(G236&gt;=Table3[start])*(G236&lt;=Table3[end])),"**No associated Holiday"))))</f>
        <v/>
      </c>
      <c r="G236" s="36"/>
      <c r="I236" s="31"/>
    </row>
    <row r="237" spans="5:9" x14ac:dyDescent="0.35">
      <c r="E237" s="289" t="str" cm="1">
        <f t="array" ref="E237">IF(IFERROR(_xlfn.TEXTJOIN(", ",TRUE,TEXT(INDEX(Table3[Date],MATCH(_xlfn.FILTERXML("&lt;root&gt;&lt;item&gt;"&amp;SUBSTITUTE(F237,", ","&lt;/item&gt;&lt;item&gt;")&amp;"&lt;/item&gt;&lt;/root&gt;","//item"),Table3[Holiday Name],0)),"m/d/yyyy")),G237)="","",IFERROR(_xlfn.TEXTJOIN(", ",TRUE,TEXT(INDEX(Table3[Date],MATCH(_xlfn.FILTERXML("&lt;root&gt;&lt;item&gt;"&amp;SUBSTITUTE(F237,", ","&lt;/item&gt;&lt;item&gt;")&amp;"&lt;/item&gt;&lt;/root&gt;","//item"),Table3[Holiday Name],0)),"m/d/yyyy")),G237))</f>
        <v/>
      </c>
      <c r="F237" s="234" t="str" cm="1">
        <f t="array" ref="F237">IF(G237="","",IF(_xlfn.TEXTJOIN(", ",TRUE,IFERROR(_xlfn._xlws.FILTER(Table3[Holiday Name],(G237&gt;=Table3[start])*(G237&lt;=Table3[end])),"**No associated Holiday"))="","",_xlfn.TEXTJOIN(", ",TRUE,IFERROR(_xlfn._xlws.FILTER(Table3[Holiday Name],(G237&gt;=Table3[start])*(G237&lt;=Table3[end])),"**No associated Holiday"))))</f>
        <v/>
      </c>
      <c r="G237" s="36"/>
      <c r="I237" s="31"/>
    </row>
    <row r="238" spans="5:9" x14ac:dyDescent="0.35">
      <c r="E238" s="289" t="str" cm="1">
        <f t="array" ref="E238">IF(IFERROR(_xlfn.TEXTJOIN(", ",TRUE,TEXT(INDEX(Table3[Date],MATCH(_xlfn.FILTERXML("&lt;root&gt;&lt;item&gt;"&amp;SUBSTITUTE(F238,", ","&lt;/item&gt;&lt;item&gt;")&amp;"&lt;/item&gt;&lt;/root&gt;","//item"),Table3[Holiday Name],0)),"m/d/yyyy")),G238)="","",IFERROR(_xlfn.TEXTJOIN(", ",TRUE,TEXT(INDEX(Table3[Date],MATCH(_xlfn.FILTERXML("&lt;root&gt;&lt;item&gt;"&amp;SUBSTITUTE(F238,", ","&lt;/item&gt;&lt;item&gt;")&amp;"&lt;/item&gt;&lt;/root&gt;","//item"),Table3[Holiday Name],0)),"m/d/yyyy")),G238))</f>
        <v/>
      </c>
      <c r="F238" s="234" t="str" cm="1">
        <f t="array" ref="F238">IF(G238="","",IF(_xlfn.TEXTJOIN(", ",TRUE,IFERROR(_xlfn._xlws.FILTER(Table3[Holiday Name],(G238&gt;=Table3[start])*(G238&lt;=Table3[end])),"**No associated Holiday"))="","",_xlfn.TEXTJOIN(", ",TRUE,IFERROR(_xlfn._xlws.FILTER(Table3[Holiday Name],(G238&gt;=Table3[start])*(G238&lt;=Table3[end])),"**No associated Holiday"))))</f>
        <v/>
      </c>
      <c r="G238" s="36"/>
      <c r="I238" s="31"/>
    </row>
    <row r="239" spans="5:9" x14ac:dyDescent="0.35">
      <c r="E239" s="289" t="str" cm="1">
        <f t="array" ref="E239">IF(IFERROR(_xlfn.TEXTJOIN(", ",TRUE,TEXT(INDEX(Table3[Date],MATCH(_xlfn.FILTERXML("&lt;root&gt;&lt;item&gt;"&amp;SUBSTITUTE(F239,", ","&lt;/item&gt;&lt;item&gt;")&amp;"&lt;/item&gt;&lt;/root&gt;","//item"),Table3[Holiday Name],0)),"m/d/yyyy")),G239)="","",IFERROR(_xlfn.TEXTJOIN(", ",TRUE,TEXT(INDEX(Table3[Date],MATCH(_xlfn.FILTERXML("&lt;root&gt;&lt;item&gt;"&amp;SUBSTITUTE(F239,", ","&lt;/item&gt;&lt;item&gt;")&amp;"&lt;/item&gt;&lt;/root&gt;","//item"),Table3[Holiday Name],0)),"m/d/yyyy")),G239))</f>
        <v/>
      </c>
      <c r="F239" s="234" t="str" cm="1">
        <f t="array" ref="F239">IF(G239="","",IF(_xlfn.TEXTJOIN(", ",TRUE,IFERROR(_xlfn._xlws.FILTER(Table3[Holiday Name],(G239&gt;=Table3[start])*(G239&lt;=Table3[end])),"**No associated Holiday"))="","",_xlfn.TEXTJOIN(", ",TRUE,IFERROR(_xlfn._xlws.FILTER(Table3[Holiday Name],(G239&gt;=Table3[start])*(G239&lt;=Table3[end])),"**No associated Holiday"))))</f>
        <v/>
      </c>
      <c r="G239" s="36"/>
      <c r="I239" s="31"/>
    </row>
    <row r="240" spans="5:9" x14ac:dyDescent="0.35">
      <c r="E240" s="289" t="str" cm="1">
        <f t="array" ref="E240">IF(IFERROR(_xlfn.TEXTJOIN(", ",TRUE,TEXT(INDEX(Table3[Date],MATCH(_xlfn.FILTERXML("&lt;root&gt;&lt;item&gt;"&amp;SUBSTITUTE(F240,", ","&lt;/item&gt;&lt;item&gt;")&amp;"&lt;/item&gt;&lt;/root&gt;","//item"),Table3[Holiday Name],0)),"m/d/yyyy")),G240)="","",IFERROR(_xlfn.TEXTJOIN(", ",TRUE,TEXT(INDEX(Table3[Date],MATCH(_xlfn.FILTERXML("&lt;root&gt;&lt;item&gt;"&amp;SUBSTITUTE(F240,", ","&lt;/item&gt;&lt;item&gt;")&amp;"&lt;/item&gt;&lt;/root&gt;","//item"),Table3[Holiday Name],0)),"m/d/yyyy")),G240))</f>
        <v/>
      </c>
      <c r="F240" s="234" t="str" cm="1">
        <f t="array" ref="F240">IF(G240="","",IF(_xlfn.TEXTJOIN(", ",TRUE,IFERROR(_xlfn._xlws.FILTER(Table3[Holiday Name],(G240&gt;=Table3[start])*(G240&lt;=Table3[end])),"**No associated Holiday"))="","",_xlfn.TEXTJOIN(", ",TRUE,IFERROR(_xlfn._xlws.FILTER(Table3[Holiday Name],(G240&gt;=Table3[start])*(G240&lt;=Table3[end])),"**No associated Holiday"))))</f>
        <v/>
      </c>
      <c r="G240" s="36"/>
      <c r="I240" s="31"/>
    </row>
    <row r="241" spans="5:9" x14ac:dyDescent="0.35">
      <c r="E241" s="289" t="str" cm="1">
        <f t="array" ref="E241">IF(IFERROR(_xlfn.TEXTJOIN(", ",TRUE,TEXT(INDEX(Table3[Date],MATCH(_xlfn.FILTERXML("&lt;root&gt;&lt;item&gt;"&amp;SUBSTITUTE(F241,", ","&lt;/item&gt;&lt;item&gt;")&amp;"&lt;/item&gt;&lt;/root&gt;","//item"),Table3[Holiday Name],0)),"m/d/yyyy")),G241)="","",IFERROR(_xlfn.TEXTJOIN(", ",TRUE,TEXT(INDEX(Table3[Date],MATCH(_xlfn.FILTERXML("&lt;root&gt;&lt;item&gt;"&amp;SUBSTITUTE(F241,", ","&lt;/item&gt;&lt;item&gt;")&amp;"&lt;/item&gt;&lt;/root&gt;","//item"),Table3[Holiday Name],0)),"m/d/yyyy")),G241))</f>
        <v/>
      </c>
      <c r="F241" s="234" t="str" cm="1">
        <f t="array" ref="F241">IF(G241="","",IF(_xlfn.TEXTJOIN(", ",TRUE,IFERROR(_xlfn._xlws.FILTER(Table3[Holiday Name],(G241&gt;=Table3[start])*(G241&lt;=Table3[end])),"**No associated Holiday"))="","",_xlfn.TEXTJOIN(", ",TRUE,IFERROR(_xlfn._xlws.FILTER(Table3[Holiday Name],(G241&gt;=Table3[start])*(G241&lt;=Table3[end])),"**No associated Holiday"))))</f>
        <v/>
      </c>
      <c r="G241" s="36"/>
      <c r="I241" s="31"/>
    </row>
    <row r="242" spans="5:9" x14ac:dyDescent="0.35">
      <c r="E242" s="289" t="str" cm="1">
        <f t="array" ref="E242">IF(IFERROR(_xlfn.TEXTJOIN(", ",TRUE,TEXT(INDEX(Table3[Date],MATCH(_xlfn.FILTERXML("&lt;root&gt;&lt;item&gt;"&amp;SUBSTITUTE(F242,", ","&lt;/item&gt;&lt;item&gt;")&amp;"&lt;/item&gt;&lt;/root&gt;","//item"),Table3[Holiday Name],0)),"m/d/yyyy")),G242)="","",IFERROR(_xlfn.TEXTJOIN(", ",TRUE,TEXT(INDEX(Table3[Date],MATCH(_xlfn.FILTERXML("&lt;root&gt;&lt;item&gt;"&amp;SUBSTITUTE(F242,", ","&lt;/item&gt;&lt;item&gt;")&amp;"&lt;/item&gt;&lt;/root&gt;","//item"),Table3[Holiday Name],0)),"m/d/yyyy")),G242))</f>
        <v/>
      </c>
      <c r="F242" s="234" t="str" cm="1">
        <f t="array" ref="F242">IF(G242="","",IF(_xlfn.TEXTJOIN(", ",TRUE,IFERROR(_xlfn._xlws.FILTER(Table3[Holiday Name],(G242&gt;=Table3[start])*(G242&lt;=Table3[end])),"**No associated Holiday"))="","",_xlfn.TEXTJOIN(", ",TRUE,IFERROR(_xlfn._xlws.FILTER(Table3[Holiday Name],(G242&gt;=Table3[start])*(G242&lt;=Table3[end])),"**No associated Holiday"))))</f>
        <v/>
      </c>
      <c r="G242" s="36"/>
      <c r="I242" s="31"/>
    </row>
    <row r="243" spans="5:9" x14ac:dyDescent="0.35">
      <c r="E243" s="289" t="str" cm="1">
        <f t="array" ref="E243">IF(IFERROR(_xlfn.TEXTJOIN(", ",TRUE,TEXT(INDEX(Table3[Date],MATCH(_xlfn.FILTERXML("&lt;root&gt;&lt;item&gt;"&amp;SUBSTITUTE(F243,", ","&lt;/item&gt;&lt;item&gt;")&amp;"&lt;/item&gt;&lt;/root&gt;","//item"),Table3[Holiday Name],0)),"m/d/yyyy")),G243)="","",IFERROR(_xlfn.TEXTJOIN(", ",TRUE,TEXT(INDEX(Table3[Date],MATCH(_xlfn.FILTERXML("&lt;root&gt;&lt;item&gt;"&amp;SUBSTITUTE(F243,", ","&lt;/item&gt;&lt;item&gt;")&amp;"&lt;/item&gt;&lt;/root&gt;","//item"),Table3[Holiday Name],0)),"m/d/yyyy")),G243))</f>
        <v/>
      </c>
      <c r="F243" s="234" t="str" cm="1">
        <f t="array" ref="F243">IF(G243="","",IF(_xlfn.TEXTJOIN(", ",TRUE,IFERROR(_xlfn._xlws.FILTER(Table3[Holiday Name],(G243&gt;=Table3[start])*(G243&lt;=Table3[end])),"**No associated Holiday"))="","",_xlfn.TEXTJOIN(", ",TRUE,IFERROR(_xlfn._xlws.FILTER(Table3[Holiday Name],(G243&gt;=Table3[start])*(G243&lt;=Table3[end])),"**No associated Holiday"))))</f>
        <v/>
      </c>
      <c r="G243" s="36"/>
      <c r="I243" s="31"/>
    </row>
    <row r="244" spans="5:9" x14ac:dyDescent="0.35">
      <c r="E244" s="289" t="str" cm="1">
        <f t="array" ref="E244">IF(IFERROR(_xlfn.TEXTJOIN(", ",TRUE,TEXT(INDEX(Table3[Date],MATCH(_xlfn.FILTERXML("&lt;root&gt;&lt;item&gt;"&amp;SUBSTITUTE(F244,", ","&lt;/item&gt;&lt;item&gt;")&amp;"&lt;/item&gt;&lt;/root&gt;","//item"),Table3[Holiday Name],0)),"m/d/yyyy")),G244)="","",IFERROR(_xlfn.TEXTJOIN(", ",TRUE,TEXT(INDEX(Table3[Date],MATCH(_xlfn.FILTERXML("&lt;root&gt;&lt;item&gt;"&amp;SUBSTITUTE(F244,", ","&lt;/item&gt;&lt;item&gt;")&amp;"&lt;/item&gt;&lt;/root&gt;","//item"),Table3[Holiday Name],0)),"m/d/yyyy")),G244))</f>
        <v/>
      </c>
      <c r="F244" s="234" t="str" cm="1">
        <f t="array" ref="F244">IF(G244="","",IF(_xlfn.TEXTJOIN(", ",TRUE,IFERROR(_xlfn._xlws.FILTER(Table3[Holiday Name],(G244&gt;=Table3[start])*(G244&lt;=Table3[end])),"**No associated Holiday"))="","",_xlfn.TEXTJOIN(", ",TRUE,IFERROR(_xlfn._xlws.FILTER(Table3[Holiday Name],(G244&gt;=Table3[start])*(G244&lt;=Table3[end])),"**No associated Holiday"))))</f>
        <v/>
      </c>
      <c r="G244" s="36"/>
      <c r="I244" s="31"/>
    </row>
    <row r="245" spans="5:9" x14ac:dyDescent="0.35">
      <c r="E245" s="289" t="str" cm="1">
        <f t="array" ref="E245">IF(IFERROR(_xlfn.TEXTJOIN(", ",TRUE,TEXT(INDEX(Table3[Date],MATCH(_xlfn.FILTERXML("&lt;root&gt;&lt;item&gt;"&amp;SUBSTITUTE(F245,", ","&lt;/item&gt;&lt;item&gt;")&amp;"&lt;/item&gt;&lt;/root&gt;","//item"),Table3[Holiday Name],0)),"m/d/yyyy")),G245)="","",IFERROR(_xlfn.TEXTJOIN(", ",TRUE,TEXT(INDEX(Table3[Date],MATCH(_xlfn.FILTERXML("&lt;root&gt;&lt;item&gt;"&amp;SUBSTITUTE(F245,", ","&lt;/item&gt;&lt;item&gt;")&amp;"&lt;/item&gt;&lt;/root&gt;","//item"),Table3[Holiday Name],0)),"m/d/yyyy")),G245))</f>
        <v/>
      </c>
      <c r="F245" s="234" t="str" cm="1">
        <f t="array" ref="F245">IF(G245="","",IF(_xlfn.TEXTJOIN(", ",TRUE,IFERROR(_xlfn._xlws.FILTER(Table3[Holiday Name],(G245&gt;=Table3[start])*(G245&lt;=Table3[end])),"**No associated Holiday"))="","",_xlfn.TEXTJOIN(", ",TRUE,IFERROR(_xlfn._xlws.FILTER(Table3[Holiday Name],(G245&gt;=Table3[start])*(G245&lt;=Table3[end])),"**No associated Holiday"))))</f>
        <v/>
      </c>
      <c r="G245" s="36"/>
      <c r="I245" s="31"/>
    </row>
    <row r="246" spans="5:9" x14ac:dyDescent="0.35">
      <c r="E246" s="289" t="str" cm="1">
        <f t="array" ref="E246">IF(IFERROR(_xlfn.TEXTJOIN(", ",TRUE,TEXT(INDEX(Table3[Date],MATCH(_xlfn.FILTERXML("&lt;root&gt;&lt;item&gt;"&amp;SUBSTITUTE(F246,", ","&lt;/item&gt;&lt;item&gt;")&amp;"&lt;/item&gt;&lt;/root&gt;","//item"),Table3[Holiday Name],0)),"m/d/yyyy")),G246)="","",IFERROR(_xlfn.TEXTJOIN(", ",TRUE,TEXT(INDEX(Table3[Date],MATCH(_xlfn.FILTERXML("&lt;root&gt;&lt;item&gt;"&amp;SUBSTITUTE(F246,", ","&lt;/item&gt;&lt;item&gt;")&amp;"&lt;/item&gt;&lt;/root&gt;","//item"),Table3[Holiday Name],0)),"m/d/yyyy")),G246))</f>
        <v/>
      </c>
      <c r="F246" s="234" t="str" cm="1">
        <f t="array" ref="F246">IF(G246="","",IF(_xlfn.TEXTJOIN(", ",TRUE,IFERROR(_xlfn._xlws.FILTER(Table3[Holiday Name],(G246&gt;=Table3[start])*(G246&lt;=Table3[end])),"**No associated Holiday"))="","",_xlfn.TEXTJOIN(", ",TRUE,IFERROR(_xlfn._xlws.FILTER(Table3[Holiday Name],(G246&gt;=Table3[start])*(G246&lt;=Table3[end])),"**No associated Holiday"))))</f>
        <v/>
      </c>
      <c r="G246" s="36"/>
      <c r="I246" s="31"/>
    </row>
    <row r="247" spans="5:9" x14ac:dyDescent="0.35">
      <c r="E247" s="289" t="str" cm="1">
        <f t="array" ref="E247">IF(IFERROR(_xlfn.TEXTJOIN(", ",TRUE,TEXT(INDEX(Table3[Date],MATCH(_xlfn.FILTERXML("&lt;root&gt;&lt;item&gt;"&amp;SUBSTITUTE(F247,", ","&lt;/item&gt;&lt;item&gt;")&amp;"&lt;/item&gt;&lt;/root&gt;","//item"),Table3[Holiday Name],0)),"m/d/yyyy")),G247)="","",IFERROR(_xlfn.TEXTJOIN(", ",TRUE,TEXT(INDEX(Table3[Date],MATCH(_xlfn.FILTERXML("&lt;root&gt;&lt;item&gt;"&amp;SUBSTITUTE(F247,", ","&lt;/item&gt;&lt;item&gt;")&amp;"&lt;/item&gt;&lt;/root&gt;","//item"),Table3[Holiday Name],0)),"m/d/yyyy")),G247))</f>
        <v/>
      </c>
      <c r="F247" s="234" t="str" cm="1">
        <f t="array" ref="F247">IF(G247="","",IF(_xlfn.TEXTJOIN(", ",TRUE,IFERROR(_xlfn._xlws.FILTER(Table3[Holiday Name],(G247&gt;=Table3[start])*(G247&lt;=Table3[end])),"**No associated Holiday"))="","",_xlfn.TEXTJOIN(", ",TRUE,IFERROR(_xlfn._xlws.FILTER(Table3[Holiday Name],(G247&gt;=Table3[start])*(G247&lt;=Table3[end])),"**No associated Holiday"))))</f>
        <v/>
      </c>
      <c r="G247" s="36"/>
      <c r="I247" s="31"/>
    </row>
    <row r="248" spans="5:9" x14ac:dyDescent="0.35">
      <c r="E248" s="289" t="str" cm="1">
        <f t="array" ref="E248">IF(IFERROR(_xlfn.TEXTJOIN(", ",TRUE,TEXT(INDEX(Table3[Date],MATCH(_xlfn.FILTERXML("&lt;root&gt;&lt;item&gt;"&amp;SUBSTITUTE(F248,", ","&lt;/item&gt;&lt;item&gt;")&amp;"&lt;/item&gt;&lt;/root&gt;","//item"),Table3[Holiday Name],0)),"m/d/yyyy")),G248)="","",IFERROR(_xlfn.TEXTJOIN(", ",TRUE,TEXT(INDEX(Table3[Date],MATCH(_xlfn.FILTERXML("&lt;root&gt;&lt;item&gt;"&amp;SUBSTITUTE(F248,", ","&lt;/item&gt;&lt;item&gt;")&amp;"&lt;/item&gt;&lt;/root&gt;","//item"),Table3[Holiday Name],0)),"m/d/yyyy")),G248))</f>
        <v/>
      </c>
      <c r="F248" s="234" t="str" cm="1">
        <f t="array" ref="F248">IF(G248="","",IF(_xlfn.TEXTJOIN(", ",TRUE,IFERROR(_xlfn._xlws.FILTER(Table3[Holiday Name],(G248&gt;=Table3[start])*(G248&lt;=Table3[end])),"**No associated Holiday"))="","",_xlfn.TEXTJOIN(", ",TRUE,IFERROR(_xlfn._xlws.FILTER(Table3[Holiday Name],(G248&gt;=Table3[start])*(G248&lt;=Table3[end])),"**No associated Holiday"))))</f>
        <v/>
      </c>
      <c r="G248" s="36"/>
      <c r="I248" s="31"/>
    </row>
    <row r="249" spans="5:9" x14ac:dyDescent="0.35">
      <c r="E249" s="289" t="str" cm="1">
        <f t="array" ref="E249">IF(IFERROR(_xlfn.TEXTJOIN(", ",TRUE,TEXT(INDEX(Table3[Date],MATCH(_xlfn.FILTERXML("&lt;root&gt;&lt;item&gt;"&amp;SUBSTITUTE(F249,", ","&lt;/item&gt;&lt;item&gt;")&amp;"&lt;/item&gt;&lt;/root&gt;","//item"),Table3[Holiday Name],0)),"m/d/yyyy")),G249)="","",IFERROR(_xlfn.TEXTJOIN(", ",TRUE,TEXT(INDEX(Table3[Date],MATCH(_xlfn.FILTERXML("&lt;root&gt;&lt;item&gt;"&amp;SUBSTITUTE(F249,", ","&lt;/item&gt;&lt;item&gt;")&amp;"&lt;/item&gt;&lt;/root&gt;","//item"),Table3[Holiday Name],0)),"m/d/yyyy")),G249))</f>
        <v/>
      </c>
      <c r="F249" s="234" t="str" cm="1">
        <f t="array" ref="F249">IF(G249="","",IF(_xlfn.TEXTJOIN(", ",TRUE,IFERROR(_xlfn._xlws.FILTER(Table3[Holiday Name],(G249&gt;=Table3[start])*(G249&lt;=Table3[end])),"**No associated Holiday"))="","",_xlfn.TEXTJOIN(", ",TRUE,IFERROR(_xlfn._xlws.FILTER(Table3[Holiday Name],(G249&gt;=Table3[start])*(G249&lt;=Table3[end])),"**No associated Holiday"))))</f>
        <v/>
      </c>
      <c r="G249" s="36"/>
      <c r="I249" s="31"/>
    </row>
    <row r="250" spans="5:9" x14ac:dyDescent="0.35">
      <c r="E250" s="289" t="str" cm="1">
        <f t="array" ref="E250">IF(IFERROR(_xlfn.TEXTJOIN(", ",TRUE,TEXT(INDEX(Table3[Date],MATCH(_xlfn.FILTERXML("&lt;root&gt;&lt;item&gt;"&amp;SUBSTITUTE(F250,", ","&lt;/item&gt;&lt;item&gt;")&amp;"&lt;/item&gt;&lt;/root&gt;","//item"),Table3[Holiday Name],0)),"m/d/yyyy")),G250)="","",IFERROR(_xlfn.TEXTJOIN(", ",TRUE,TEXT(INDEX(Table3[Date],MATCH(_xlfn.FILTERXML("&lt;root&gt;&lt;item&gt;"&amp;SUBSTITUTE(F250,", ","&lt;/item&gt;&lt;item&gt;")&amp;"&lt;/item&gt;&lt;/root&gt;","//item"),Table3[Holiday Name],0)),"m/d/yyyy")),G250))</f>
        <v/>
      </c>
      <c r="F250" s="234" t="str" cm="1">
        <f t="array" ref="F250">IF(G250="","",IF(_xlfn.TEXTJOIN(", ",TRUE,IFERROR(_xlfn._xlws.FILTER(Table3[Holiday Name],(G250&gt;=Table3[start])*(G250&lt;=Table3[end])),"**No associated Holiday"))="","",_xlfn.TEXTJOIN(", ",TRUE,IFERROR(_xlfn._xlws.FILTER(Table3[Holiday Name],(G250&gt;=Table3[start])*(G250&lt;=Table3[end])),"**No associated Holiday"))))</f>
        <v/>
      </c>
      <c r="G250" s="36"/>
      <c r="I250" s="31"/>
    </row>
    <row r="251" spans="5:9" x14ac:dyDescent="0.35">
      <c r="E251" s="289" t="str" cm="1">
        <f t="array" ref="E251">IF(IFERROR(_xlfn.TEXTJOIN(", ",TRUE,TEXT(INDEX(Table3[Date],MATCH(_xlfn.FILTERXML("&lt;root&gt;&lt;item&gt;"&amp;SUBSTITUTE(F251,", ","&lt;/item&gt;&lt;item&gt;")&amp;"&lt;/item&gt;&lt;/root&gt;","//item"),Table3[Holiday Name],0)),"m/d/yyyy")),G251)="","",IFERROR(_xlfn.TEXTJOIN(", ",TRUE,TEXT(INDEX(Table3[Date],MATCH(_xlfn.FILTERXML("&lt;root&gt;&lt;item&gt;"&amp;SUBSTITUTE(F251,", ","&lt;/item&gt;&lt;item&gt;")&amp;"&lt;/item&gt;&lt;/root&gt;","//item"),Table3[Holiday Name],0)),"m/d/yyyy")),G251))</f>
        <v/>
      </c>
      <c r="F251" s="234" t="str" cm="1">
        <f t="array" ref="F251">IF(G251="","",IF(_xlfn.TEXTJOIN(", ",TRUE,IFERROR(_xlfn._xlws.FILTER(Table3[Holiday Name],(G251&gt;=Table3[start])*(G251&lt;=Table3[end])),"**No associated Holiday"))="","",_xlfn.TEXTJOIN(", ",TRUE,IFERROR(_xlfn._xlws.FILTER(Table3[Holiday Name],(G251&gt;=Table3[start])*(G251&lt;=Table3[end])),"**No associated Holiday"))))</f>
        <v/>
      </c>
      <c r="G251" s="36"/>
      <c r="I251" s="31"/>
    </row>
    <row r="252" spans="5:9" x14ac:dyDescent="0.35">
      <c r="E252" s="289" t="str" cm="1">
        <f t="array" ref="E252">IF(IFERROR(_xlfn.TEXTJOIN(", ",TRUE,TEXT(INDEX(Table3[Date],MATCH(_xlfn.FILTERXML("&lt;root&gt;&lt;item&gt;"&amp;SUBSTITUTE(F252,", ","&lt;/item&gt;&lt;item&gt;")&amp;"&lt;/item&gt;&lt;/root&gt;","//item"),Table3[Holiday Name],0)),"m/d/yyyy")),G252)="","",IFERROR(_xlfn.TEXTJOIN(", ",TRUE,TEXT(INDEX(Table3[Date],MATCH(_xlfn.FILTERXML("&lt;root&gt;&lt;item&gt;"&amp;SUBSTITUTE(F252,", ","&lt;/item&gt;&lt;item&gt;")&amp;"&lt;/item&gt;&lt;/root&gt;","//item"),Table3[Holiday Name],0)),"m/d/yyyy")),G252))</f>
        <v/>
      </c>
      <c r="F252" s="234" t="str" cm="1">
        <f t="array" ref="F252">IF(G252="","",IF(_xlfn.TEXTJOIN(", ",TRUE,IFERROR(_xlfn._xlws.FILTER(Table3[Holiday Name],(G252&gt;=Table3[start])*(G252&lt;=Table3[end])),"**No associated Holiday"))="","",_xlfn.TEXTJOIN(", ",TRUE,IFERROR(_xlfn._xlws.FILTER(Table3[Holiday Name],(G252&gt;=Table3[start])*(G252&lt;=Table3[end])),"**No associated Holiday"))))</f>
        <v/>
      </c>
      <c r="G252" s="36"/>
      <c r="I252" s="31"/>
    </row>
    <row r="253" spans="5:9" x14ac:dyDescent="0.35">
      <c r="E253" s="289" t="str" cm="1">
        <f t="array" ref="E253">IF(IFERROR(_xlfn.TEXTJOIN(", ",TRUE,TEXT(INDEX(Table3[Date],MATCH(_xlfn.FILTERXML("&lt;root&gt;&lt;item&gt;"&amp;SUBSTITUTE(F253,", ","&lt;/item&gt;&lt;item&gt;")&amp;"&lt;/item&gt;&lt;/root&gt;","//item"),Table3[Holiday Name],0)),"m/d/yyyy")),G253)="","",IFERROR(_xlfn.TEXTJOIN(", ",TRUE,TEXT(INDEX(Table3[Date],MATCH(_xlfn.FILTERXML("&lt;root&gt;&lt;item&gt;"&amp;SUBSTITUTE(F253,", ","&lt;/item&gt;&lt;item&gt;")&amp;"&lt;/item&gt;&lt;/root&gt;","//item"),Table3[Holiday Name],0)),"m/d/yyyy")),G253))</f>
        <v/>
      </c>
      <c r="F253" s="234" t="str" cm="1">
        <f t="array" ref="F253">IF(G253="","",IF(_xlfn.TEXTJOIN(", ",TRUE,IFERROR(_xlfn._xlws.FILTER(Table3[Holiday Name],(G253&gt;=Table3[start])*(G253&lt;=Table3[end])),"**No associated Holiday"))="","",_xlfn.TEXTJOIN(", ",TRUE,IFERROR(_xlfn._xlws.FILTER(Table3[Holiday Name],(G253&gt;=Table3[start])*(G253&lt;=Table3[end])),"**No associated Holiday"))))</f>
        <v/>
      </c>
      <c r="G253" s="36"/>
      <c r="I253" s="31"/>
    </row>
    <row r="254" spans="5:9" x14ac:dyDescent="0.35">
      <c r="E254" s="289" t="str" cm="1">
        <f t="array" ref="E254">IF(IFERROR(_xlfn.TEXTJOIN(", ",TRUE,TEXT(INDEX(Table3[Date],MATCH(_xlfn.FILTERXML("&lt;root&gt;&lt;item&gt;"&amp;SUBSTITUTE(F254,", ","&lt;/item&gt;&lt;item&gt;")&amp;"&lt;/item&gt;&lt;/root&gt;","//item"),Table3[Holiday Name],0)),"m/d/yyyy")),G254)="","",IFERROR(_xlfn.TEXTJOIN(", ",TRUE,TEXT(INDEX(Table3[Date],MATCH(_xlfn.FILTERXML("&lt;root&gt;&lt;item&gt;"&amp;SUBSTITUTE(F254,", ","&lt;/item&gt;&lt;item&gt;")&amp;"&lt;/item&gt;&lt;/root&gt;","//item"),Table3[Holiday Name],0)),"m/d/yyyy")),G254))</f>
        <v/>
      </c>
      <c r="F254" s="234" t="str" cm="1">
        <f t="array" ref="F254">IF(G254="","",IF(_xlfn.TEXTJOIN(", ",TRUE,IFERROR(_xlfn._xlws.FILTER(Table3[Holiday Name],(G254&gt;=Table3[start])*(G254&lt;=Table3[end])),"**No associated Holiday"))="","",_xlfn.TEXTJOIN(", ",TRUE,IFERROR(_xlfn._xlws.FILTER(Table3[Holiday Name],(G254&gt;=Table3[start])*(G254&lt;=Table3[end])),"**No associated Holiday"))))</f>
        <v/>
      </c>
      <c r="G254" s="36"/>
      <c r="I254" s="31"/>
    </row>
    <row r="255" spans="5:9" x14ac:dyDescent="0.35">
      <c r="E255" s="289" t="str" cm="1">
        <f t="array" ref="E255">IF(IFERROR(_xlfn.TEXTJOIN(", ",TRUE,TEXT(INDEX(Table3[Date],MATCH(_xlfn.FILTERXML("&lt;root&gt;&lt;item&gt;"&amp;SUBSTITUTE(F255,", ","&lt;/item&gt;&lt;item&gt;")&amp;"&lt;/item&gt;&lt;/root&gt;","//item"),Table3[Holiday Name],0)),"m/d/yyyy")),G255)="","",IFERROR(_xlfn.TEXTJOIN(", ",TRUE,TEXT(INDEX(Table3[Date],MATCH(_xlfn.FILTERXML("&lt;root&gt;&lt;item&gt;"&amp;SUBSTITUTE(F255,", ","&lt;/item&gt;&lt;item&gt;")&amp;"&lt;/item&gt;&lt;/root&gt;","//item"),Table3[Holiday Name],0)),"m/d/yyyy")),G255))</f>
        <v/>
      </c>
      <c r="F255" s="234" t="str" cm="1">
        <f t="array" ref="F255">IF(G255="","",IF(_xlfn.TEXTJOIN(", ",TRUE,IFERROR(_xlfn._xlws.FILTER(Table3[Holiday Name],(G255&gt;=Table3[start])*(G255&lt;=Table3[end])),"**No associated Holiday"))="","",_xlfn.TEXTJOIN(", ",TRUE,IFERROR(_xlfn._xlws.FILTER(Table3[Holiday Name],(G255&gt;=Table3[start])*(G255&lt;=Table3[end])),"**No associated Holiday"))))</f>
        <v/>
      </c>
      <c r="G255" s="36"/>
      <c r="I255" s="31"/>
    </row>
    <row r="256" spans="5:9" x14ac:dyDescent="0.35">
      <c r="E256" s="289" t="str" cm="1">
        <f t="array" ref="E256">IF(IFERROR(_xlfn.TEXTJOIN(", ",TRUE,TEXT(INDEX(Table3[Date],MATCH(_xlfn.FILTERXML("&lt;root&gt;&lt;item&gt;"&amp;SUBSTITUTE(F256,", ","&lt;/item&gt;&lt;item&gt;")&amp;"&lt;/item&gt;&lt;/root&gt;","//item"),Table3[Holiday Name],0)),"m/d/yyyy")),G256)="","",IFERROR(_xlfn.TEXTJOIN(", ",TRUE,TEXT(INDEX(Table3[Date],MATCH(_xlfn.FILTERXML("&lt;root&gt;&lt;item&gt;"&amp;SUBSTITUTE(F256,", ","&lt;/item&gt;&lt;item&gt;")&amp;"&lt;/item&gt;&lt;/root&gt;","//item"),Table3[Holiday Name],0)),"m/d/yyyy")),G256))</f>
        <v/>
      </c>
      <c r="F256" s="234" t="str" cm="1">
        <f t="array" ref="F256">IF(G256="","",IF(_xlfn.TEXTJOIN(", ",TRUE,IFERROR(_xlfn._xlws.FILTER(Table3[Holiday Name],(G256&gt;=Table3[start])*(G256&lt;=Table3[end])),"**No associated Holiday"))="","",_xlfn.TEXTJOIN(", ",TRUE,IFERROR(_xlfn._xlws.FILTER(Table3[Holiday Name],(G256&gt;=Table3[start])*(G256&lt;=Table3[end])),"**No associated Holiday"))))</f>
        <v/>
      </c>
      <c r="G256" s="36"/>
      <c r="I256" s="31"/>
    </row>
    <row r="257" spans="5:9" x14ac:dyDescent="0.35">
      <c r="E257" s="289" t="str" cm="1">
        <f t="array" ref="E257">IF(IFERROR(_xlfn.TEXTJOIN(", ",TRUE,TEXT(INDEX(Table3[Date],MATCH(_xlfn.FILTERXML("&lt;root&gt;&lt;item&gt;"&amp;SUBSTITUTE(F257,", ","&lt;/item&gt;&lt;item&gt;")&amp;"&lt;/item&gt;&lt;/root&gt;","//item"),Table3[Holiday Name],0)),"m/d/yyyy")),G257)="","",IFERROR(_xlfn.TEXTJOIN(", ",TRUE,TEXT(INDEX(Table3[Date],MATCH(_xlfn.FILTERXML("&lt;root&gt;&lt;item&gt;"&amp;SUBSTITUTE(F257,", ","&lt;/item&gt;&lt;item&gt;")&amp;"&lt;/item&gt;&lt;/root&gt;","//item"),Table3[Holiday Name],0)),"m/d/yyyy")),G257))</f>
        <v/>
      </c>
      <c r="F257" s="234" t="str" cm="1">
        <f t="array" ref="F257">IF(G257="","",IF(_xlfn.TEXTJOIN(", ",TRUE,IFERROR(_xlfn._xlws.FILTER(Table3[Holiday Name],(G257&gt;=Table3[start])*(G257&lt;=Table3[end])),"**No associated Holiday"))="","",_xlfn.TEXTJOIN(", ",TRUE,IFERROR(_xlfn._xlws.FILTER(Table3[Holiday Name],(G257&gt;=Table3[start])*(G257&lt;=Table3[end])),"**No associated Holiday"))))</f>
        <v/>
      </c>
      <c r="G257" s="36"/>
      <c r="I257" s="31"/>
    </row>
    <row r="258" spans="5:9" x14ac:dyDescent="0.35">
      <c r="E258" s="289" t="str" cm="1">
        <f t="array" ref="E258">IF(IFERROR(_xlfn.TEXTJOIN(", ",TRUE,TEXT(INDEX(Table3[Date],MATCH(_xlfn.FILTERXML("&lt;root&gt;&lt;item&gt;"&amp;SUBSTITUTE(F258,", ","&lt;/item&gt;&lt;item&gt;")&amp;"&lt;/item&gt;&lt;/root&gt;","//item"),Table3[Holiday Name],0)),"m/d/yyyy")),G258)="","",IFERROR(_xlfn.TEXTJOIN(", ",TRUE,TEXT(INDEX(Table3[Date],MATCH(_xlfn.FILTERXML("&lt;root&gt;&lt;item&gt;"&amp;SUBSTITUTE(F258,", ","&lt;/item&gt;&lt;item&gt;")&amp;"&lt;/item&gt;&lt;/root&gt;","//item"),Table3[Holiday Name],0)),"m/d/yyyy")),G258))</f>
        <v/>
      </c>
      <c r="F258" s="234" t="str" cm="1">
        <f t="array" ref="F258">IF(G258="","",IF(_xlfn.TEXTJOIN(", ",TRUE,IFERROR(_xlfn._xlws.FILTER(Table3[Holiday Name],(G258&gt;=Table3[start])*(G258&lt;=Table3[end])),"**No associated Holiday"))="","",_xlfn.TEXTJOIN(", ",TRUE,IFERROR(_xlfn._xlws.FILTER(Table3[Holiday Name],(G258&gt;=Table3[start])*(G258&lt;=Table3[end])),"**No associated Holiday"))))</f>
        <v/>
      </c>
      <c r="G258" s="36"/>
      <c r="I258" s="31"/>
    </row>
    <row r="259" spans="5:9" x14ac:dyDescent="0.35">
      <c r="E259" s="289" t="str" cm="1">
        <f t="array" ref="E259">IF(IFERROR(_xlfn.TEXTJOIN(", ",TRUE,TEXT(INDEX(Table3[Date],MATCH(_xlfn.FILTERXML("&lt;root&gt;&lt;item&gt;"&amp;SUBSTITUTE(F259,", ","&lt;/item&gt;&lt;item&gt;")&amp;"&lt;/item&gt;&lt;/root&gt;","//item"),Table3[Holiday Name],0)),"m/d/yyyy")),G259)="","",IFERROR(_xlfn.TEXTJOIN(", ",TRUE,TEXT(INDEX(Table3[Date],MATCH(_xlfn.FILTERXML("&lt;root&gt;&lt;item&gt;"&amp;SUBSTITUTE(F259,", ","&lt;/item&gt;&lt;item&gt;")&amp;"&lt;/item&gt;&lt;/root&gt;","//item"),Table3[Holiday Name],0)),"m/d/yyyy")),G259))</f>
        <v/>
      </c>
      <c r="F259" s="234" t="str" cm="1">
        <f t="array" ref="F259">IF(G259="","",IF(_xlfn.TEXTJOIN(", ",TRUE,IFERROR(_xlfn._xlws.FILTER(Table3[Holiday Name],(G259&gt;=Table3[start])*(G259&lt;=Table3[end])),"**No associated Holiday"))="","",_xlfn.TEXTJOIN(", ",TRUE,IFERROR(_xlfn._xlws.FILTER(Table3[Holiday Name],(G259&gt;=Table3[start])*(G259&lt;=Table3[end])),"**No associated Holiday"))))</f>
        <v/>
      </c>
      <c r="G259" s="36"/>
      <c r="I259" s="31"/>
    </row>
    <row r="260" spans="5:9" x14ac:dyDescent="0.35">
      <c r="E260" s="289" t="str" cm="1">
        <f t="array" ref="E260">IF(IFERROR(_xlfn.TEXTJOIN(", ",TRUE,TEXT(INDEX(Table3[Date],MATCH(_xlfn.FILTERXML("&lt;root&gt;&lt;item&gt;"&amp;SUBSTITUTE(F260,", ","&lt;/item&gt;&lt;item&gt;")&amp;"&lt;/item&gt;&lt;/root&gt;","//item"),Table3[Holiday Name],0)),"m/d/yyyy")),G260)="","",IFERROR(_xlfn.TEXTJOIN(", ",TRUE,TEXT(INDEX(Table3[Date],MATCH(_xlfn.FILTERXML("&lt;root&gt;&lt;item&gt;"&amp;SUBSTITUTE(F260,", ","&lt;/item&gt;&lt;item&gt;")&amp;"&lt;/item&gt;&lt;/root&gt;","//item"),Table3[Holiday Name],0)),"m/d/yyyy")),G260))</f>
        <v/>
      </c>
      <c r="F260" s="234" t="str" cm="1">
        <f t="array" ref="F260">IF(G260="","",IF(_xlfn.TEXTJOIN(", ",TRUE,IFERROR(_xlfn._xlws.FILTER(Table3[Holiday Name],(G260&gt;=Table3[start])*(G260&lt;=Table3[end])),"**No associated Holiday"))="","",_xlfn.TEXTJOIN(", ",TRUE,IFERROR(_xlfn._xlws.FILTER(Table3[Holiday Name],(G260&gt;=Table3[start])*(G260&lt;=Table3[end])),"**No associated Holiday"))))</f>
        <v/>
      </c>
      <c r="G260" s="36"/>
      <c r="I260" s="31"/>
    </row>
    <row r="261" spans="5:9" x14ac:dyDescent="0.35">
      <c r="E261" s="289" t="str" cm="1">
        <f t="array" ref="E261">IF(IFERROR(_xlfn.TEXTJOIN(", ",TRUE,TEXT(INDEX(Table3[Date],MATCH(_xlfn.FILTERXML("&lt;root&gt;&lt;item&gt;"&amp;SUBSTITUTE(F261,", ","&lt;/item&gt;&lt;item&gt;")&amp;"&lt;/item&gt;&lt;/root&gt;","//item"),Table3[Holiday Name],0)),"m/d/yyyy")),G261)="","",IFERROR(_xlfn.TEXTJOIN(", ",TRUE,TEXT(INDEX(Table3[Date],MATCH(_xlfn.FILTERXML("&lt;root&gt;&lt;item&gt;"&amp;SUBSTITUTE(F261,", ","&lt;/item&gt;&lt;item&gt;")&amp;"&lt;/item&gt;&lt;/root&gt;","//item"),Table3[Holiday Name],0)),"m/d/yyyy")),G261))</f>
        <v/>
      </c>
      <c r="F261" s="234" t="str" cm="1">
        <f t="array" ref="F261">IF(G261="","",IF(_xlfn.TEXTJOIN(", ",TRUE,IFERROR(_xlfn._xlws.FILTER(Table3[Holiday Name],(G261&gt;=Table3[start])*(G261&lt;=Table3[end])),"**No associated Holiday"))="","",_xlfn.TEXTJOIN(", ",TRUE,IFERROR(_xlfn._xlws.FILTER(Table3[Holiday Name],(G261&gt;=Table3[start])*(G261&lt;=Table3[end])),"**No associated Holiday"))))</f>
        <v/>
      </c>
      <c r="G261" s="36"/>
      <c r="I261" s="31"/>
    </row>
    <row r="262" spans="5:9" x14ac:dyDescent="0.35">
      <c r="E262" s="289" t="str" cm="1">
        <f t="array" ref="E262">IF(IFERROR(_xlfn.TEXTJOIN(", ",TRUE,TEXT(INDEX(Table3[Date],MATCH(_xlfn.FILTERXML("&lt;root&gt;&lt;item&gt;"&amp;SUBSTITUTE(F262,", ","&lt;/item&gt;&lt;item&gt;")&amp;"&lt;/item&gt;&lt;/root&gt;","//item"),Table3[Holiday Name],0)),"m/d/yyyy")),G262)="","",IFERROR(_xlfn.TEXTJOIN(", ",TRUE,TEXT(INDEX(Table3[Date],MATCH(_xlfn.FILTERXML("&lt;root&gt;&lt;item&gt;"&amp;SUBSTITUTE(F262,", ","&lt;/item&gt;&lt;item&gt;")&amp;"&lt;/item&gt;&lt;/root&gt;","//item"),Table3[Holiday Name],0)),"m/d/yyyy")),G262))</f>
        <v/>
      </c>
      <c r="F262" s="234" t="str" cm="1">
        <f t="array" ref="F262">IF(G262="","",IF(_xlfn.TEXTJOIN(", ",TRUE,IFERROR(_xlfn._xlws.FILTER(Table3[Holiday Name],(G262&gt;=Table3[start])*(G262&lt;=Table3[end])),"**No associated Holiday"))="","",_xlfn.TEXTJOIN(", ",TRUE,IFERROR(_xlfn._xlws.FILTER(Table3[Holiday Name],(G262&gt;=Table3[start])*(G262&lt;=Table3[end])),"**No associated Holiday"))))</f>
        <v/>
      </c>
      <c r="G262" s="36"/>
      <c r="I262" s="31"/>
    </row>
    <row r="263" spans="5:9" x14ac:dyDescent="0.35">
      <c r="E263" s="289" t="str" cm="1">
        <f t="array" ref="E263">IF(IFERROR(_xlfn.TEXTJOIN(", ",TRUE,TEXT(INDEX(Table3[Date],MATCH(_xlfn.FILTERXML("&lt;root&gt;&lt;item&gt;"&amp;SUBSTITUTE(F263,", ","&lt;/item&gt;&lt;item&gt;")&amp;"&lt;/item&gt;&lt;/root&gt;","//item"),Table3[Holiday Name],0)),"m/d/yyyy")),G263)="","",IFERROR(_xlfn.TEXTJOIN(", ",TRUE,TEXT(INDEX(Table3[Date],MATCH(_xlfn.FILTERXML("&lt;root&gt;&lt;item&gt;"&amp;SUBSTITUTE(F263,", ","&lt;/item&gt;&lt;item&gt;")&amp;"&lt;/item&gt;&lt;/root&gt;","//item"),Table3[Holiday Name],0)),"m/d/yyyy")),G263))</f>
        <v/>
      </c>
      <c r="F263" s="234" t="str" cm="1">
        <f t="array" ref="F263">IF(G263="","",IF(_xlfn.TEXTJOIN(", ",TRUE,IFERROR(_xlfn._xlws.FILTER(Table3[Holiday Name],(G263&gt;=Table3[start])*(G263&lt;=Table3[end])),"**No associated Holiday"))="","",_xlfn.TEXTJOIN(", ",TRUE,IFERROR(_xlfn._xlws.FILTER(Table3[Holiday Name],(G263&gt;=Table3[start])*(G263&lt;=Table3[end])),"**No associated Holiday"))))</f>
        <v/>
      </c>
      <c r="G263" s="36"/>
      <c r="I263" s="31"/>
    </row>
    <row r="264" spans="5:9" x14ac:dyDescent="0.35">
      <c r="E264" s="289" t="str" cm="1">
        <f t="array" ref="E264">IF(IFERROR(_xlfn.TEXTJOIN(", ",TRUE,TEXT(INDEX(Table3[Date],MATCH(_xlfn.FILTERXML("&lt;root&gt;&lt;item&gt;"&amp;SUBSTITUTE(F264,", ","&lt;/item&gt;&lt;item&gt;")&amp;"&lt;/item&gt;&lt;/root&gt;","//item"),Table3[Holiday Name],0)),"m/d/yyyy")),G264)="","",IFERROR(_xlfn.TEXTJOIN(", ",TRUE,TEXT(INDEX(Table3[Date],MATCH(_xlfn.FILTERXML("&lt;root&gt;&lt;item&gt;"&amp;SUBSTITUTE(F264,", ","&lt;/item&gt;&lt;item&gt;")&amp;"&lt;/item&gt;&lt;/root&gt;","//item"),Table3[Holiday Name],0)),"m/d/yyyy")),G264))</f>
        <v/>
      </c>
      <c r="F264" s="234" t="str" cm="1">
        <f t="array" ref="F264">IF(G264="","",IF(_xlfn.TEXTJOIN(", ",TRUE,IFERROR(_xlfn._xlws.FILTER(Table3[Holiday Name],(G264&gt;=Table3[start])*(G264&lt;=Table3[end])),"**No associated Holiday"))="","",_xlfn.TEXTJOIN(", ",TRUE,IFERROR(_xlfn._xlws.FILTER(Table3[Holiday Name],(G264&gt;=Table3[start])*(G264&lt;=Table3[end])),"**No associated Holiday"))))</f>
        <v/>
      </c>
      <c r="G264" s="36"/>
      <c r="I264" s="31"/>
    </row>
    <row r="265" spans="5:9" x14ac:dyDescent="0.35">
      <c r="E265" s="289" t="str" cm="1">
        <f t="array" ref="E265">IF(IFERROR(_xlfn.TEXTJOIN(", ",TRUE,TEXT(INDEX(Table3[Date],MATCH(_xlfn.FILTERXML("&lt;root&gt;&lt;item&gt;"&amp;SUBSTITUTE(F265,", ","&lt;/item&gt;&lt;item&gt;")&amp;"&lt;/item&gt;&lt;/root&gt;","//item"),Table3[Holiday Name],0)),"m/d/yyyy")),G265)="","",IFERROR(_xlfn.TEXTJOIN(", ",TRUE,TEXT(INDEX(Table3[Date],MATCH(_xlfn.FILTERXML("&lt;root&gt;&lt;item&gt;"&amp;SUBSTITUTE(F265,", ","&lt;/item&gt;&lt;item&gt;")&amp;"&lt;/item&gt;&lt;/root&gt;","//item"),Table3[Holiday Name],0)),"m/d/yyyy")),G265))</f>
        <v/>
      </c>
      <c r="F265" s="234" t="str" cm="1">
        <f t="array" ref="F265">IF(G265="","",IF(_xlfn.TEXTJOIN(", ",TRUE,IFERROR(_xlfn._xlws.FILTER(Table3[Holiday Name],(G265&gt;=Table3[start])*(G265&lt;=Table3[end])),"**No associated Holiday"))="","",_xlfn.TEXTJOIN(", ",TRUE,IFERROR(_xlfn._xlws.FILTER(Table3[Holiday Name],(G265&gt;=Table3[start])*(G265&lt;=Table3[end])),"**No associated Holiday"))))</f>
        <v/>
      </c>
      <c r="G265" s="36"/>
      <c r="I265" s="31"/>
    </row>
    <row r="266" spans="5:9" x14ac:dyDescent="0.35">
      <c r="E266" s="289" t="str" cm="1">
        <f t="array" ref="E266">IF(IFERROR(_xlfn.TEXTJOIN(", ",TRUE,TEXT(INDEX(Table3[Date],MATCH(_xlfn.FILTERXML("&lt;root&gt;&lt;item&gt;"&amp;SUBSTITUTE(F266,", ","&lt;/item&gt;&lt;item&gt;")&amp;"&lt;/item&gt;&lt;/root&gt;","//item"),Table3[Holiday Name],0)),"m/d/yyyy")),G266)="","",IFERROR(_xlfn.TEXTJOIN(", ",TRUE,TEXT(INDEX(Table3[Date],MATCH(_xlfn.FILTERXML("&lt;root&gt;&lt;item&gt;"&amp;SUBSTITUTE(F266,", ","&lt;/item&gt;&lt;item&gt;")&amp;"&lt;/item&gt;&lt;/root&gt;","//item"),Table3[Holiday Name],0)),"m/d/yyyy")),G266))</f>
        <v/>
      </c>
      <c r="F266" s="234" t="str" cm="1">
        <f t="array" ref="F266">IF(G266="","",IF(_xlfn.TEXTJOIN(", ",TRUE,IFERROR(_xlfn._xlws.FILTER(Table3[Holiday Name],(G266&gt;=Table3[start])*(G266&lt;=Table3[end])),"**No associated Holiday"))="","",_xlfn.TEXTJOIN(", ",TRUE,IFERROR(_xlfn._xlws.FILTER(Table3[Holiday Name],(G266&gt;=Table3[start])*(G266&lt;=Table3[end])),"**No associated Holiday"))))</f>
        <v/>
      </c>
      <c r="G266" s="36"/>
      <c r="I266" s="31"/>
    </row>
    <row r="267" spans="5:9" x14ac:dyDescent="0.35">
      <c r="E267" s="289" t="str" cm="1">
        <f t="array" ref="E267">IF(IFERROR(_xlfn.TEXTJOIN(", ",TRUE,TEXT(INDEX(Table3[Date],MATCH(_xlfn.FILTERXML("&lt;root&gt;&lt;item&gt;"&amp;SUBSTITUTE(F267,", ","&lt;/item&gt;&lt;item&gt;")&amp;"&lt;/item&gt;&lt;/root&gt;","//item"),Table3[Holiday Name],0)),"m/d/yyyy")),G267)="","",IFERROR(_xlfn.TEXTJOIN(", ",TRUE,TEXT(INDEX(Table3[Date],MATCH(_xlfn.FILTERXML("&lt;root&gt;&lt;item&gt;"&amp;SUBSTITUTE(F267,", ","&lt;/item&gt;&lt;item&gt;")&amp;"&lt;/item&gt;&lt;/root&gt;","//item"),Table3[Holiday Name],0)),"m/d/yyyy")),G267))</f>
        <v/>
      </c>
      <c r="F267" s="234" t="str" cm="1">
        <f t="array" ref="F267">IF(G267="","",IF(_xlfn.TEXTJOIN(", ",TRUE,IFERROR(_xlfn._xlws.FILTER(Table3[Holiday Name],(G267&gt;=Table3[start])*(G267&lt;=Table3[end])),"**No associated Holiday"))="","",_xlfn.TEXTJOIN(", ",TRUE,IFERROR(_xlfn._xlws.FILTER(Table3[Holiday Name],(G267&gt;=Table3[start])*(G267&lt;=Table3[end])),"**No associated Holiday"))))</f>
        <v/>
      </c>
      <c r="G267" s="36"/>
      <c r="I267" s="31"/>
    </row>
    <row r="268" spans="5:9" x14ac:dyDescent="0.35">
      <c r="E268" s="289" t="str" cm="1">
        <f t="array" ref="E268">IF(IFERROR(_xlfn.TEXTJOIN(", ",TRUE,TEXT(INDEX(Table3[Date],MATCH(_xlfn.FILTERXML("&lt;root&gt;&lt;item&gt;"&amp;SUBSTITUTE(F268,", ","&lt;/item&gt;&lt;item&gt;")&amp;"&lt;/item&gt;&lt;/root&gt;","//item"),Table3[Holiday Name],0)),"m/d/yyyy")),G268)="","",IFERROR(_xlfn.TEXTJOIN(", ",TRUE,TEXT(INDEX(Table3[Date],MATCH(_xlfn.FILTERXML("&lt;root&gt;&lt;item&gt;"&amp;SUBSTITUTE(F268,", ","&lt;/item&gt;&lt;item&gt;")&amp;"&lt;/item&gt;&lt;/root&gt;","//item"),Table3[Holiday Name],0)),"m/d/yyyy")),G268))</f>
        <v/>
      </c>
      <c r="F268" s="234" t="str" cm="1">
        <f t="array" ref="F268">IF(G268="","",IF(_xlfn.TEXTJOIN(", ",TRUE,IFERROR(_xlfn._xlws.FILTER(Table3[Holiday Name],(G268&gt;=Table3[start])*(G268&lt;=Table3[end])),"**No associated Holiday"))="","",_xlfn.TEXTJOIN(", ",TRUE,IFERROR(_xlfn._xlws.FILTER(Table3[Holiday Name],(G268&gt;=Table3[start])*(G268&lt;=Table3[end])),"**No associated Holiday"))))</f>
        <v/>
      </c>
      <c r="G268" s="36"/>
      <c r="I268" s="31"/>
    </row>
    <row r="269" spans="5:9" x14ac:dyDescent="0.35">
      <c r="E269" s="289" t="str" cm="1">
        <f t="array" ref="E269">IF(IFERROR(_xlfn.TEXTJOIN(", ",TRUE,TEXT(INDEX(Table3[Date],MATCH(_xlfn.FILTERXML("&lt;root&gt;&lt;item&gt;"&amp;SUBSTITUTE(F269,", ","&lt;/item&gt;&lt;item&gt;")&amp;"&lt;/item&gt;&lt;/root&gt;","//item"),Table3[Holiday Name],0)),"m/d/yyyy")),G269)="","",IFERROR(_xlfn.TEXTJOIN(", ",TRUE,TEXT(INDEX(Table3[Date],MATCH(_xlfn.FILTERXML("&lt;root&gt;&lt;item&gt;"&amp;SUBSTITUTE(F269,", ","&lt;/item&gt;&lt;item&gt;")&amp;"&lt;/item&gt;&lt;/root&gt;","//item"),Table3[Holiday Name],0)),"m/d/yyyy")),G269))</f>
        <v/>
      </c>
      <c r="F269" s="234" t="str" cm="1">
        <f t="array" ref="F269">IF(G269="","",IF(_xlfn.TEXTJOIN(", ",TRUE,IFERROR(_xlfn._xlws.FILTER(Table3[Holiday Name],(G269&gt;=Table3[start])*(G269&lt;=Table3[end])),"**No associated Holiday"))="","",_xlfn.TEXTJOIN(", ",TRUE,IFERROR(_xlfn._xlws.FILTER(Table3[Holiday Name],(G269&gt;=Table3[start])*(G269&lt;=Table3[end])),"**No associated Holiday"))))</f>
        <v/>
      </c>
      <c r="G269" s="36"/>
      <c r="I269" s="31"/>
    </row>
    <row r="270" spans="5:9" x14ac:dyDescent="0.35">
      <c r="E270" s="289" t="str" cm="1">
        <f t="array" ref="E270">IF(IFERROR(_xlfn.TEXTJOIN(", ",TRUE,TEXT(INDEX(Table3[Date],MATCH(_xlfn.FILTERXML("&lt;root&gt;&lt;item&gt;"&amp;SUBSTITUTE(F270,", ","&lt;/item&gt;&lt;item&gt;")&amp;"&lt;/item&gt;&lt;/root&gt;","//item"),Table3[Holiday Name],0)),"m/d/yyyy")),G270)="","",IFERROR(_xlfn.TEXTJOIN(", ",TRUE,TEXT(INDEX(Table3[Date],MATCH(_xlfn.FILTERXML("&lt;root&gt;&lt;item&gt;"&amp;SUBSTITUTE(F270,", ","&lt;/item&gt;&lt;item&gt;")&amp;"&lt;/item&gt;&lt;/root&gt;","//item"),Table3[Holiday Name],0)),"m/d/yyyy")),G270))</f>
        <v/>
      </c>
      <c r="F270" s="234" t="str" cm="1">
        <f t="array" ref="F270">IF(G270="","",IF(_xlfn.TEXTJOIN(", ",TRUE,IFERROR(_xlfn._xlws.FILTER(Table3[Holiday Name],(G270&gt;=Table3[start])*(G270&lt;=Table3[end])),"**No associated Holiday"))="","",_xlfn.TEXTJOIN(", ",TRUE,IFERROR(_xlfn._xlws.FILTER(Table3[Holiday Name],(G270&gt;=Table3[start])*(G270&lt;=Table3[end])),"**No associated Holiday"))))</f>
        <v/>
      </c>
      <c r="G270" s="36"/>
      <c r="I270" s="31"/>
    </row>
    <row r="271" spans="5:9" x14ac:dyDescent="0.35">
      <c r="E271" s="289" t="str" cm="1">
        <f t="array" ref="E271">IF(IFERROR(_xlfn.TEXTJOIN(", ",TRUE,TEXT(INDEX(Table3[Date],MATCH(_xlfn.FILTERXML("&lt;root&gt;&lt;item&gt;"&amp;SUBSTITUTE(F271,", ","&lt;/item&gt;&lt;item&gt;")&amp;"&lt;/item&gt;&lt;/root&gt;","//item"),Table3[Holiday Name],0)),"m/d/yyyy")),G271)="","",IFERROR(_xlfn.TEXTJOIN(", ",TRUE,TEXT(INDEX(Table3[Date],MATCH(_xlfn.FILTERXML("&lt;root&gt;&lt;item&gt;"&amp;SUBSTITUTE(F271,", ","&lt;/item&gt;&lt;item&gt;")&amp;"&lt;/item&gt;&lt;/root&gt;","//item"),Table3[Holiday Name],0)),"m/d/yyyy")),G271))</f>
        <v/>
      </c>
      <c r="F271" s="234" t="str" cm="1">
        <f t="array" ref="F271">IF(G271="","",IF(_xlfn.TEXTJOIN(", ",TRUE,IFERROR(_xlfn._xlws.FILTER(Table3[Holiday Name],(G271&gt;=Table3[start])*(G271&lt;=Table3[end])),"**No associated Holiday"))="","",_xlfn.TEXTJOIN(", ",TRUE,IFERROR(_xlfn._xlws.FILTER(Table3[Holiday Name],(G271&gt;=Table3[start])*(G271&lt;=Table3[end])),"**No associated Holiday"))))</f>
        <v/>
      </c>
      <c r="G271" s="36"/>
      <c r="I271" s="31"/>
    </row>
    <row r="272" spans="5:9" x14ac:dyDescent="0.35">
      <c r="E272" s="289" t="str" cm="1">
        <f t="array" ref="E272">IF(IFERROR(_xlfn.TEXTJOIN(", ",TRUE,TEXT(INDEX(Table3[Date],MATCH(_xlfn.FILTERXML("&lt;root&gt;&lt;item&gt;"&amp;SUBSTITUTE(F272,", ","&lt;/item&gt;&lt;item&gt;")&amp;"&lt;/item&gt;&lt;/root&gt;","//item"),Table3[Holiday Name],0)),"m/d/yyyy")),G272)="","",IFERROR(_xlfn.TEXTJOIN(", ",TRUE,TEXT(INDEX(Table3[Date],MATCH(_xlfn.FILTERXML("&lt;root&gt;&lt;item&gt;"&amp;SUBSTITUTE(F272,", ","&lt;/item&gt;&lt;item&gt;")&amp;"&lt;/item&gt;&lt;/root&gt;","//item"),Table3[Holiday Name],0)),"m/d/yyyy")),G272))</f>
        <v/>
      </c>
      <c r="F272" s="234" t="str" cm="1">
        <f t="array" ref="F272">IF(G272="","",IF(_xlfn.TEXTJOIN(", ",TRUE,IFERROR(_xlfn._xlws.FILTER(Table3[Holiday Name],(G272&gt;=Table3[start])*(G272&lt;=Table3[end])),"**No associated Holiday"))="","",_xlfn.TEXTJOIN(", ",TRUE,IFERROR(_xlfn._xlws.FILTER(Table3[Holiday Name],(G272&gt;=Table3[start])*(G272&lt;=Table3[end])),"**No associated Holiday"))))</f>
        <v/>
      </c>
      <c r="G272" s="36"/>
      <c r="I272" s="31"/>
    </row>
    <row r="273" spans="5:9" x14ac:dyDescent="0.35">
      <c r="E273" s="289" t="str" cm="1">
        <f t="array" ref="E273">IF(IFERROR(_xlfn.TEXTJOIN(", ",TRUE,TEXT(INDEX(Table3[Date],MATCH(_xlfn.FILTERXML("&lt;root&gt;&lt;item&gt;"&amp;SUBSTITUTE(F273,", ","&lt;/item&gt;&lt;item&gt;")&amp;"&lt;/item&gt;&lt;/root&gt;","//item"),Table3[Holiday Name],0)),"m/d/yyyy")),G273)="","",IFERROR(_xlfn.TEXTJOIN(", ",TRUE,TEXT(INDEX(Table3[Date],MATCH(_xlfn.FILTERXML("&lt;root&gt;&lt;item&gt;"&amp;SUBSTITUTE(F273,", ","&lt;/item&gt;&lt;item&gt;")&amp;"&lt;/item&gt;&lt;/root&gt;","//item"),Table3[Holiday Name],0)),"m/d/yyyy")),G273))</f>
        <v/>
      </c>
      <c r="F273" s="234" t="str" cm="1">
        <f t="array" ref="F273">IF(G273="","",IF(_xlfn.TEXTJOIN(", ",TRUE,IFERROR(_xlfn._xlws.FILTER(Table3[Holiday Name],(G273&gt;=Table3[start])*(G273&lt;=Table3[end])),"**No associated Holiday"))="","",_xlfn.TEXTJOIN(", ",TRUE,IFERROR(_xlfn._xlws.FILTER(Table3[Holiday Name],(G273&gt;=Table3[start])*(G273&lt;=Table3[end])),"**No associated Holiday"))))</f>
        <v/>
      </c>
      <c r="G273" s="36"/>
      <c r="I273" s="31"/>
    </row>
    <row r="274" spans="5:9" x14ac:dyDescent="0.35">
      <c r="E274" s="289" t="str" cm="1">
        <f t="array" ref="E274">IF(IFERROR(_xlfn.TEXTJOIN(", ",TRUE,TEXT(INDEX(Table3[Date],MATCH(_xlfn.FILTERXML("&lt;root&gt;&lt;item&gt;"&amp;SUBSTITUTE(F274,", ","&lt;/item&gt;&lt;item&gt;")&amp;"&lt;/item&gt;&lt;/root&gt;","//item"),Table3[Holiday Name],0)),"m/d/yyyy")),G274)="","",IFERROR(_xlfn.TEXTJOIN(", ",TRUE,TEXT(INDEX(Table3[Date],MATCH(_xlfn.FILTERXML("&lt;root&gt;&lt;item&gt;"&amp;SUBSTITUTE(F274,", ","&lt;/item&gt;&lt;item&gt;")&amp;"&lt;/item&gt;&lt;/root&gt;","//item"),Table3[Holiday Name],0)),"m/d/yyyy")),G274))</f>
        <v/>
      </c>
      <c r="F274" s="234" t="str" cm="1">
        <f t="array" ref="F274">IF(G274="","",IF(_xlfn.TEXTJOIN(", ",TRUE,IFERROR(_xlfn._xlws.FILTER(Table3[Holiday Name],(G274&gt;=Table3[start])*(G274&lt;=Table3[end])),"**No associated Holiday"))="","",_xlfn.TEXTJOIN(", ",TRUE,IFERROR(_xlfn._xlws.FILTER(Table3[Holiday Name],(G274&gt;=Table3[start])*(G274&lt;=Table3[end])),"**No associated Holiday"))))</f>
        <v/>
      </c>
      <c r="G274" s="36"/>
      <c r="I274" s="31"/>
    </row>
    <row r="275" spans="5:9" x14ac:dyDescent="0.35">
      <c r="E275" s="289" t="str" cm="1">
        <f t="array" ref="E275">IF(IFERROR(_xlfn.TEXTJOIN(", ",TRUE,TEXT(INDEX(Table3[Date],MATCH(_xlfn.FILTERXML("&lt;root&gt;&lt;item&gt;"&amp;SUBSTITUTE(F275,", ","&lt;/item&gt;&lt;item&gt;")&amp;"&lt;/item&gt;&lt;/root&gt;","//item"),Table3[Holiday Name],0)),"m/d/yyyy")),G275)="","",IFERROR(_xlfn.TEXTJOIN(", ",TRUE,TEXT(INDEX(Table3[Date],MATCH(_xlfn.FILTERXML("&lt;root&gt;&lt;item&gt;"&amp;SUBSTITUTE(F275,", ","&lt;/item&gt;&lt;item&gt;")&amp;"&lt;/item&gt;&lt;/root&gt;","//item"),Table3[Holiday Name],0)),"m/d/yyyy")),G275))</f>
        <v/>
      </c>
      <c r="F275" s="234" t="str" cm="1">
        <f t="array" ref="F275">IF(G275="","",IF(_xlfn.TEXTJOIN(", ",TRUE,IFERROR(_xlfn._xlws.FILTER(Table3[Holiday Name],(G275&gt;=Table3[start])*(G275&lt;=Table3[end])),"**No associated Holiday"))="","",_xlfn.TEXTJOIN(", ",TRUE,IFERROR(_xlfn._xlws.FILTER(Table3[Holiday Name],(G275&gt;=Table3[start])*(G275&lt;=Table3[end])),"**No associated Holiday"))))</f>
        <v/>
      </c>
      <c r="G275" s="36"/>
      <c r="I275" s="31"/>
    </row>
    <row r="276" spans="5:9" x14ac:dyDescent="0.35">
      <c r="E276" s="289" t="str" cm="1">
        <f t="array" ref="E276">IF(IFERROR(_xlfn.TEXTJOIN(", ",TRUE,TEXT(INDEX(Table3[Date],MATCH(_xlfn.FILTERXML("&lt;root&gt;&lt;item&gt;"&amp;SUBSTITUTE(F276,", ","&lt;/item&gt;&lt;item&gt;")&amp;"&lt;/item&gt;&lt;/root&gt;","//item"),Table3[Holiday Name],0)),"m/d/yyyy")),G276)="","",IFERROR(_xlfn.TEXTJOIN(", ",TRUE,TEXT(INDEX(Table3[Date],MATCH(_xlfn.FILTERXML("&lt;root&gt;&lt;item&gt;"&amp;SUBSTITUTE(F276,", ","&lt;/item&gt;&lt;item&gt;")&amp;"&lt;/item&gt;&lt;/root&gt;","//item"),Table3[Holiday Name],0)),"m/d/yyyy")),G276))</f>
        <v/>
      </c>
      <c r="F276" s="234" t="str" cm="1">
        <f t="array" ref="F276">IF(G276="","",IF(_xlfn.TEXTJOIN(", ",TRUE,IFERROR(_xlfn._xlws.FILTER(Table3[Holiday Name],(G276&gt;=Table3[start])*(G276&lt;=Table3[end])),"**No associated Holiday"))="","",_xlfn.TEXTJOIN(", ",TRUE,IFERROR(_xlfn._xlws.FILTER(Table3[Holiday Name],(G276&gt;=Table3[start])*(G276&lt;=Table3[end])),"**No associated Holiday"))))</f>
        <v/>
      </c>
      <c r="G276" s="36"/>
      <c r="I276" s="31"/>
    </row>
    <row r="277" spans="5:9" x14ac:dyDescent="0.35">
      <c r="E277" s="289" t="str" cm="1">
        <f t="array" ref="E277">IF(IFERROR(_xlfn.TEXTJOIN(", ",TRUE,TEXT(INDEX(Table3[Date],MATCH(_xlfn.FILTERXML("&lt;root&gt;&lt;item&gt;"&amp;SUBSTITUTE(F277,", ","&lt;/item&gt;&lt;item&gt;")&amp;"&lt;/item&gt;&lt;/root&gt;","//item"),Table3[Holiday Name],0)),"m/d/yyyy")),G277)="","",IFERROR(_xlfn.TEXTJOIN(", ",TRUE,TEXT(INDEX(Table3[Date],MATCH(_xlfn.FILTERXML("&lt;root&gt;&lt;item&gt;"&amp;SUBSTITUTE(F277,", ","&lt;/item&gt;&lt;item&gt;")&amp;"&lt;/item&gt;&lt;/root&gt;","//item"),Table3[Holiday Name],0)),"m/d/yyyy")),G277))</f>
        <v/>
      </c>
      <c r="F277" s="234" t="str" cm="1">
        <f t="array" ref="F277">IF(G277="","",IF(_xlfn.TEXTJOIN(", ",TRUE,IFERROR(_xlfn._xlws.FILTER(Table3[Holiday Name],(G277&gt;=Table3[start])*(G277&lt;=Table3[end])),"**No associated Holiday"))="","",_xlfn.TEXTJOIN(", ",TRUE,IFERROR(_xlfn._xlws.FILTER(Table3[Holiday Name],(G277&gt;=Table3[start])*(G277&lt;=Table3[end])),"**No associated Holiday"))))</f>
        <v/>
      </c>
      <c r="G277" s="36"/>
      <c r="I277" s="31"/>
    </row>
    <row r="278" spans="5:9" x14ac:dyDescent="0.35">
      <c r="E278" s="289" t="str" cm="1">
        <f t="array" ref="E278">IF(IFERROR(_xlfn.TEXTJOIN(", ",TRUE,TEXT(INDEX(Table3[Date],MATCH(_xlfn.FILTERXML("&lt;root&gt;&lt;item&gt;"&amp;SUBSTITUTE(F278,", ","&lt;/item&gt;&lt;item&gt;")&amp;"&lt;/item&gt;&lt;/root&gt;","//item"),Table3[Holiday Name],0)),"m/d/yyyy")),G278)="","",IFERROR(_xlfn.TEXTJOIN(", ",TRUE,TEXT(INDEX(Table3[Date],MATCH(_xlfn.FILTERXML("&lt;root&gt;&lt;item&gt;"&amp;SUBSTITUTE(F278,", ","&lt;/item&gt;&lt;item&gt;")&amp;"&lt;/item&gt;&lt;/root&gt;","//item"),Table3[Holiday Name],0)),"m/d/yyyy")),G278))</f>
        <v/>
      </c>
      <c r="F278" s="234" t="str" cm="1">
        <f t="array" ref="F278">IF(G278="","",IF(_xlfn.TEXTJOIN(", ",TRUE,IFERROR(_xlfn._xlws.FILTER(Table3[Holiday Name],(G278&gt;=Table3[start])*(G278&lt;=Table3[end])),"**No associated Holiday"))="","",_xlfn.TEXTJOIN(", ",TRUE,IFERROR(_xlfn._xlws.FILTER(Table3[Holiday Name],(G278&gt;=Table3[start])*(G278&lt;=Table3[end])),"**No associated Holiday"))))</f>
        <v/>
      </c>
      <c r="G278" s="36"/>
      <c r="I278" s="31"/>
    </row>
    <row r="279" spans="5:9" x14ac:dyDescent="0.35">
      <c r="E279" s="289" t="str" cm="1">
        <f t="array" ref="E279">IF(IFERROR(_xlfn.TEXTJOIN(", ",TRUE,TEXT(INDEX(Table3[Date],MATCH(_xlfn.FILTERXML("&lt;root&gt;&lt;item&gt;"&amp;SUBSTITUTE(F279,", ","&lt;/item&gt;&lt;item&gt;")&amp;"&lt;/item&gt;&lt;/root&gt;","//item"),Table3[Holiday Name],0)),"m/d/yyyy")),G279)="","",IFERROR(_xlfn.TEXTJOIN(", ",TRUE,TEXT(INDEX(Table3[Date],MATCH(_xlfn.FILTERXML("&lt;root&gt;&lt;item&gt;"&amp;SUBSTITUTE(F279,", ","&lt;/item&gt;&lt;item&gt;")&amp;"&lt;/item&gt;&lt;/root&gt;","//item"),Table3[Holiday Name],0)),"m/d/yyyy")),G279))</f>
        <v/>
      </c>
      <c r="F279" s="234" t="str" cm="1">
        <f t="array" ref="F279">IF(G279="","",IF(_xlfn.TEXTJOIN(", ",TRUE,IFERROR(_xlfn._xlws.FILTER(Table3[Holiday Name],(G279&gt;=Table3[start])*(G279&lt;=Table3[end])),"**No associated Holiday"))="","",_xlfn.TEXTJOIN(", ",TRUE,IFERROR(_xlfn._xlws.FILTER(Table3[Holiday Name],(G279&gt;=Table3[start])*(G279&lt;=Table3[end])),"**No associated Holiday"))))</f>
        <v/>
      </c>
      <c r="G279" s="36"/>
      <c r="I279" s="31"/>
    </row>
    <row r="280" spans="5:9" x14ac:dyDescent="0.35">
      <c r="E280" s="289" t="str" cm="1">
        <f t="array" ref="E280">IF(IFERROR(_xlfn.TEXTJOIN(", ",TRUE,TEXT(INDEX(Table3[Date],MATCH(_xlfn.FILTERXML("&lt;root&gt;&lt;item&gt;"&amp;SUBSTITUTE(F280,", ","&lt;/item&gt;&lt;item&gt;")&amp;"&lt;/item&gt;&lt;/root&gt;","//item"),Table3[Holiday Name],0)),"m/d/yyyy")),G280)="","",IFERROR(_xlfn.TEXTJOIN(", ",TRUE,TEXT(INDEX(Table3[Date],MATCH(_xlfn.FILTERXML("&lt;root&gt;&lt;item&gt;"&amp;SUBSTITUTE(F280,", ","&lt;/item&gt;&lt;item&gt;")&amp;"&lt;/item&gt;&lt;/root&gt;","//item"),Table3[Holiday Name],0)),"m/d/yyyy")),G280))</f>
        <v/>
      </c>
      <c r="F280" s="234" t="str" cm="1">
        <f t="array" ref="F280">IF(G280="","",IF(_xlfn.TEXTJOIN(", ",TRUE,IFERROR(_xlfn._xlws.FILTER(Table3[Holiday Name],(G280&gt;=Table3[start])*(G280&lt;=Table3[end])),"**No associated Holiday"))="","",_xlfn.TEXTJOIN(", ",TRUE,IFERROR(_xlfn._xlws.FILTER(Table3[Holiday Name],(G280&gt;=Table3[start])*(G280&lt;=Table3[end])),"**No associated Holiday"))))</f>
        <v/>
      </c>
      <c r="G280" s="36"/>
      <c r="I280" s="31"/>
    </row>
    <row r="281" spans="5:9" x14ac:dyDescent="0.35">
      <c r="E281" s="289" t="str" cm="1">
        <f t="array" ref="E281">IF(IFERROR(_xlfn.TEXTJOIN(", ",TRUE,TEXT(INDEX(Table3[Date],MATCH(_xlfn.FILTERXML("&lt;root&gt;&lt;item&gt;"&amp;SUBSTITUTE(F281,", ","&lt;/item&gt;&lt;item&gt;")&amp;"&lt;/item&gt;&lt;/root&gt;","//item"),Table3[Holiday Name],0)),"m/d/yyyy")),G281)="","",IFERROR(_xlfn.TEXTJOIN(", ",TRUE,TEXT(INDEX(Table3[Date],MATCH(_xlfn.FILTERXML("&lt;root&gt;&lt;item&gt;"&amp;SUBSTITUTE(F281,", ","&lt;/item&gt;&lt;item&gt;")&amp;"&lt;/item&gt;&lt;/root&gt;","//item"),Table3[Holiday Name],0)),"m/d/yyyy")),G281))</f>
        <v/>
      </c>
      <c r="F281" s="234" t="str" cm="1">
        <f t="array" ref="F281">IF(G281="","",IF(_xlfn.TEXTJOIN(", ",TRUE,IFERROR(_xlfn._xlws.FILTER(Table3[Holiday Name],(G281&gt;=Table3[start])*(G281&lt;=Table3[end])),"**No associated Holiday"))="","",_xlfn.TEXTJOIN(", ",TRUE,IFERROR(_xlfn._xlws.FILTER(Table3[Holiday Name],(G281&gt;=Table3[start])*(G281&lt;=Table3[end])),"**No associated Holiday"))))</f>
        <v/>
      </c>
      <c r="G281" s="36"/>
      <c r="I281" s="31"/>
    </row>
    <row r="282" spans="5:9" x14ac:dyDescent="0.35">
      <c r="E282" s="289" t="str" cm="1">
        <f t="array" ref="E282">IF(IFERROR(_xlfn.TEXTJOIN(", ",TRUE,TEXT(INDEX(Table3[Date],MATCH(_xlfn.FILTERXML("&lt;root&gt;&lt;item&gt;"&amp;SUBSTITUTE(F282,", ","&lt;/item&gt;&lt;item&gt;")&amp;"&lt;/item&gt;&lt;/root&gt;","//item"),Table3[Holiday Name],0)),"m/d/yyyy")),G282)="","",IFERROR(_xlfn.TEXTJOIN(", ",TRUE,TEXT(INDEX(Table3[Date],MATCH(_xlfn.FILTERXML("&lt;root&gt;&lt;item&gt;"&amp;SUBSTITUTE(F282,", ","&lt;/item&gt;&lt;item&gt;")&amp;"&lt;/item&gt;&lt;/root&gt;","//item"),Table3[Holiday Name],0)),"m/d/yyyy")),G282))</f>
        <v/>
      </c>
      <c r="F282" s="234" t="str" cm="1">
        <f t="array" ref="F282">IF(G282="","",IF(_xlfn.TEXTJOIN(", ",TRUE,IFERROR(_xlfn._xlws.FILTER(Table3[Holiday Name],(G282&gt;=Table3[start])*(G282&lt;=Table3[end])),"**No associated Holiday"))="","",_xlfn.TEXTJOIN(", ",TRUE,IFERROR(_xlfn._xlws.FILTER(Table3[Holiday Name],(G282&gt;=Table3[start])*(G282&lt;=Table3[end])),"**No associated Holiday"))))</f>
        <v/>
      </c>
      <c r="G282" s="36"/>
      <c r="I282" s="31"/>
    </row>
    <row r="283" spans="5:9" x14ac:dyDescent="0.35">
      <c r="E283" s="289" t="str" cm="1">
        <f t="array" ref="E283">IF(IFERROR(_xlfn.TEXTJOIN(", ",TRUE,TEXT(INDEX(Table3[Date],MATCH(_xlfn.FILTERXML("&lt;root&gt;&lt;item&gt;"&amp;SUBSTITUTE(F283,", ","&lt;/item&gt;&lt;item&gt;")&amp;"&lt;/item&gt;&lt;/root&gt;","//item"),Table3[Holiday Name],0)),"m/d/yyyy")),G283)="","",IFERROR(_xlfn.TEXTJOIN(", ",TRUE,TEXT(INDEX(Table3[Date],MATCH(_xlfn.FILTERXML("&lt;root&gt;&lt;item&gt;"&amp;SUBSTITUTE(F283,", ","&lt;/item&gt;&lt;item&gt;")&amp;"&lt;/item&gt;&lt;/root&gt;","//item"),Table3[Holiday Name],0)),"m/d/yyyy")),G283))</f>
        <v/>
      </c>
      <c r="F283" s="234" t="str" cm="1">
        <f t="array" ref="F283">IF(G283="","",IF(_xlfn.TEXTJOIN(", ",TRUE,IFERROR(_xlfn._xlws.FILTER(Table3[Holiday Name],(G283&gt;=Table3[start])*(G283&lt;=Table3[end])),"**No associated Holiday"))="","",_xlfn.TEXTJOIN(", ",TRUE,IFERROR(_xlfn._xlws.FILTER(Table3[Holiday Name],(G283&gt;=Table3[start])*(G283&lt;=Table3[end])),"**No associated Holiday"))))</f>
        <v/>
      </c>
      <c r="G283" s="36"/>
      <c r="I283" s="31"/>
    </row>
    <row r="284" spans="5:9" x14ac:dyDescent="0.35">
      <c r="E284" s="289" t="str" cm="1">
        <f t="array" ref="E284">IF(IFERROR(_xlfn.TEXTJOIN(", ",TRUE,TEXT(INDEX(Table3[Date],MATCH(_xlfn.FILTERXML("&lt;root&gt;&lt;item&gt;"&amp;SUBSTITUTE(F284,", ","&lt;/item&gt;&lt;item&gt;")&amp;"&lt;/item&gt;&lt;/root&gt;","//item"),Table3[Holiday Name],0)),"m/d/yyyy")),G284)="","",IFERROR(_xlfn.TEXTJOIN(", ",TRUE,TEXT(INDEX(Table3[Date],MATCH(_xlfn.FILTERXML("&lt;root&gt;&lt;item&gt;"&amp;SUBSTITUTE(F284,", ","&lt;/item&gt;&lt;item&gt;")&amp;"&lt;/item&gt;&lt;/root&gt;","//item"),Table3[Holiday Name],0)),"m/d/yyyy")),G284))</f>
        <v/>
      </c>
      <c r="F284" s="234" t="str" cm="1">
        <f t="array" ref="F284">IF(G284="","",IF(_xlfn.TEXTJOIN(", ",TRUE,IFERROR(_xlfn._xlws.FILTER(Table3[Holiday Name],(G284&gt;=Table3[start])*(G284&lt;=Table3[end])),"**No associated Holiday"))="","",_xlfn.TEXTJOIN(", ",TRUE,IFERROR(_xlfn._xlws.FILTER(Table3[Holiday Name],(G284&gt;=Table3[start])*(G284&lt;=Table3[end])),"**No associated Holiday"))))</f>
        <v/>
      </c>
      <c r="G284" s="36"/>
      <c r="I284" s="31"/>
    </row>
    <row r="285" spans="5:9" x14ac:dyDescent="0.35">
      <c r="E285" s="289" t="str" cm="1">
        <f t="array" ref="E285">IF(IFERROR(_xlfn.TEXTJOIN(", ",TRUE,TEXT(INDEX(Table3[Date],MATCH(_xlfn.FILTERXML("&lt;root&gt;&lt;item&gt;"&amp;SUBSTITUTE(F285,", ","&lt;/item&gt;&lt;item&gt;")&amp;"&lt;/item&gt;&lt;/root&gt;","//item"),Table3[Holiday Name],0)),"m/d/yyyy")),G285)="","",IFERROR(_xlfn.TEXTJOIN(", ",TRUE,TEXT(INDEX(Table3[Date],MATCH(_xlfn.FILTERXML("&lt;root&gt;&lt;item&gt;"&amp;SUBSTITUTE(F285,", ","&lt;/item&gt;&lt;item&gt;")&amp;"&lt;/item&gt;&lt;/root&gt;","//item"),Table3[Holiday Name],0)),"m/d/yyyy")),G285))</f>
        <v/>
      </c>
      <c r="F285" s="234" t="str" cm="1">
        <f t="array" ref="F285">IF(G285="","",IF(_xlfn.TEXTJOIN(", ",TRUE,IFERROR(_xlfn._xlws.FILTER(Table3[Holiday Name],(G285&gt;=Table3[start])*(G285&lt;=Table3[end])),"**No associated Holiday"))="","",_xlfn.TEXTJOIN(", ",TRUE,IFERROR(_xlfn._xlws.FILTER(Table3[Holiday Name],(G285&gt;=Table3[start])*(G285&lt;=Table3[end])),"**No associated Holiday"))))</f>
        <v/>
      </c>
      <c r="G285" s="36"/>
      <c r="I285" s="31"/>
    </row>
    <row r="286" spans="5:9" x14ac:dyDescent="0.35">
      <c r="E286" s="289" t="str" cm="1">
        <f t="array" ref="E286">IF(IFERROR(_xlfn.TEXTJOIN(", ",TRUE,TEXT(INDEX(Table3[Date],MATCH(_xlfn.FILTERXML("&lt;root&gt;&lt;item&gt;"&amp;SUBSTITUTE(F286,", ","&lt;/item&gt;&lt;item&gt;")&amp;"&lt;/item&gt;&lt;/root&gt;","//item"),Table3[Holiday Name],0)),"m/d/yyyy")),G286)="","",IFERROR(_xlfn.TEXTJOIN(", ",TRUE,TEXT(INDEX(Table3[Date],MATCH(_xlfn.FILTERXML("&lt;root&gt;&lt;item&gt;"&amp;SUBSTITUTE(F286,", ","&lt;/item&gt;&lt;item&gt;")&amp;"&lt;/item&gt;&lt;/root&gt;","//item"),Table3[Holiday Name],0)),"m/d/yyyy")),G286))</f>
        <v/>
      </c>
      <c r="F286" s="234" t="str" cm="1">
        <f t="array" ref="F286">IF(G286="","",IF(_xlfn.TEXTJOIN(", ",TRUE,IFERROR(_xlfn._xlws.FILTER(Table3[Holiday Name],(G286&gt;=Table3[start])*(G286&lt;=Table3[end])),"**No associated Holiday"))="","",_xlfn.TEXTJOIN(", ",TRUE,IFERROR(_xlfn._xlws.FILTER(Table3[Holiday Name],(G286&gt;=Table3[start])*(G286&lt;=Table3[end])),"**No associated Holiday"))))</f>
        <v/>
      </c>
      <c r="G286" s="36"/>
      <c r="I286" s="31"/>
    </row>
    <row r="287" spans="5:9" x14ac:dyDescent="0.35">
      <c r="E287" s="289" t="str" cm="1">
        <f t="array" ref="E287">IF(IFERROR(_xlfn.TEXTJOIN(", ",TRUE,TEXT(INDEX(Table3[Date],MATCH(_xlfn.FILTERXML("&lt;root&gt;&lt;item&gt;"&amp;SUBSTITUTE(F287,", ","&lt;/item&gt;&lt;item&gt;")&amp;"&lt;/item&gt;&lt;/root&gt;","//item"),Table3[Holiday Name],0)),"m/d/yyyy")),G287)="","",IFERROR(_xlfn.TEXTJOIN(", ",TRUE,TEXT(INDEX(Table3[Date],MATCH(_xlfn.FILTERXML("&lt;root&gt;&lt;item&gt;"&amp;SUBSTITUTE(F287,", ","&lt;/item&gt;&lt;item&gt;")&amp;"&lt;/item&gt;&lt;/root&gt;","//item"),Table3[Holiday Name],0)),"m/d/yyyy")),G287))</f>
        <v/>
      </c>
      <c r="F287" s="234" t="str" cm="1">
        <f t="array" ref="F287">IF(G287="","",IF(_xlfn.TEXTJOIN(", ",TRUE,IFERROR(_xlfn._xlws.FILTER(Table3[Holiday Name],(G287&gt;=Table3[start])*(G287&lt;=Table3[end])),"**No associated Holiday"))="","",_xlfn.TEXTJOIN(", ",TRUE,IFERROR(_xlfn._xlws.FILTER(Table3[Holiday Name],(G287&gt;=Table3[start])*(G287&lt;=Table3[end])),"**No associated Holiday"))))</f>
        <v/>
      </c>
      <c r="G287" s="36"/>
      <c r="I287" s="31"/>
    </row>
    <row r="288" spans="5:9" x14ac:dyDescent="0.35">
      <c r="E288" s="289" t="str" cm="1">
        <f t="array" ref="E288">IF(IFERROR(_xlfn.TEXTJOIN(", ",TRUE,TEXT(INDEX(Table3[Date],MATCH(_xlfn.FILTERXML("&lt;root&gt;&lt;item&gt;"&amp;SUBSTITUTE(F288,", ","&lt;/item&gt;&lt;item&gt;")&amp;"&lt;/item&gt;&lt;/root&gt;","//item"),Table3[Holiday Name],0)),"m/d/yyyy")),G288)="","",IFERROR(_xlfn.TEXTJOIN(", ",TRUE,TEXT(INDEX(Table3[Date],MATCH(_xlfn.FILTERXML("&lt;root&gt;&lt;item&gt;"&amp;SUBSTITUTE(F288,", ","&lt;/item&gt;&lt;item&gt;")&amp;"&lt;/item&gt;&lt;/root&gt;","//item"),Table3[Holiday Name],0)),"m/d/yyyy")),G288))</f>
        <v/>
      </c>
      <c r="F288" s="234" t="str" cm="1">
        <f t="array" ref="F288">IF(G288="","",IF(_xlfn.TEXTJOIN(", ",TRUE,IFERROR(_xlfn._xlws.FILTER(Table3[Holiday Name],(G288&gt;=Table3[start])*(G288&lt;=Table3[end])),"**No associated Holiday"))="","",_xlfn.TEXTJOIN(", ",TRUE,IFERROR(_xlfn._xlws.FILTER(Table3[Holiday Name],(G288&gt;=Table3[start])*(G288&lt;=Table3[end])),"**No associated Holiday"))))</f>
        <v/>
      </c>
      <c r="G288" s="36"/>
      <c r="I288" s="31"/>
    </row>
    <row r="289" spans="5:9" x14ac:dyDescent="0.35">
      <c r="E289" s="289" t="str" cm="1">
        <f t="array" ref="E289">IF(IFERROR(_xlfn.TEXTJOIN(", ",TRUE,TEXT(INDEX(Table3[Date],MATCH(_xlfn.FILTERXML("&lt;root&gt;&lt;item&gt;"&amp;SUBSTITUTE(F289,", ","&lt;/item&gt;&lt;item&gt;")&amp;"&lt;/item&gt;&lt;/root&gt;","//item"),Table3[Holiday Name],0)),"m/d/yyyy")),G289)="","",IFERROR(_xlfn.TEXTJOIN(", ",TRUE,TEXT(INDEX(Table3[Date],MATCH(_xlfn.FILTERXML("&lt;root&gt;&lt;item&gt;"&amp;SUBSTITUTE(F289,", ","&lt;/item&gt;&lt;item&gt;")&amp;"&lt;/item&gt;&lt;/root&gt;","//item"),Table3[Holiday Name],0)),"m/d/yyyy")),G289))</f>
        <v/>
      </c>
      <c r="F289" s="234" t="str" cm="1">
        <f t="array" ref="F289">IF(G289="","",IF(_xlfn.TEXTJOIN(", ",TRUE,IFERROR(_xlfn._xlws.FILTER(Table3[Holiday Name],(G289&gt;=Table3[start])*(G289&lt;=Table3[end])),"**No associated Holiday"))="","",_xlfn.TEXTJOIN(", ",TRUE,IFERROR(_xlfn._xlws.FILTER(Table3[Holiday Name],(G289&gt;=Table3[start])*(G289&lt;=Table3[end])),"**No associated Holiday"))))</f>
        <v/>
      </c>
      <c r="G289" s="36"/>
      <c r="I289" s="31"/>
    </row>
    <row r="290" spans="5:9" x14ac:dyDescent="0.35">
      <c r="E290" s="289" t="str" cm="1">
        <f t="array" ref="E290">IF(IFERROR(_xlfn.TEXTJOIN(", ",TRUE,TEXT(INDEX(Table3[Date],MATCH(_xlfn.FILTERXML("&lt;root&gt;&lt;item&gt;"&amp;SUBSTITUTE(F290,", ","&lt;/item&gt;&lt;item&gt;")&amp;"&lt;/item&gt;&lt;/root&gt;","//item"),Table3[Holiday Name],0)),"m/d/yyyy")),G290)="","",IFERROR(_xlfn.TEXTJOIN(", ",TRUE,TEXT(INDEX(Table3[Date],MATCH(_xlfn.FILTERXML("&lt;root&gt;&lt;item&gt;"&amp;SUBSTITUTE(F290,", ","&lt;/item&gt;&lt;item&gt;")&amp;"&lt;/item&gt;&lt;/root&gt;","//item"),Table3[Holiday Name],0)),"m/d/yyyy")),G290))</f>
        <v/>
      </c>
      <c r="F290" s="234" t="str" cm="1">
        <f t="array" ref="F290">IF(G290="","",IF(_xlfn.TEXTJOIN(", ",TRUE,IFERROR(_xlfn._xlws.FILTER(Table3[Holiday Name],(G290&gt;=Table3[start])*(G290&lt;=Table3[end])),"**No associated Holiday"))="","",_xlfn.TEXTJOIN(", ",TRUE,IFERROR(_xlfn._xlws.FILTER(Table3[Holiday Name],(G290&gt;=Table3[start])*(G290&lt;=Table3[end])),"**No associated Holiday"))))</f>
        <v/>
      </c>
      <c r="G290" s="36"/>
      <c r="I290" s="31"/>
    </row>
    <row r="291" spans="5:9" x14ac:dyDescent="0.35">
      <c r="E291" s="289" t="str" cm="1">
        <f t="array" ref="E291">IF(IFERROR(_xlfn.TEXTJOIN(", ",TRUE,TEXT(INDEX(Table3[Date],MATCH(_xlfn.FILTERXML("&lt;root&gt;&lt;item&gt;"&amp;SUBSTITUTE(F291,", ","&lt;/item&gt;&lt;item&gt;")&amp;"&lt;/item&gt;&lt;/root&gt;","//item"),Table3[Holiday Name],0)),"m/d/yyyy")),G291)="","",IFERROR(_xlfn.TEXTJOIN(", ",TRUE,TEXT(INDEX(Table3[Date],MATCH(_xlfn.FILTERXML("&lt;root&gt;&lt;item&gt;"&amp;SUBSTITUTE(F291,", ","&lt;/item&gt;&lt;item&gt;")&amp;"&lt;/item&gt;&lt;/root&gt;","//item"),Table3[Holiday Name],0)),"m/d/yyyy")),G291))</f>
        <v/>
      </c>
      <c r="F291" s="234" t="str" cm="1">
        <f t="array" ref="F291">IF(G291="","",IF(_xlfn.TEXTJOIN(", ",TRUE,IFERROR(_xlfn._xlws.FILTER(Table3[Holiday Name],(G291&gt;=Table3[start])*(G291&lt;=Table3[end])),"**No associated Holiday"))="","",_xlfn.TEXTJOIN(", ",TRUE,IFERROR(_xlfn._xlws.FILTER(Table3[Holiday Name],(G291&gt;=Table3[start])*(G291&lt;=Table3[end])),"**No associated Holiday"))))</f>
        <v/>
      </c>
      <c r="G291" s="36"/>
      <c r="I291" s="31"/>
    </row>
    <row r="292" spans="5:9" x14ac:dyDescent="0.35">
      <c r="E292" s="289" t="str" cm="1">
        <f t="array" ref="E292">IF(IFERROR(_xlfn.TEXTJOIN(", ",TRUE,TEXT(INDEX(Table3[Date],MATCH(_xlfn.FILTERXML("&lt;root&gt;&lt;item&gt;"&amp;SUBSTITUTE(F292,", ","&lt;/item&gt;&lt;item&gt;")&amp;"&lt;/item&gt;&lt;/root&gt;","//item"),Table3[Holiday Name],0)),"m/d/yyyy")),G292)="","",IFERROR(_xlfn.TEXTJOIN(", ",TRUE,TEXT(INDEX(Table3[Date],MATCH(_xlfn.FILTERXML("&lt;root&gt;&lt;item&gt;"&amp;SUBSTITUTE(F292,", ","&lt;/item&gt;&lt;item&gt;")&amp;"&lt;/item&gt;&lt;/root&gt;","//item"),Table3[Holiday Name],0)),"m/d/yyyy")),G292))</f>
        <v/>
      </c>
      <c r="F292" s="234" t="str" cm="1">
        <f t="array" ref="F292">IF(G292="","",IF(_xlfn.TEXTJOIN(", ",TRUE,IFERROR(_xlfn._xlws.FILTER(Table3[Holiday Name],(G292&gt;=Table3[start])*(G292&lt;=Table3[end])),"**No associated Holiday"))="","",_xlfn.TEXTJOIN(", ",TRUE,IFERROR(_xlfn._xlws.FILTER(Table3[Holiday Name],(G292&gt;=Table3[start])*(G292&lt;=Table3[end])),"**No associated Holiday"))))</f>
        <v/>
      </c>
      <c r="G292" s="36"/>
      <c r="I292" s="31"/>
    </row>
    <row r="293" spans="5:9" x14ac:dyDescent="0.35">
      <c r="E293" s="289" t="str" cm="1">
        <f t="array" ref="E293">IF(IFERROR(_xlfn.TEXTJOIN(", ",TRUE,TEXT(INDEX(Table3[Date],MATCH(_xlfn.FILTERXML("&lt;root&gt;&lt;item&gt;"&amp;SUBSTITUTE(F293,", ","&lt;/item&gt;&lt;item&gt;")&amp;"&lt;/item&gt;&lt;/root&gt;","//item"),Table3[Holiday Name],0)),"m/d/yyyy")),G293)="","",IFERROR(_xlfn.TEXTJOIN(", ",TRUE,TEXT(INDEX(Table3[Date],MATCH(_xlfn.FILTERXML("&lt;root&gt;&lt;item&gt;"&amp;SUBSTITUTE(F293,", ","&lt;/item&gt;&lt;item&gt;")&amp;"&lt;/item&gt;&lt;/root&gt;","//item"),Table3[Holiday Name],0)),"m/d/yyyy")),G293))</f>
        <v/>
      </c>
      <c r="F293" s="234" t="str" cm="1">
        <f t="array" ref="F293">IF(G293="","",IF(_xlfn.TEXTJOIN(", ",TRUE,IFERROR(_xlfn._xlws.FILTER(Table3[Holiday Name],(G293&gt;=Table3[start])*(G293&lt;=Table3[end])),"**No associated Holiday"))="","",_xlfn.TEXTJOIN(", ",TRUE,IFERROR(_xlfn._xlws.FILTER(Table3[Holiday Name],(G293&gt;=Table3[start])*(G293&lt;=Table3[end])),"**No associated Holiday"))))</f>
        <v/>
      </c>
      <c r="G293" s="36"/>
      <c r="I293" s="31"/>
    </row>
    <row r="294" spans="5:9" x14ac:dyDescent="0.35">
      <c r="E294" s="289" t="str" cm="1">
        <f t="array" ref="E294">IF(IFERROR(_xlfn.TEXTJOIN(", ",TRUE,TEXT(INDEX(Table3[Date],MATCH(_xlfn.FILTERXML("&lt;root&gt;&lt;item&gt;"&amp;SUBSTITUTE(F294,", ","&lt;/item&gt;&lt;item&gt;")&amp;"&lt;/item&gt;&lt;/root&gt;","//item"),Table3[Holiday Name],0)),"m/d/yyyy")),G294)="","",IFERROR(_xlfn.TEXTJOIN(", ",TRUE,TEXT(INDEX(Table3[Date],MATCH(_xlfn.FILTERXML("&lt;root&gt;&lt;item&gt;"&amp;SUBSTITUTE(F294,", ","&lt;/item&gt;&lt;item&gt;")&amp;"&lt;/item&gt;&lt;/root&gt;","//item"),Table3[Holiday Name],0)),"m/d/yyyy")),G294))</f>
        <v/>
      </c>
      <c r="F294" s="234" t="str" cm="1">
        <f t="array" ref="F294">IF(G294="","",IF(_xlfn.TEXTJOIN(", ",TRUE,IFERROR(_xlfn._xlws.FILTER(Table3[Holiday Name],(G294&gt;=Table3[start])*(G294&lt;=Table3[end])),"**No associated Holiday"))="","",_xlfn.TEXTJOIN(", ",TRUE,IFERROR(_xlfn._xlws.FILTER(Table3[Holiday Name],(G294&gt;=Table3[start])*(G294&lt;=Table3[end])),"**No associated Holiday"))))</f>
        <v/>
      </c>
      <c r="G294" s="36"/>
      <c r="I294" s="31"/>
    </row>
    <row r="295" spans="5:9" x14ac:dyDescent="0.35">
      <c r="E295" s="289" t="str" cm="1">
        <f t="array" ref="E295">IF(IFERROR(_xlfn.TEXTJOIN(", ",TRUE,TEXT(INDEX(Table3[Date],MATCH(_xlfn.FILTERXML("&lt;root&gt;&lt;item&gt;"&amp;SUBSTITUTE(F295,", ","&lt;/item&gt;&lt;item&gt;")&amp;"&lt;/item&gt;&lt;/root&gt;","//item"),Table3[Holiday Name],0)),"m/d/yyyy")),G295)="","",IFERROR(_xlfn.TEXTJOIN(", ",TRUE,TEXT(INDEX(Table3[Date],MATCH(_xlfn.FILTERXML("&lt;root&gt;&lt;item&gt;"&amp;SUBSTITUTE(F295,", ","&lt;/item&gt;&lt;item&gt;")&amp;"&lt;/item&gt;&lt;/root&gt;","//item"),Table3[Holiday Name],0)),"m/d/yyyy")),G295))</f>
        <v/>
      </c>
      <c r="F295" s="234" t="str" cm="1">
        <f t="array" ref="F295">IF(G295="","",IF(_xlfn.TEXTJOIN(", ",TRUE,IFERROR(_xlfn._xlws.FILTER(Table3[Holiday Name],(G295&gt;=Table3[start])*(G295&lt;=Table3[end])),"**No associated Holiday"))="","",_xlfn.TEXTJOIN(", ",TRUE,IFERROR(_xlfn._xlws.FILTER(Table3[Holiday Name],(G295&gt;=Table3[start])*(G295&lt;=Table3[end])),"**No associated Holiday"))))</f>
        <v/>
      </c>
      <c r="G295" s="36"/>
      <c r="I295" s="31"/>
    </row>
    <row r="296" spans="5:9" x14ac:dyDescent="0.35">
      <c r="E296" s="289" t="str" cm="1">
        <f t="array" ref="E296">IF(IFERROR(_xlfn.TEXTJOIN(", ",TRUE,TEXT(INDEX(Table3[Date],MATCH(_xlfn.FILTERXML("&lt;root&gt;&lt;item&gt;"&amp;SUBSTITUTE(F296,", ","&lt;/item&gt;&lt;item&gt;")&amp;"&lt;/item&gt;&lt;/root&gt;","//item"),Table3[Holiday Name],0)),"m/d/yyyy")),G296)="","",IFERROR(_xlfn.TEXTJOIN(", ",TRUE,TEXT(INDEX(Table3[Date],MATCH(_xlfn.FILTERXML("&lt;root&gt;&lt;item&gt;"&amp;SUBSTITUTE(F296,", ","&lt;/item&gt;&lt;item&gt;")&amp;"&lt;/item&gt;&lt;/root&gt;","//item"),Table3[Holiday Name],0)),"m/d/yyyy")),G296))</f>
        <v/>
      </c>
      <c r="F296" s="234" t="str" cm="1">
        <f t="array" ref="F296">IF(G296="","",IF(_xlfn.TEXTJOIN(", ",TRUE,IFERROR(_xlfn._xlws.FILTER(Table3[Holiday Name],(G296&gt;=Table3[start])*(G296&lt;=Table3[end])),"**No associated Holiday"))="","",_xlfn.TEXTJOIN(", ",TRUE,IFERROR(_xlfn._xlws.FILTER(Table3[Holiday Name],(G296&gt;=Table3[start])*(G296&lt;=Table3[end])),"**No associated Holiday"))))</f>
        <v/>
      </c>
      <c r="G296" s="36"/>
      <c r="I296" s="31"/>
    </row>
    <row r="297" spans="5:9" x14ac:dyDescent="0.35">
      <c r="E297" s="289" t="str" cm="1">
        <f t="array" ref="E297">IF(IFERROR(_xlfn.TEXTJOIN(", ",TRUE,TEXT(INDEX(Table3[Date],MATCH(_xlfn.FILTERXML("&lt;root&gt;&lt;item&gt;"&amp;SUBSTITUTE(F297,", ","&lt;/item&gt;&lt;item&gt;")&amp;"&lt;/item&gt;&lt;/root&gt;","//item"),Table3[Holiday Name],0)),"m/d/yyyy")),G297)="","",IFERROR(_xlfn.TEXTJOIN(", ",TRUE,TEXT(INDEX(Table3[Date],MATCH(_xlfn.FILTERXML("&lt;root&gt;&lt;item&gt;"&amp;SUBSTITUTE(F297,", ","&lt;/item&gt;&lt;item&gt;")&amp;"&lt;/item&gt;&lt;/root&gt;","//item"),Table3[Holiday Name],0)),"m/d/yyyy")),G297))</f>
        <v/>
      </c>
      <c r="F297" s="234" t="str" cm="1">
        <f t="array" ref="F297">IF(G297="","",IF(_xlfn.TEXTJOIN(", ",TRUE,IFERROR(_xlfn._xlws.FILTER(Table3[Holiday Name],(G297&gt;=Table3[start])*(G297&lt;=Table3[end])),"**No associated Holiday"))="","",_xlfn.TEXTJOIN(", ",TRUE,IFERROR(_xlfn._xlws.FILTER(Table3[Holiday Name],(G297&gt;=Table3[start])*(G297&lt;=Table3[end])),"**No associated Holiday"))))</f>
        <v/>
      </c>
      <c r="G297" s="36"/>
    </row>
    <row r="298" spans="5:9" x14ac:dyDescent="0.35">
      <c r="E298" s="289" t="str" cm="1">
        <f t="array" ref="E298">IF(IFERROR(_xlfn.TEXTJOIN(", ",TRUE,TEXT(INDEX(Table3[Date],MATCH(_xlfn.FILTERXML("&lt;root&gt;&lt;item&gt;"&amp;SUBSTITUTE(F298,", ","&lt;/item&gt;&lt;item&gt;")&amp;"&lt;/item&gt;&lt;/root&gt;","//item"),Table3[Holiday Name],0)),"m/d/yyyy")),G298)="","",IFERROR(_xlfn.TEXTJOIN(", ",TRUE,TEXT(INDEX(Table3[Date],MATCH(_xlfn.FILTERXML("&lt;root&gt;&lt;item&gt;"&amp;SUBSTITUTE(F298,", ","&lt;/item&gt;&lt;item&gt;")&amp;"&lt;/item&gt;&lt;/root&gt;","//item"),Table3[Holiday Name],0)),"m/d/yyyy")),G298))</f>
        <v/>
      </c>
      <c r="F298" s="234" t="str" cm="1">
        <f t="array" ref="F298">IF(G298="","",IF(_xlfn.TEXTJOIN(", ",TRUE,IFERROR(_xlfn._xlws.FILTER(Table3[Holiday Name],(G298&gt;=Table3[start])*(G298&lt;=Table3[end])),"**No associated Holiday"))="","",_xlfn.TEXTJOIN(", ",TRUE,IFERROR(_xlfn._xlws.FILTER(Table3[Holiday Name],(G298&gt;=Table3[start])*(G298&lt;=Table3[end])),"**No associated Holiday"))))</f>
        <v/>
      </c>
      <c r="G298" s="36"/>
    </row>
    <row r="299" spans="5:9" x14ac:dyDescent="0.35">
      <c r="E299" s="289" t="str" cm="1">
        <f t="array" ref="E299">IF(IFERROR(_xlfn.TEXTJOIN(", ",TRUE,TEXT(INDEX(Table3[Date],MATCH(_xlfn.FILTERXML("&lt;root&gt;&lt;item&gt;"&amp;SUBSTITUTE(F299,", ","&lt;/item&gt;&lt;item&gt;")&amp;"&lt;/item&gt;&lt;/root&gt;","//item"),Table3[Holiday Name],0)),"m/d/yyyy")),G299)="","",IFERROR(_xlfn.TEXTJOIN(", ",TRUE,TEXT(INDEX(Table3[Date],MATCH(_xlfn.FILTERXML("&lt;root&gt;&lt;item&gt;"&amp;SUBSTITUTE(F299,", ","&lt;/item&gt;&lt;item&gt;")&amp;"&lt;/item&gt;&lt;/root&gt;","//item"),Table3[Holiday Name],0)),"m/d/yyyy")),G299))</f>
        <v/>
      </c>
      <c r="F299" s="234" t="str" cm="1">
        <f t="array" ref="F299">IF(G299="","",IF(_xlfn.TEXTJOIN(", ",TRUE,IFERROR(_xlfn._xlws.FILTER(Table3[Holiday Name],(G299&gt;=Table3[start])*(G299&lt;=Table3[end])),"**No associated Holiday"))="","",_xlfn.TEXTJOIN(", ",TRUE,IFERROR(_xlfn._xlws.FILTER(Table3[Holiday Name],(G299&gt;=Table3[start])*(G299&lt;=Table3[end])),"**No associated Holiday"))))</f>
        <v/>
      </c>
      <c r="G299" s="36"/>
    </row>
    <row r="300" spans="5:9" x14ac:dyDescent="0.35">
      <c r="E300" s="289" t="str" cm="1">
        <f t="array" ref="E300">IF(IFERROR(_xlfn.TEXTJOIN(", ",TRUE,TEXT(INDEX(Table3[Date],MATCH(_xlfn.FILTERXML("&lt;root&gt;&lt;item&gt;"&amp;SUBSTITUTE(F300,", ","&lt;/item&gt;&lt;item&gt;")&amp;"&lt;/item&gt;&lt;/root&gt;","//item"),Table3[Holiday Name],0)),"m/d/yyyy")),G300)="","",IFERROR(_xlfn.TEXTJOIN(", ",TRUE,TEXT(INDEX(Table3[Date],MATCH(_xlfn.FILTERXML("&lt;root&gt;&lt;item&gt;"&amp;SUBSTITUTE(F300,", ","&lt;/item&gt;&lt;item&gt;")&amp;"&lt;/item&gt;&lt;/root&gt;","//item"),Table3[Holiday Name],0)),"m/d/yyyy")),G300))</f>
        <v/>
      </c>
      <c r="F300" s="234" t="str" cm="1">
        <f t="array" ref="F300">IF(G300="","",IF(_xlfn.TEXTJOIN(", ",TRUE,IFERROR(_xlfn._xlws.FILTER(Table3[Holiday Name],(G300&gt;=Table3[start])*(G300&lt;=Table3[end])),"**No associated Holiday"))="","",_xlfn.TEXTJOIN(", ",TRUE,IFERROR(_xlfn._xlws.FILTER(Table3[Holiday Name],(G300&gt;=Table3[start])*(G300&lt;=Table3[end])),"**No associated Holiday"))))</f>
        <v/>
      </c>
      <c r="G300" s="36"/>
    </row>
    <row r="301" spans="5:9" x14ac:dyDescent="0.35">
      <c r="E301" s="289" t="str" cm="1">
        <f t="array" ref="E301">IF(IFERROR(_xlfn.TEXTJOIN(", ",TRUE,TEXT(INDEX(Table3[Date],MATCH(_xlfn.FILTERXML("&lt;root&gt;&lt;item&gt;"&amp;SUBSTITUTE(F301,", ","&lt;/item&gt;&lt;item&gt;")&amp;"&lt;/item&gt;&lt;/root&gt;","//item"),Table3[Holiday Name],0)),"m/d/yyyy")),G301)="","",IFERROR(_xlfn.TEXTJOIN(", ",TRUE,TEXT(INDEX(Table3[Date],MATCH(_xlfn.FILTERXML("&lt;root&gt;&lt;item&gt;"&amp;SUBSTITUTE(F301,", ","&lt;/item&gt;&lt;item&gt;")&amp;"&lt;/item&gt;&lt;/root&gt;","//item"),Table3[Holiday Name],0)),"m/d/yyyy")),G301))</f>
        <v/>
      </c>
      <c r="F301" s="234" t="str" cm="1">
        <f t="array" ref="F301">IF(G301="","",IF(_xlfn.TEXTJOIN(", ",TRUE,IFERROR(_xlfn._xlws.FILTER(Table3[Holiday Name],(G301&gt;=Table3[start])*(G301&lt;=Table3[end])),"**No associated Holiday"))="","",_xlfn.TEXTJOIN(", ",TRUE,IFERROR(_xlfn._xlws.FILTER(Table3[Holiday Name],(G301&gt;=Table3[start])*(G301&lt;=Table3[end])),"**No associated Holiday"))))</f>
        <v/>
      </c>
      <c r="G301" s="36"/>
    </row>
    <row r="302" spans="5:9" x14ac:dyDescent="0.35">
      <c r="E302" s="289" t="str" cm="1">
        <f t="array" ref="E302">IF(IFERROR(_xlfn.TEXTJOIN(", ",TRUE,TEXT(INDEX(Table3[Date],MATCH(_xlfn.FILTERXML("&lt;root&gt;&lt;item&gt;"&amp;SUBSTITUTE(F302,", ","&lt;/item&gt;&lt;item&gt;")&amp;"&lt;/item&gt;&lt;/root&gt;","//item"),Table3[Holiday Name],0)),"m/d/yyyy")),G302)="","",IFERROR(_xlfn.TEXTJOIN(", ",TRUE,TEXT(INDEX(Table3[Date],MATCH(_xlfn.FILTERXML("&lt;root&gt;&lt;item&gt;"&amp;SUBSTITUTE(F302,", ","&lt;/item&gt;&lt;item&gt;")&amp;"&lt;/item&gt;&lt;/root&gt;","//item"),Table3[Holiday Name],0)),"m/d/yyyy")),G302))</f>
        <v/>
      </c>
      <c r="F302" s="234" t="str" cm="1">
        <f t="array" ref="F302">IF(G302="","",IF(_xlfn.TEXTJOIN(", ",TRUE,IFERROR(_xlfn._xlws.FILTER(Table3[Holiday Name],(G302&gt;=Table3[start])*(G302&lt;=Table3[end])),"**No associated Holiday"))="","",_xlfn.TEXTJOIN(", ",TRUE,IFERROR(_xlfn._xlws.FILTER(Table3[Holiday Name],(G302&gt;=Table3[start])*(G302&lt;=Table3[end])),"**No associated Holiday"))))</f>
        <v/>
      </c>
      <c r="G302" s="36"/>
    </row>
    <row r="303" spans="5:9" x14ac:dyDescent="0.35">
      <c r="E303" s="289" t="str" cm="1">
        <f t="array" ref="E303">IF(IFERROR(_xlfn.TEXTJOIN(", ",TRUE,TEXT(INDEX(Table3[Date],MATCH(_xlfn.FILTERXML("&lt;root&gt;&lt;item&gt;"&amp;SUBSTITUTE(F303,", ","&lt;/item&gt;&lt;item&gt;")&amp;"&lt;/item&gt;&lt;/root&gt;","//item"),Table3[Holiday Name],0)),"m/d/yyyy")),G303)="","",IFERROR(_xlfn.TEXTJOIN(", ",TRUE,TEXT(INDEX(Table3[Date],MATCH(_xlfn.FILTERXML("&lt;root&gt;&lt;item&gt;"&amp;SUBSTITUTE(F303,", ","&lt;/item&gt;&lt;item&gt;")&amp;"&lt;/item&gt;&lt;/root&gt;","//item"),Table3[Holiday Name],0)),"m/d/yyyy")),G303))</f>
        <v/>
      </c>
      <c r="F303" s="234" t="str" cm="1">
        <f t="array" ref="F303">IF(G303="","",IF(_xlfn.TEXTJOIN(", ",TRUE,IFERROR(_xlfn._xlws.FILTER(Table3[Holiday Name],(G303&gt;=Table3[start])*(G303&lt;=Table3[end])),"**No associated Holiday"))="","",_xlfn.TEXTJOIN(", ",TRUE,IFERROR(_xlfn._xlws.FILTER(Table3[Holiday Name],(G303&gt;=Table3[start])*(G303&lt;=Table3[end])),"**No associated Holiday"))))</f>
        <v/>
      </c>
      <c r="G303" s="36"/>
    </row>
    <row r="304" spans="5:9" x14ac:dyDescent="0.35">
      <c r="E304" s="289" t="str" cm="1">
        <f t="array" ref="E304">IF(IFERROR(_xlfn.TEXTJOIN(", ",TRUE,TEXT(INDEX(Table3[Date],MATCH(_xlfn.FILTERXML("&lt;root&gt;&lt;item&gt;"&amp;SUBSTITUTE(F304,", ","&lt;/item&gt;&lt;item&gt;")&amp;"&lt;/item&gt;&lt;/root&gt;","//item"),Table3[Holiday Name],0)),"m/d/yyyy")),G304)="","",IFERROR(_xlfn.TEXTJOIN(", ",TRUE,TEXT(INDEX(Table3[Date],MATCH(_xlfn.FILTERXML("&lt;root&gt;&lt;item&gt;"&amp;SUBSTITUTE(F304,", ","&lt;/item&gt;&lt;item&gt;")&amp;"&lt;/item&gt;&lt;/root&gt;","//item"),Table3[Holiday Name],0)),"m/d/yyyy")),G304))</f>
        <v/>
      </c>
      <c r="F304" s="234" t="str" cm="1">
        <f t="array" ref="F304">IF(G304="","",IF(_xlfn.TEXTJOIN(", ",TRUE,IFERROR(_xlfn._xlws.FILTER(Table3[Holiday Name],(G304&gt;=Table3[start])*(G304&lt;=Table3[end])),"**No associated Holiday"))="","",_xlfn.TEXTJOIN(", ",TRUE,IFERROR(_xlfn._xlws.FILTER(Table3[Holiday Name],(G304&gt;=Table3[start])*(G304&lt;=Table3[end])),"**No associated Holiday"))))</f>
        <v/>
      </c>
      <c r="G304" s="36"/>
    </row>
    <row r="305" spans="5:7" x14ac:dyDescent="0.35">
      <c r="E305" s="289" t="str" cm="1">
        <f t="array" ref="E305">IF(IFERROR(_xlfn.TEXTJOIN(", ",TRUE,TEXT(INDEX(Table3[Date],MATCH(_xlfn.FILTERXML("&lt;root&gt;&lt;item&gt;"&amp;SUBSTITUTE(F305,", ","&lt;/item&gt;&lt;item&gt;")&amp;"&lt;/item&gt;&lt;/root&gt;","//item"),Table3[Holiday Name],0)),"m/d/yyyy")),G305)="","",IFERROR(_xlfn.TEXTJOIN(", ",TRUE,TEXT(INDEX(Table3[Date],MATCH(_xlfn.FILTERXML("&lt;root&gt;&lt;item&gt;"&amp;SUBSTITUTE(F305,", ","&lt;/item&gt;&lt;item&gt;")&amp;"&lt;/item&gt;&lt;/root&gt;","//item"),Table3[Holiday Name],0)),"m/d/yyyy")),G305))</f>
        <v/>
      </c>
      <c r="F305" s="234" t="str" cm="1">
        <f t="array" ref="F305">IF(G305="","",IF(_xlfn.TEXTJOIN(", ",TRUE,IFERROR(_xlfn._xlws.FILTER(Table3[Holiday Name],(G305&gt;=Table3[start])*(G305&lt;=Table3[end])),"**No associated Holiday"))="","",_xlfn.TEXTJOIN(", ",TRUE,IFERROR(_xlfn._xlws.FILTER(Table3[Holiday Name],(G305&gt;=Table3[start])*(G305&lt;=Table3[end])),"**No associated Holiday"))))</f>
        <v/>
      </c>
      <c r="G305" s="36"/>
    </row>
    <row r="306" spans="5:7" x14ac:dyDescent="0.35">
      <c r="E306" s="289" t="str" cm="1">
        <f t="array" ref="E306">IF(IFERROR(_xlfn.TEXTJOIN(", ",TRUE,TEXT(INDEX(Table3[Date],MATCH(_xlfn.FILTERXML("&lt;root&gt;&lt;item&gt;"&amp;SUBSTITUTE(F306,", ","&lt;/item&gt;&lt;item&gt;")&amp;"&lt;/item&gt;&lt;/root&gt;","//item"),Table3[Holiday Name],0)),"m/d/yyyy")),G306)="","",IFERROR(_xlfn.TEXTJOIN(", ",TRUE,TEXT(INDEX(Table3[Date],MATCH(_xlfn.FILTERXML("&lt;root&gt;&lt;item&gt;"&amp;SUBSTITUTE(F306,", ","&lt;/item&gt;&lt;item&gt;")&amp;"&lt;/item&gt;&lt;/root&gt;","//item"),Table3[Holiday Name],0)),"m/d/yyyy")),G306))</f>
        <v/>
      </c>
      <c r="F306" s="234" t="str" cm="1">
        <f t="array" ref="F306">IF(G306="","",IF(_xlfn.TEXTJOIN(", ",TRUE,IFERROR(_xlfn._xlws.FILTER(Table3[Holiday Name],(G306&gt;=Table3[start])*(G306&lt;=Table3[end])),"**No associated Holiday"))="","",_xlfn.TEXTJOIN(", ",TRUE,IFERROR(_xlfn._xlws.FILTER(Table3[Holiday Name],(G306&gt;=Table3[start])*(G306&lt;=Table3[end])),"**No associated Holiday"))))</f>
        <v/>
      </c>
      <c r="G306" s="36"/>
    </row>
    <row r="307" spans="5:7" x14ac:dyDescent="0.35">
      <c r="E307" s="289" t="str" cm="1">
        <f t="array" ref="E307">IF(IFERROR(_xlfn.TEXTJOIN(", ",TRUE,TEXT(INDEX(Table3[Date],MATCH(_xlfn.FILTERXML("&lt;root&gt;&lt;item&gt;"&amp;SUBSTITUTE(F307,", ","&lt;/item&gt;&lt;item&gt;")&amp;"&lt;/item&gt;&lt;/root&gt;","//item"),Table3[Holiday Name],0)),"m/d/yyyy")),G307)="","",IFERROR(_xlfn.TEXTJOIN(", ",TRUE,TEXT(INDEX(Table3[Date],MATCH(_xlfn.FILTERXML("&lt;root&gt;&lt;item&gt;"&amp;SUBSTITUTE(F307,", ","&lt;/item&gt;&lt;item&gt;")&amp;"&lt;/item&gt;&lt;/root&gt;","//item"),Table3[Holiday Name],0)),"m/d/yyyy")),G307))</f>
        <v/>
      </c>
      <c r="F307" s="234" t="str" cm="1">
        <f t="array" ref="F307">IF(G307="","",IF(_xlfn.TEXTJOIN(", ",TRUE,IFERROR(_xlfn._xlws.FILTER(Table3[Holiday Name],(G307&gt;=Table3[start])*(G307&lt;=Table3[end])),"**No associated Holiday"))="","",_xlfn.TEXTJOIN(", ",TRUE,IFERROR(_xlfn._xlws.FILTER(Table3[Holiday Name],(G307&gt;=Table3[start])*(G307&lt;=Table3[end])),"**No associated Holiday"))))</f>
        <v/>
      </c>
      <c r="G307" s="36"/>
    </row>
    <row r="308" spans="5:7" x14ac:dyDescent="0.35">
      <c r="E308" s="289" t="str" cm="1">
        <f t="array" ref="E308">IF(IFERROR(_xlfn.TEXTJOIN(", ",TRUE,TEXT(INDEX(Table3[Date],MATCH(_xlfn.FILTERXML("&lt;root&gt;&lt;item&gt;"&amp;SUBSTITUTE(F308,", ","&lt;/item&gt;&lt;item&gt;")&amp;"&lt;/item&gt;&lt;/root&gt;","//item"),Table3[Holiday Name],0)),"m/d/yyyy")),G308)="","",IFERROR(_xlfn.TEXTJOIN(", ",TRUE,TEXT(INDEX(Table3[Date],MATCH(_xlfn.FILTERXML("&lt;root&gt;&lt;item&gt;"&amp;SUBSTITUTE(F308,", ","&lt;/item&gt;&lt;item&gt;")&amp;"&lt;/item&gt;&lt;/root&gt;","//item"),Table3[Holiday Name],0)),"m/d/yyyy")),G308))</f>
        <v/>
      </c>
      <c r="F308" s="234" t="str" cm="1">
        <f t="array" ref="F308">IF(G308="","",IF(_xlfn.TEXTJOIN(", ",TRUE,IFERROR(_xlfn._xlws.FILTER(Table3[Holiday Name],(G308&gt;=Table3[start])*(G308&lt;=Table3[end])),"**No associated Holiday"))="","",_xlfn.TEXTJOIN(", ",TRUE,IFERROR(_xlfn._xlws.FILTER(Table3[Holiday Name],(G308&gt;=Table3[start])*(G308&lt;=Table3[end])),"**No associated Holiday"))))</f>
        <v/>
      </c>
      <c r="G308" s="36"/>
    </row>
    <row r="309" spans="5:7" x14ac:dyDescent="0.35">
      <c r="E309" s="289" t="str" cm="1">
        <f t="array" ref="E309">IF(IFERROR(_xlfn.TEXTJOIN(", ",TRUE,TEXT(INDEX(Table3[Date],MATCH(_xlfn.FILTERXML("&lt;root&gt;&lt;item&gt;"&amp;SUBSTITUTE(F309,", ","&lt;/item&gt;&lt;item&gt;")&amp;"&lt;/item&gt;&lt;/root&gt;","//item"),Table3[Holiday Name],0)),"m/d/yyyy")),G309)="","",IFERROR(_xlfn.TEXTJOIN(", ",TRUE,TEXT(INDEX(Table3[Date],MATCH(_xlfn.FILTERXML("&lt;root&gt;&lt;item&gt;"&amp;SUBSTITUTE(F309,", ","&lt;/item&gt;&lt;item&gt;")&amp;"&lt;/item&gt;&lt;/root&gt;","//item"),Table3[Holiday Name],0)),"m/d/yyyy")),G309))</f>
        <v/>
      </c>
      <c r="F309" s="234" t="str" cm="1">
        <f t="array" ref="F309">IF(G309="","",IF(_xlfn.TEXTJOIN(", ",TRUE,IFERROR(_xlfn._xlws.FILTER(Table3[Holiday Name],(G309&gt;=Table3[start])*(G309&lt;=Table3[end])),"**No associated Holiday"))="","",_xlfn.TEXTJOIN(", ",TRUE,IFERROR(_xlfn._xlws.FILTER(Table3[Holiday Name],(G309&gt;=Table3[start])*(G309&lt;=Table3[end])),"**No associated Holiday"))))</f>
        <v/>
      </c>
      <c r="G309" s="36"/>
    </row>
    <row r="310" spans="5:7" x14ac:dyDescent="0.35">
      <c r="E310" s="289" t="str" cm="1">
        <f t="array" ref="E310">IF(IFERROR(_xlfn.TEXTJOIN(", ",TRUE,TEXT(INDEX(Table3[Date],MATCH(_xlfn.FILTERXML("&lt;root&gt;&lt;item&gt;"&amp;SUBSTITUTE(F310,", ","&lt;/item&gt;&lt;item&gt;")&amp;"&lt;/item&gt;&lt;/root&gt;","//item"),Table3[Holiday Name],0)),"m/d/yyyy")),G310)="","",IFERROR(_xlfn.TEXTJOIN(", ",TRUE,TEXT(INDEX(Table3[Date],MATCH(_xlfn.FILTERXML("&lt;root&gt;&lt;item&gt;"&amp;SUBSTITUTE(F310,", ","&lt;/item&gt;&lt;item&gt;")&amp;"&lt;/item&gt;&lt;/root&gt;","//item"),Table3[Holiday Name],0)),"m/d/yyyy")),G310))</f>
        <v/>
      </c>
      <c r="F310" s="234" t="str" cm="1">
        <f t="array" ref="F310">IF(G310="","",IF(_xlfn.TEXTJOIN(", ",TRUE,IFERROR(_xlfn._xlws.FILTER(Table3[Holiday Name],(G310&gt;=Table3[start])*(G310&lt;=Table3[end])),"**No associated Holiday"))="","",_xlfn.TEXTJOIN(", ",TRUE,IFERROR(_xlfn._xlws.FILTER(Table3[Holiday Name],(G310&gt;=Table3[start])*(G310&lt;=Table3[end])),"**No associated Holiday"))))</f>
        <v/>
      </c>
      <c r="G310" s="36"/>
    </row>
    <row r="311" spans="5:7" x14ac:dyDescent="0.35">
      <c r="E311" s="289" t="str" cm="1">
        <f t="array" ref="E311">IF(IFERROR(_xlfn.TEXTJOIN(", ",TRUE,TEXT(INDEX(Table3[Date],MATCH(_xlfn.FILTERXML("&lt;root&gt;&lt;item&gt;"&amp;SUBSTITUTE(F311,", ","&lt;/item&gt;&lt;item&gt;")&amp;"&lt;/item&gt;&lt;/root&gt;","//item"),Table3[Holiday Name],0)),"m/d/yyyy")),G311)="","",IFERROR(_xlfn.TEXTJOIN(", ",TRUE,TEXT(INDEX(Table3[Date],MATCH(_xlfn.FILTERXML("&lt;root&gt;&lt;item&gt;"&amp;SUBSTITUTE(F311,", ","&lt;/item&gt;&lt;item&gt;")&amp;"&lt;/item&gt;&lt;/root&gt;","//item"),Table3[Holiday Name],0)),"m/d/yyyy")),G311))</f>
        <v/>
      </c>
      <c r="F311" s="234" t="str" cm="1">
        <f t="array" ref="F311">IF(G311="","",IF(_xlfn.TEXTJOIN(", ",TRUE,IFERROR(_xlfn._xlws.FILTER(Table3[Holiday Name],(G311&gt;=Table3[start])*(G311&lt;=Table3[end])),"**No associated Holiday"))="","",_xlfn.TEXTJOIN(", ",TRUE,IFERROR(_xlfn._xlws.FILTER(Table3[Holiday Name],(G311&gt;=Table3[start])*(G311&lt;=Table3[end])),"**No associated Holiday"))))</f>
        <v/>
      </c>
      <c r="G311" s="36"/>
    </row>
    <row r="312" spans="5:7" x14ac:dyDescent="0.35">
      <c r="E312" s="289" t="str" cm="1">
        <f t="array" ref="E312">IF(IFERROR(_xlfn.TEXTJOIN(", ",TRUE,TEXT(INDEX(Table3[Date],MATCH(_xlfn.FILTERXML("&lt;root&gt;&lt;item&gt;"&amp;SUBSTITUTE(F312,", ","&lt;/item&gt;&lt;item&gt;")&amp;"&lt;/item&gt;&lt;/root&gt;","//item"),Table3[Holiday Name],0)),"m/d/yyyy")),G312)="","",IFERROR(_xlfn.TEXTJOIN(", ",TRUE,TEXT(INDEX(Table3[Date],MATCH(_xlfn.FILTERXML("&lt;root&gt;&lt;item&gt;"&amp;SUBSTITUTE(F312,", ","&lt;/item&gt;&lt;item&gt;")&amp;"&lt;/item&gt;&lt;/root&gt;","//item"),Table3[Holiday Name],0)),"m/d/yyyy")),G312))</f>
        <v/>
      </c>
      <c r="F312" s="234" t="str" cm="1">
        <f t="array" ref="F312">IF(G312="","",IF(_xlfn.TEXTJOIN(", ",TRUE,IFERROR(_xlfn._xlws.FILTER(Table3[Holiday Name],(G312&gt;=Table3[start])*(G312&lt;=Table3[end])),"**No associated Holiday"))="","",_xlfn.TEXTJOIN(", ",TRUE,IFERROR(_xlfn._xlws.FILTER(Table3[Holiday Name],(G312&gt;=Table3[start])*(G312&lt;=Table3[end])),"**No associated Holiday"))))</f>
        <v/>
      </c>
      <c r="G312" s="36"/>
    </row>
    <row r="313" spans="5:7" x14ac:dyDescent="0.35">
      <c r="E313" s="289" t="str" cm="1">
        <f t="array" ref="E313">IF(IFERROR(_xlfn.TEXTJOIN(", ",TRUE,TEXT(INDEX(Table3[Date],MATCH(_xlfn.FILTERXML("&lt;root&gt;&lt;item&gt;"&amp;SUBSTITUTE(F313,", ","&lt;/item&gt;&lt;item&gt;")&amp;"&lt;/item&gt;&lt;/root&gt;","//item"),Table3[Holiday Name],0)),"m/d/yyyy")),G313)="","",IFERROR(_xlfn.TEXTJOIN(", ",TRUE,TEXT(INDEX(Table3[Date],MATCH(_xlfn.FILTERXML("&lt;root&gt;&lt;item&gt;"&amp;SUBSTITUTE(F313,", ","&lt;/item&gt;&lt;item&gt;")&amp;"&lt;/item&gt;&lt;/root&gt;","//item"),Table3[Holiday Name],0)),"m/d/yyyy")),G313))</f>
        <v/>
      </c>
      <c r="F313" s="234" t="str" cm="1">
        <f t="array" ref="F313">IF(G313="","",IF(_xlfn.TEXTJOIN(", ",TRUE,IFERROR(_xlfn._xlws.FILTER(Table3[Holiday Name],(G313&gt;=Table3[start])*(G313&lt;=Table3[end])),"**No associated Holiday"))="","",_xlfn.TEXTJOIN(", ",TRUE,IFERROR(_xlfn._xlws.FILTER(Table3[Holiday Name],(G313&gt;=Table3[start])*(G313&lt;=Table3[end])),"**No associated Holiday"))))</f>
        <v/>
      </c>
      <c r="G313" s="36"/>
    </row>
    <row r="314" spans="5:7" x14ac:dyDescent="0.35">
      <c r="E314" s="289" t="str" cm="1">
        <f t="array" ref="E314">IF(IFERROR(_xlfn.TEXTJOIN(", ",TRUE,TEXT(INDEX(Table3[Date],MATCH(_xlfn.FILTERXML("&lt;root&gt;&lt;item&gt;"&amp;SUBSTITUTE(F314,", ","&lt;/item&gt;&lt;item&gt;")&amp;"&lt;/item&gt;&lt;/root&gt;","//item"),Table3[Holiday Name],0)),"m/d/yyyy")),G314)="","",IFERROR(_xlfn.TEXTJOIN(", ",TRUE,TEXT(INDEX(Table3[Date],MATCH(_xlfn.FILTERXML("&lt;root&gt;&lt;item&gt;"&amp;SUBSTITUTE(F314,", ","&lt;/item&gt;&lt;item&gt;")&amp;"&lt;/item&gt;&lt;/root&gt;","//item"),Table3[Holiday Name],0)),"m/d/yyyy")),G314))</f>
        <v/>
      </c>
      <c r="F314" s="234" t="str" cm="1">
        <f t="array" ref="F314">IF(G314="","",IF(_xlfn.TEXTJOIN(", ",TRUE,IFERROR(_xlfn._xlws.FILTER(Table3[Holiday Name],(G314&gt;=Table3[start])*(G314&lt;=Table3[end])),"**No associated Holiday"))="","",_xlfn.TEXTJOIN(", ",TRUE,IFERROR(_xlfn._xlws.FILTER(Table3[Holiday Name],(G314&gt;=Table3[start])*(G314&lt;=Table3[end])),"**No associated Holiday"))))</f>
        <v/>
      </c>
      <c r="G314" s="36"/>
    </row>
    <row r="315" spans="5:7" x14ac:dyDescent="0.35">
      <c r="E315" s="289" t="str" cm="1">
        <f t="array" ref="E315">IF(IFERROR(_xlfn.TEXTJOIN(", ",TRUE,TEXT(INDEX(Table3[Date],MATCH(_xlfn.FILTERXML("&lt;root&gt;&lt;item&gt;"&amp;SUBSTITUTE(F315,", ","&lt;/item&gt;&lt;item&gt;")&amp;"&lt;/item&gt;&lt;/root&gt;","//item"),Table3[Holiday Name],0)),"m/d/yyyy")),G315)="","",IFERROR(_xlfn.TEXTJOIN(", ",TRUE,TEXT(INDEX(Table3[Date],MATCH(_xlfn.FILTERXML("&lt;root&gt;&lt;item&gt;"&amp;SUBSTITUTE(F315,", ","&lt;/item&gt;&lt;item&gt;")&amp;"&lt;/item&gt;&lt;/root&gt;","//item"),Table3[Holiday Name],0)),"m/d/yyyy")),G315))</f>
        <v/>
      </c>
      <c r="F315" s="234" t="str" cm="1">
        <f t="array" ref="F315">IF(G315="","",IF(_xlfn.TEXTJOIN(", ",TRUE,IFERROR(_xlfn._xlws.FILTER(Table3[Holiday Name],(G315&gt;=Table3[start])*(G315&lt;=Table3[end])),"**No associated Holiday"))="","",_xlfn.TEXTJOIN(", ",TRUE,IFERROR(_xlfn._xlws.FILTER(Table3[Holiday Name],(G315&gt;=Table3[start])*(G315&lt;=Table3[end])),"**No associated Holiday"))))</f>
        <v/>
      </c>
      <c r="G315" s="36"/>
    </row>
    <row r="316" spans="5:7" x14ac:dyDescent="0.35">
      <c r="E316" s="289" t="str" cm="1">
        <f t="array" ref="E316">IF(IFERROR(_xlfn.TEXTJOIN(", ",TRUE,TEXT(INDEX(Table3[Date],MATCH(_xlfn.FILTERXML("&lt;root&gt;&lt;item&gt;"&amp;SUBSTITUTE(F316,", ","&lt;/item&gt;&lt;item&gt;")&amp;"&lt;/item&gt;&lt;/root&gt;","//item"),Table3[Holiday Name],0)),"m/d/yyyy")),G316)="","",IFERROR(_xlfn.TEXTJOIN(", ",TRUE,TEXT(INDEX(Table3[Date],MATCH(_xlfn.FILTERXML("&lt;root&gt;&lt;item&gt;"&amp;SUBSTITUTE(F316,", ","&lt;/item&gt;&lt;item&gt;")&amp;"&lt;/item&gt;&lt;/root&gt;","//item"),Table3[Holiday Name],0)),"m/d/yyyy")),G316))</f>
        <v/>
      </c>
      <c r="F316" s="234" t="str" cm="1">
        <f t="array" ref="F316">IF(G316="","",IF(_xlfn.TEXTJOIN(", ",TRUE,IFERROR(_xlfn._xlws.FILTER(Table3[Holiday Name],(G316&gt;=Table3[start])*(G316&lt;=Table3[end])),"**No associated Holiday"))="","",_xlfn.TEXTJOIN(", ",TRUE,IFERROR(_xlfn._xlws.FILTER(Table3[Holiday Name],(G316&gt;=Table3[start])*(G316&lt;=Table3[end])),"**No associated Holiday"))))</f>
        <v/>
      </c>
      <c r="G316" s="36"/>
    </row>
    <row r="317" spans="5:7" x14ac:dyDescent="0.35">
      <c r="E317" s="289" t="str" cm="1">
        <f t="array" ref="E317">IF(IFERROR(_xlfn.TEXTJOIN(", ",TRUE,TEXT(INDEX(Table3[Date],MATCH(_xlfn.FILTERXML("&lt;root&gt;&lt;item&gt;"&amp;SUBSTITUTE(F317,", ","&lt;/item&gt;&lt;item&gt;")&amp;"&lt;/item&gt;&lt;/root&gt;","//item"),Table3[Holiday Name],0)),"m/d/yyyy")),G317)="","",IFERROR(_xlfn.TEXTJOIN(", ",TRUE,TEXT(INDEX(Table3[Date],MATCH(_xlfn.FILTERXML("&lt;root&gt;&lt;item&gt;"&amp;SUBSTITUTE(F317,", ","&lt;/item&gt;&lt;item&gt;")&amp;"&lt;/item&gt;&lt;/root&gt;","//item"),Table3[Holiday Name],0)),"m/d/yyyy")),G317))</f>
        <v/>
      </c>
      <c r="F317" s="234" t="str" cm="1">
        <f t="array" ref="F317">IF(G317="","",IF(_xlfn.TEXTJOIN(", ",TRUE,IFERROR(_xlfn._xlws.FILTER(Table3[Holiday Name],(G317&gt;=Table3[start])*(G317&lt;=Table3[end])),"**No associated Holiday"))="","",_xlfn.TEXTJOIN(", ",TRUE,IFERROR(_xlfn._xlws.FILTER(Table3[Holiday Name],(G317&gt;=Table3[start])*(G317&lt;=Table3[end])),"**No associated Holiday"))))</f>
        <v/>
      </c>
      <c r="G317" s="36"/>
    </row>
    <row r="318" spans="5:7" x14ac:dyDescent="0.35">
      <c r="E318" s="289" t="str" cm="1">
        <f t="array" ref="E318">IF(IFERROR(_xlfn.TEXTJOIN(", ",TRUE,TEXT(INDEX(Table3[Date],MATCH(_xlfn.FILTERXML("&lt;root&gt;&lt;item&gt;"&amp;SUBSTITUTE(F318,", ","&lt;/item&gt;&lt;item&gt;")&amp;"&lt;/item&gt;&lt;/root&gt;","//item"),Table3[Holiday Name],0)),"m/d/yyyy")),G318)="","",IFERROR(_xlfn.TEXTJOIN(", ",TRUE,TEXT(INDEX(Table3[Date],MATCH(_xlfn.FILTERXML("&lt;root&gt;&lt;item&gt;"&amp;SUBSTITUTE(F318,", ","&lt;/item&gt;&lt;item&gt;")&amp;"&lt;/item&gt;&lt;/root&gt;","//item"),Table3[Holiday Name],0)),"m/d/yyyy")),G318))</f>
        <v/>
      </c>
      <c r="F318" s="234" t="str" cm="1">
        <f t="array" ref="F318">IF(G318="","",IF(_xlfn.TEXTJOIN(", ",TRUE,IFERROR(_xlfn._xlws.FILTER(Table3[Holiday Name],(G318&gt;=Table3[start])*(G318&lt;=Table3[end])),"**No associated Holiday"))="","",_xlfn.TEXTJOIN(", ",TRUE,IFERROR(_xlfn._xlws.FILTER(Table3[Holiday Name],(G318&gt;=Table3[start])*(G318&lt;=Table3[end])),"**No associated Holiday"))))</f>
        <v/>
      </c>
      <c r="G318" s="36"/>
    </row>
    <row r="319" spans="5:7" x14ac:dyDescent="0.35">
      <c r="E319" s="289" t="str" cm="1">
        <f t="array" ref="E319">IF(IFERROR(_xlfn.TEXTJOIN(", ",TRUE,TEXT(INDEX(Table3[Date],MATCH(_xlfn.FILTERXML("&lt;root&gt;&lt;item&gt;"&amp;SUBSTITUTE(F319,", ","&lt;/item&gt;&lt;item&gt;")&amp;"&lt;/item&gt;&lt;/root&gt;","//item"),Table3[Holiday Name],0)),"m/d/yyyy")),G319)="","",IFERROR(_xlfn.TEXTJOIN(", ",TRUE,TEXT(INDEX(Table3[Date],MATCH(_xlfn.FILTERXML("&lt;root&gt;&lt;item&gt;"&amp;SUBSTITUTE(F319,", ","&lt;/item&gt;&lt;item&gt;")&amp;"&lt;/item&gt;&lt;/root&gt;","//item"),Table3[Holiday Name],0)),"m/d/yyyy")),G319))</f>
        <v/>
      </c>
      <c r="F319" s="234" t="str" cm="1">
        <f t="array" ref="F319">IF(G319="","",IF(_xlfn.TEXTJOIN(", ",TRUE,IFERROR(_xlfn._xlws.FILTER(Table3[Holiday Name],(G319&gt;=Table3[start])*(G319&lt;=Table3[end])),"**No associated Holiday"))="","",_xlfn.TEXTJOIN(", ",TRUE,IFERROR(_xlfn._xlws.FILTER(Table3[Holiday Name],(G319&gt;=Table3[start])*(G319&lt;=Table3[end])),"**No associated Holiday"))))</f>
        <v/>
      </c>
      <c r="G319" s="36"/>
    </row>
    <row r="320" spans="5:7" x14ac:dyDescent="0.35">
      <c r="E320" s="289" t="str" cm="1">
        <f t="array" ref="E320">IF(IFERROR(_xlfn.TEXTJOIN(", ",TRUE,TEXT(INDEX(Table3[Date],MATCH(_xlfn.FILTERXML("&lt;root&gt;&lt;item&gt;"&amp;SUBSTITUTE(F320,", ","&lt;/item&gt;&lt;item&gt;")&amp;"&lt;/item&gt;&lt;/root&gt;","//item"),Table3[Holiday Name],0)),"m/d/yyyy")),G320)="","",IFERROR(_xlfn.TEXTJOIN(", ",TRUE,TEXT(INDEX(Table3[Date],MATCH(_xlfn.FILTERXML("&lt;root&gt;&lt;item&gt;"&amp;SUBSTITUTE(F320,", ","&lt;/item&gt;&lt;item&gt;")&amp;"&lt;/item&gt;&lt;/root&gt;","//item"),Table3[Holiday Name],0)),"m/d/yyyy")),G320))</f>
        <v/>
      </c>
      <c r="F320" s="234" t="str" cm="1">
        <f t="array" ref="F320">IF(G320="","",IF(_xlfn.TEXTJOIN(", ",TRUE,IFERROR(_xlfn._xlws.FILTER(Table3[Holiday Name],(G320&gt;=Table3[start])*(G320&lt;=Table3[end])),"**No associated Holiday"))="","",_xlfn.TEXTJOIN(", ",TRUE,IFERROR(_xlfn._xlws.FILTER(Table3[Holiday Name],(G320&gt;=Table3[start])*(G320&lt;=Table3[end])),"**No associated Holiday"))))</f>
        <v/>
      </c>
      <c r="G320" s="36"/>
    </row>
    <row r="321" spans="5:7" x14ac:dyDescent="0.35">
      <c r="E321" s="289" t="str" cm="1">
        <f t="array" ref="E321">IF(IFERROR(_xlfn.TEXTJOIN(", ",TRUE,TEXT(INDEX(Table3[Date],MATCH(_xlfn.FILTERXML("&lt;root&gt;&lt;item&gt;"&amp;SUBSTITUTE(F321,", ","&lt;/item&gt;&lt;item&gt;")&amp;"&lt;/item&gt;&lt;/root&gt;","//item"),Table3[Holiday Name],0)),"m/d/yyyy")),G321)="","",IFERROR(_xlfn.TEXTJOIN(", ",TRUE,TEXT(INDEX(Table3[Date],MATCH(_xlfn.FILTERXML("&lt;root&gt;&lt;item&gt;"&amp;SUBSTITUTE(F321,", ","&lt;/item&gt;&lt;item&gt;")&amp;"&lt;/item&gt;&lt;/root&gt;","//item"),Table3[Holiday Name],0)),"m/d/yyyy")),G321))</f>
        <v/>
      </c>
      <c r="F321" s="234" t="str" cm="1">
        <f t="array" ref="F321">IF(G321="","",IF(_xlfn.TEXTJOIN(", ",TRUE,IFERROR(_xlfn._xlws.FILTER(Table3[Holiday Name],(G321&gt;=Table3[start])*(G321&lt;=Table3[end])),"**No associated Holiday"))="","",_xlfn.TEXTJOIN(", ",TRUE,IFERROR(_xlfn._xlws.FILTER(Table3[Holiday Name],(G321&gt;=Table3[start])*(G321&lt;=Table3[end])),"**No associated Holiday"))))</f>
        <v/>
      </c>
      <c r="G321" s="36"/>
    </row>
    <row r="322" spans="5:7" x14ac:dyDescent="0.35">
      <c r="E322" s="289" t="str" cm="1">
        <f t="array" ref="E322">IF(IFERROR(_xlfn.TEXTJOIN(", ",TRUE,TEXT(INDEX(Table3[Date],MATCH(_xlfn.FILTERXML("&lt;root&gt;&lt;item&gt;"&amp;SUBSTITUTE(F322,", ","&lt;/item&gt;&lt;item&gt;")&amp;"&lt;/item&gt;&lt;/root&gt;","//item"),Table3[Holiday Name],0)),"m/d/yyyy")),G322)="","",IFERROR(_xlfn.TEXTJOIN(", ",TRUE,TEXT(INDEX(Table3[Date],MATCH(_xlfn.FILTERXML("&lt;root&gt;&lt;item&gt;"&amp;SUBSTITUTE(F322,", ","&lt;/item&gt;&lt;item&gt;")&amp;"&lt;/item&gt;&lt;/root&gt;","//item"),Table3[Holiday Name],0)),"m/d/yyyy")),G322))</f>
        <v/>
      </c>
      <c r="F322" s="234" t="str" cm="1">
        <f t="array" ref="F322">IF(G322="","",IF(_xlfn.TEXTJOIN(", ",TRUE,IFERROR(_xlfn._xlws.FILTER(Table3[Holiday Name],(G322&gt;=Table3[start])*(G322&lt;=Table3[end])),"**No associated Holiday"))="","",_xlfn.TEXTJOIN(", ",TRUE,IFERROR(_xlfn._xlws.FILTER(Table3[Holiday Name],(G322&gt;=Table3[start])*(G322&lt;=Table3[end])),"**No associated Holiday"))))</f>
        <v/>
      </c>
      <c r="G322" s="36"/>
    </row>
    <row r="323" spans="5:7" x14ac:dyDescent="0.35">
      <c r="E323" s="289" t="str" cm="1">
        <f t="array" ref="E323">IF(IFERROR(_xlfn.TEXTJOIN(", ",TRUE,TEXT(INDEX(Table3[Date],MATCH(_xlfn.FILTERXML("&lt;root&gt;&lt;item&gt;"&amp;SUBSTITUTE(F323,", ","&lt;/item&gt;&lt;item&gt;")&amp;"&lt;/item&gt;&lt;/root&gt;","//item"),Table3[Holiday Name],0)),"m/d/yyyy")),G323)="","",IFERROR(_xlfn.TEXTJOIN(", ",TRUE,TEXT(INDEX(Table3[Date],MATCH(_xlfn.FILTERXML("&lt;root&gt;&lt;item&gt;"&amp;SUBSTITUTE(F323,", ","&lt;/item&gt;&lt;item&gt;")&amp;"&lt;/item&gt;&lt;/root&gt;","//item"),Table3[Holiday Name],0)),"m/d/yyyy")),G323))</f>
        <v/>
      </c>
      <c r="F323" s="234" t="str" cm="1">
        <f t="array" ref="F323">IF(G323="","",IF(_xlfn.TEXTJOIN(", ",TRUE,IFERROR(_xlfn._xlws.FILTER(Table3[Holiday Name],(G323&gt;=Table3[start])*(G323&lt;=Table3[end])),"**No associated Holiday"))="","",_xlfn.TEXTJOIN(", ",TRUE,IFERROR(_xlfn._xlws.FILTER(Table3[Holiday Name],(G323&gt;=Table3[start])*(G323&lt;=Table3[end])),"**No associated Holiday"))))</f>
        <v/>
      </c>
      <c r="G323" s="36"/>
    </row>
    <row r="324" spans="5:7" x14ac:dyDescent="0.35">
      <c r="E324" s="289" t="str" cm="1">
        <f t="array" ref="E324">IF(IFERROR(_xlfn.TEXTJOIN(", ",TRUE,TEXT(INDEX(Table3[Date],MATCH(_xlfn.FILTERXML("&lt;root&gt;&lt;item&gt;"&amp;SUBSTITUTE(F324,", ","&lt;/item&gt;&lt;item&gt;")&amp;"&lt;/item&gt;&lt;/root&gt;","//item"),Table3[Holiday Name],0)),"m/d/yyyy")),G324)="","",IFERROR(_xlfn.TEXTJOIN(", ",TRUE,TEXT(INDEX(Table3[Date],MATCH(_xlfn.FILTERXML("&lt;root&gt;&lt;item&gt;"&amp;SUBSTITUTE(F324,", ","&lt;/item&gt;&lt;item&gt;")&amp;"&lt;/item&gt;&lt;/root&gt;","//item"),Table3[Holiday Name],0)),"m/d/yyyy")),G324))</f>
        <v/>
      </c>
      <c r="F324" s="234" t="str" cm="1">
        <f t="array" ref="F324">IF(G324="","",IF(_xlfn.TEXTJOIN(", ",TRUE,IFERROR(_xlfn._xlws.FILTER(Table3[Holiday Name],(G324&gt;=Table3[start])*(G324&lt;=Table3[end])),"**No associated Holiday"))="","",_xlfn.TEXTJOIN(", ",TRUE,IFERROR(_xlfn._xlws.FILTER(Table3[Holiday Name],(G324&gt;=Table3[start])*(G324&lt;=Table3[end])),"**No associated Holiday"))))</f>
        <v/>
      </c>
      <c r="G324" s="36"/>
    </row>
    <row r="325" spans="5:7" x14ac:dyDescent="0.35">
      <c r="E325" s="289" t="str" cm="1">
        <f t="array" ref="E325">IF(IFERROR(_xlfn.TEXTJOIN(", ",TRUE,TEXT(INDEX(Table3[Date],MATCH(_xlfn.FILTERXML("&lt;root&gt;&lt;item&gt;"&amp;SUBSTITUTE(F325,", ","&lt;/item&gt;&lt;item&gt;")&amp;"&lt;/item&gt;&lt;/root&gt;","//item"),Table3[Holiday Name],0)),"m/d/yyyy")),G325)="","",IFERROR(_xlfn.TEXTJOIN(", ",TRUE,TEXT(INDEX(Table3[Date],MATCH(_xlfn.FILTERXML("&lt;root&gt;&lt;item&gt;"&amp;SUBSTITUTE(F325,", ","&lt;/item&gt;&lt;item&gt;")&amp;"&lt;/item&gt;&lt;/root&gt;","//item"),Table3[Holiday Name],0)),"m/d/yyyy")),G325))</f>
        <v/>
      </c>
      <c r="F325" s="234" t="str" cm="1">
        <f t="array" ref="F325">IF(G325="","",IF(_xlfn.TEXTJOIN(", ",TRUE,IFERROR(_xlfn._xlws.FILTER(Table3[Holiday Name],(G325&gt;=Table3[start])*(G325&lt;=Table3[end])),"**No associated Holiday"))="","",_xlfn.TEXTJOIN(", ",TRUE,IFERROR(_xlfn._xlws.FILTER(Table3[Holiday Name],(G325&gt;=Table3[start])*(G325&lt;=Table3[end])),"**No associated Holiday"))))</f>
        <v/>
      </c>
      <c r="G325" s="36"/>
    </row>
    <row r="326" spans="5:7" x14ac:dyDescent="0.35">
      <c r="E326" s="289" t="str" cm="1">
        <f t="array" ref="E326">IF(IFERROR(_xlfn.TEXTJOIN(", ",TRUE,TEXT(INDEX(Table3[Date],MATCH(_xlfn.FILTERXML("&lt;root&gt;&lt;item&gt;"&amp;SUBSTITUTE(F326,", ","&lt;/item&gt;&lt;item&gt;")&amp;"&lt;/item&gt;&lt;/root&gt;","//item"),Table3[Holiday Name],0)),"m/d/yyyy")),G326)="","",IFERROR(_xlfn.TEXTJOIN(", ",TRUE,TEXT(INDEX(Table3[Date],MATCH(_xlfn.FILTERXML("&lt;root&gt;&lt;item&gt;"&amp;SUBSTITUTE(F326,", ","&lt;/item&gt;&lt;item&gt;")&amp;"&lt;/item&gt;&lt;/root&gt;","//item"),Table3[Holiday Name],0)),"m/d/yyyy")),G326))</f>
        <v/>
      </c>
      <c r="F326" s="234" t="str" cm="1">
        <f t="array" ref="F326">IF(G326="","",IF(_xlfn.TEXTJOIN(", ",TRUE,IFERROR(_xlfn._xlws.FILTER(Table3[Holiday Name],(G326&gt;=Table3[start])*(G326&lt;=Table3[end])),"**No associated Holiday"))="","",_xlfn.TEXTJOIN(", ",TRUE,IFERROR(_xlfn._xlws.FILTER(Table3[Holiday Name],(G326&gt;=Table3[start])*(G326&lt;=Table3[end])),"**No associated Holiday"))))</f>
        <v/>
      </c>
      <c r="G326" s="36"/>
    </row>
    <row r="327" spans="5:7" x14ac:dyDescent="0.35">
      <c r="E327" s="289" t="str" cm="1">
        <f t="array" ref="E327">IF(IFERROR(_xlfn.TEXTJOIN(", ",TRUE,TEXT(INDEX(Table3[Date],MATCH(_xlfn.FILTERXML("&lt;root&gt;&lt;item&gt;"&amp;SUBSTITUTE(F327,", ","&lt;/item&gt;&lt;item&gt;")&amp;"&lt;/item&gt;&lt;/root&gt;","//item"),Table3[Holiday Name],0)),"m/d/yyyy")),G327)="","",IFERROR(_xlfn.TEXTJOIN(", ",TRUE,TEXT(INDEX(Table3[Date],MATCH(_xlfn.FILTERXML("&lt;root&gt;&lt;item&gt;"&amp;SUBSTITUTE(F327,", ","&lt;/item&gt;&lt;item&gt;")&amp;"&lt;/item&gt;&lt;/root&gt;","//item"),Table3[Holiday Name],0)),"m/d/yyyy")),G327))</f>
        <v/>
      </c>
      <c r="F327" s="234" t="str" cm="1">
        <f t="array" ref="F327">IF(G327="","",IF(_xlfn.TEXTJOIN(", ",TRUE,IFERROR(_xlfn._xlws.FILTER(Table3[Holiday Name],(G327&gt;=Table3[start])*(G327&lt;=Table3[end])),"**No associated Holiday"))="","",_xlfn.TEXTJOIN(", ",TRUE,IFERROR(_xlfn._xlws.FILTER(Table3[Holiday Name],(G327&gt;=Table3[start])*(G327&lt;=Table3[end])),"**No associated Holiday"))))</f>
        <v/>
      </c>
      <c r="G327" s="36"/>
    </row>
    <row r="328" spans="5:7" x14ac:dyDescent="0.35">
      <c r="E328" s="289" t="str" cm="1">
        <f t="array" ref="E328">IF(IFERROR(_xlfn.TEXTJOIN(", ",TRUE,TEXT(INDEX(Table3[Date],MATCH(_xlfn.FILTERXML("&lt;root&gt;&lt;item&gt;"&amp;SUBSTITUTE(F328,", ","&lt;/item&gt;&lt;item&gt;")&amp;"&lt;/item&gt;&lt;/root&gt;","//item"),Table3[Holiday Name],0)),"m/d/yyyy")),G328)="","",IFERROR(_xlfn.TEXTJOIN(", ",TRUE,TEXT(INDEX(Table3[Date],MATCH(_xlfn.FILTERXML("&lt;root&gt;&lt;item&gt;"&amp;SUBSTITUTE(F328,", ","&lt;/item&gt;&lt;item&gt;")&amp;"&lt;/item&gt;&lt;/root&gt;","//item"),Table3[Holiday Name],0)),"m/d/yyyy")),G328))</f>
        <v/>
      </c>
      <c r="F328" s="234" t="str" cm="1">
        <f t="array" ref="F328">IF(G328="","",IF(_xlfn.TEXTJOIN(", ",TRUE,IFERROR(_xlfn._xlws.FILTER(Table3[Holiday Name],(G328&gt;=Table3[start])*(G328&lt;=Table3[end])),"**No associated Holiday"))="","",_xlfn.TEXTJOIN(", ",TRUE,IFERROR(_xlfn._xlws.FILTER(Table3[Holiday Name],(G328&gt;=Table3[start])*(G328&lt;=Table3[end])),"**No associated Holiday"))))</f>
        <v/>
      </c>
      <c r="G328" s="36"/>
    </row>
    <row r="329" spans="5:7" x14ac:dyDescent="0.35">
      <c r="E329" s="289" t="str" cm="1">
        <f t="array" ref="E329">IF(IFERROR(_xlfn.TEXTJOIN(", ",TRUE,TEXT(INDEX(Table3[Date],MATCH(_xlfn.FILTERXML("&lt;root&gt;&lt;item&gt;"&amp;SUBSTITUTE(F329,", ","&lt;/item&gt;&lt;item&gt;")&amp;"&lt;/item&gt;&lt;/root&gt;","//item"),Table3[Holiday Name],0)),"m/d/yyyy")),G329)="","",IFERROR(_xlfn.TEXTJOIN(", ",TRUE,TEXT(INDEX(Table3[Date],MATCH(_xlfn.FILTERXML("&lt;root&gt;&lt;item&gt;"&amp;SUBSTITUTE(F329,", ","&lt;/item&gt;&lt;item&gt;")&amp;"&lt;/item&gt;&lt;/root&gt;","//item"),Table3[Holiday Name],0)),"m/d/yyyy")),G329))</f>
        <v/>
      </c>
      <c r="F329" s="234" t="str" cm="1">
        <f t="array" ref="F329">IF(G329="","",IF(_xlfn.TEXTJOIN(", ",TRUE,IFERROR(_xlfn._xlws.FILTER(Table3[Holiday Name],(G329&gt;=Table3[start])*(G329&lt;=Table3[end])),"**No associated Holiday"))="","",_xlfn.TEXTJOIN(", ",TRUE,IFERROR(_xlfn._xlws.FILTER(Table3[Holiday Name],(G329&gt;=Table3[start])*(G329&lt;=Table3[end])),"**No associated Holiday"))))</f>
        <v/>
      </c>
      <c r="G329" s="36"/>
    </row>
    <row r="330" spans="5:7" x14ac:dyDescent="0.35">
      <c r="E330" s="289" t="str" cm="1">
        <f t="array" ref="E330">IF(IFERROR(_xlfn.TEXTJOIN(", ",TRUE,TEXT(INDEX(Table3[Date],MATCH(_xlfn.FILTERXML("&lt;root&gt;&lt;item&gt;"&amp;SUBSTITUTE(F330,", ","&lt;/item&gt;&lt;item&gt;")&amp;"&lt;/item&gt;&lt;/root&gt;","//item"),Table3[Holiday Name],0)),"m/d/yyyy")),G330)="","",IFERROR(_xlfn.TEXTJOIN(", ",TRUE,TEXT(INDEX(Table3[Date],MATCH(_xlfn.FILTERXML("&lt;root&gt;&lt;item&gt;"&amp;SUBSTITUTE(F330,", ","&lt;/item&gt;&lt;item&gt;")&amp;"&lt;/item&gt;&lt;/root&gt;","//item"),Table3[Holiday Name],0)),"m/d/yyyy")),G330))</f>
        <v/>
      </c>
      <c r="F330" s="234" t="str" cm="1">
        <f t="array" ref="F330">IF(G330="","",IF(_xlfn.TEXTJOIN(", ",TRUE,IFERROR(_xlfn._xlws.FILTER(Table3[Holiday Name],(G330&gt;=Table3[start])*(G330&lt;=Table3[end])),"**No associated Holiday"))="","",_xlfn.TEXTJOIN(", ",TRUE,IFERROR(_xlfn._xlws.FILTER(Table3[Holiday Name],(G330&gt;=Table3[start])*(G330&lt;=Table3[end])),"**No associated Holiday"))))</f>
        <v/>
      </c>
      <c r="G330" s="36"/>
    </row>
    <row r="331" spans="5:7" x14ac:dyDescent="0.35">
      <c r="E331" s="289" t="str" cm="1">
        <f t="array" ref="E331">IF(IFERROR(_xlfn.TEXTJOIN(", ",TRUE,TEXT(INDEX(Table3[Date],MATCH(_xlfn.FILTERXML("&lt;root&gt;&lt;item&gt;"&amp;SUBSTITUTE(F331,", ","&lt;/item&gt;&lt;item&gt;")&amp;"&lt;/item&gt;&lt;/root&gt;","//item"),Table3[Holiday Name],0)),"m/d/yyyy")),G331)="","",IFERROR(_xlfn.TEXTJOIN(", ",TRUE,TEXT(INDEX(Table3[Date],MATCH(_xlfn.FILTERXML("&lt;root&gt;&lt;item&gt;"&amp;SUBSTITUTE(F331,", ","&lt;/item&gt;&lt;item&gt;")&amp;"&lt;/item&gt;&lt;/root&gt;","//item"),Table3[Holiday Name],0)),"m/d/yyyy")),G331))</f>
        <v/>
      </c>
      <c r="F331" s="234" t="str" cm="1">
        <f t="array" ref="F331">IF(G331="","",IF(_xlfn.TEXTJOIN(", ",TRUE,IFERROR(_xlfn._xlws.FILTER(Table3[Holiday Name],(G331&gt;=Table3[start])*(G331&lt;=Table3[end])),"**No associated Holiday"))="","",_xlfn.TEXTJOIN(", ",TRUE,IFERROR(_xlfn._xlws.FILTER(Table3[Holiday Name],(G331&gt;=Table3[start])*(G331&lt;=Table3[end])),"**No associated Holiday"))))</f>
        <v/>
      </c>
      <c r="G331" s="36"/>
    </row>
    <row r="332" spans="5:7" x14ac:dyDescent="0.35">
      <c r="E332" s="289" t="str" cm="1">
        <f t="array" ref="E332">IF(IFERROR(_xlfn.TEXTJOIN(", ",TRUE,TEXT(INDEX(Table3[Date],MATCH(_xlfn.FILTERXML("&lt;root&gt;&lt;item&gt;"&amp;SUBSTITUTE(F332,", ","&lt;/item&gt;&lt;item&gt;")&amp;"&lt;/item&gt;&lt;/root&gt;","//item"),Table3[Holiday Name],0)),"m/d/yyyy")),G332)="","",IFERROR(_xlfn.TEXTJOIN(", ",TRUE,TEXT(INDEX(Table3[Date],MATCH(_xlfn.FILTERXML("&lt;root&gt;&lt;item&gt;"&amp;SUBSTITUTE(F332,", ","&lt;/item&gt;&lt;item&gt;")&amp;"&lt;/item&gt;&lt;/root&gt;","//item"),Table3[Holiday Name],0)),"m/d/yyyy")),G332))</f>
        <v/>
      </c>
      <c r="F332" s="234" t="str" cm="1">
        <f t="array" ref="F332">IF(G332="","",IF(_xlfn.TEXTJOIN(", ",TRUE,IFERROR(_xlfn._xlws.FILTER(Table3[Holiday Name],(G332&gt;=Table3[start])*(G332&lt;=Table3[end])),"**No associated Holiday"))="","",_xlfn.TEXTJOIN(", ",TRUE,IFERROR(_xlfn._xlws.FILTER(Table3[Holiday Name],(G332&gt;=Table3[start])*(G332&lt;=Table3[end])),"**No associated Holiday"))))</f>
        <v/>
      </c>
      <c r="G332" s="36"/>
    </row>
    <row r="333" spans="5:7" x14ac:dyDescent="0.35">
      <c r="E333" s="289" t="str" cm="1">
        <f t="array" ref="E333">IF(IFERROR(_xlfn.TEXTJOIN(", ",TRUE,TEXT(INDEX(Table3[Date],MATCH(_xlfn.FILTERXML("&lt;root&gt;&lt;item&gt;"&amp;SUBSTITUTE(F333,", ","&lt;/item&gt;&lt;item&gt;")&amp;"&lt;/item&gt;&lt;/root&gt;","//item"),Table3[Holiday Name],0)),"m/d/yyyy")),G333)="","",IFERROR(_xlfn.TEXTJOIN(", ",TRUE,TEXT(INDEX(Table3[Date],MATCH(_xlfn.FILTERXML("&lt;root&gt;&lt;item&gt;"&amp;SUBSTITUTE(F333,", ","&lt;/item&gt;&lt;item&gt;")&amp;"&lt;/item&gt;&lt;/root&gt;","//item"),Table3[Holiday Name],0)),"m/d/yyyy")),G333))</f>
        <v/>
      </c>
      <c r="F333" s="234" t="str" cm="1">
        <f t="array" ref="F333">IF(G333="","",IF(_xlfn.TEXTJOIN(", ",TRUE,IFERROR(_xlfn._xlws.FILTER(Table3[Holiday Name],(G333&gt;=Table3[start])*(G333&lt;=Table3[end])),"**No associated Holiday"))="","",_xlfn.TEXTJOIN(", ",TRUE,IFERROR(_xlfn._xlws.FILTER(Table3[Holiday Name],(G333&gt;=Table3[start])*(G333&lt;=Table3[end])),"**No associated Holiday"))))</f>
        <v/>
      </c>
      <c r="G333" s="36"/>
    </row>
    <row r="334" spans="5:7" x14ac:dyDescent="0.35">
      <c r="E334" s="289" t="str" cm="1">
        <f t="array" ref="E334">IF(IFERROR(_xlfn.TEXTJOIN(", ",TRUE,TEXT(INDEX(Table3[Date],MATCH(_xlfn.FILTERXML("&lt;root&gt;&lt;item&gt;"&amp;SUBSTITUTE(F334,", ","&lt;/item&gt;&lt;item&gt;")&amp;"&lt;/item&gt;&lt;/root&gt;","//item"),Table3[Holiday Name],0)),"m/d/yyyy")),G334)="","",IFERROR(_xlfn.TEXTJOIN(", ",TRUE,TEXT(INDEX(Table3[Date],MATCH(_xlfn.FILTERXML("&lt;root&gt;&lt;item&gt;"&amp;SUBSTITUTE(F334,", ","&lt;/item&gt;&lt;item&gt;")&amp;"&lt;/item&gt;&lt;/root&gt;","//item"),Table3[Holiday Name],0)),"m/d/yyyy")),G334))</f>
        <v/>
      </c>
      <c r="F334" s="234" t="str" cm="1">
        <f t="array" ref="F334">IF(G334="","",IF(_xlfn.TEXTJOIN(", ",TRUE,IFERROR(_xlfn._xlws.FILTER(Table3[Holiday Name],(G334&gt;=Table3[start])*(G334&lt;=Table3[end])),"**No associated Holiday"))="","",_xlfn.TEXTJOIN(", ",TRUE,IFERROR(_xlfn._xlws.FILTER(Table3[Holiday Name],(G334&gt;=Table3[start])*(G334&lt;=Table3[end])),"**No associated Holiday"))))</f>
        <v/>
      </c>
      <c r="G334" s="36"/>
    </row>
    <row r="335" spans="5:7" x14ac:dyDescent="0.35">
      <c r="E335" s="289" t="str" cm="1">
        <f t="array" ref="E335">IF(IFERROR(_xlfn.TEXTJOIN(", ",TRUE,TEXT(INDEX(Table3[Date],MATCH(_xlfn.FILTERXML("&lt;root&gt;&lt;item&gt;"&amp;SUBSTITUTE(F335,", ","&lt;/item&gt;&lt;item&gt;")&amp;"&lt;/item&gt;&lt;/root&gt;","//item"),Table3[Holiday Name],0)),"m/d/yyyy")),G335)="","",IFERROR(_xlfn.TEXTJOIN(", ",TRUE,TEXT(INDEX(Table3[Date],MATCH(_xlfn.FILTERXML("&lt;root&gt;&lt;item&gt;"&amp;SUBSTITUTE(F335,", ","&lt;/item&gt;&lt;item&gt;")&amp;"&lt;/item&gt;&lt;/root&gt;","//item"),Table3[Holiday Name],0)),"m/d/yyyy")),G335))</f>
        <v/>
      </c>
      <c r="F335" s="234" t="str" cm="1">
        <f t="array" ref="F335">IF(G335="","",IF(_xlfn.TEXTJOIN(", ",TRUE,IFERROR(_xlfn._xlws.FILTER(Table3[Holiday Name],(G335&gt;=Table3[start])*(G335&lt;=Table3[end])),"**No associated Holiday"))="","",_xlfn.TEXTJOIN(", ",TRUE,IFERROR(_xlfn._xlws.FILTER(Table3[Holiday Name],(G335&gt;=Table3[start])*(G335&lt;=Table3[end])),"**No associated Holiday"))))</f>
        <v/>
      </c>
      <c r="G335" s="36"/>
    </row>
  </sheetData>
  <mergeCells count="13">
    <mergeCell ref="G26:K28"/>
    <mergeCell ref="G29:K30"/>
    <mergeCell ref="B13:C13"/>
    <mergeCell ref="B19:B28"/>
    <mergeCell ref="B9:C9"/>
    <mergeCell ref="B10:C10"/>
    <mergeCell ref="B11:C11"/>
    <mergeCell ref="B8:C8"/>
    <mergeCell ref="B3:C3"/>
    <mergeCell ref="B4:C4"/>
    <mergeCell ref="B5:C5"/>
    <mergeCell ref="B6:C6"/>
    <mergeCell ref="B7:C7"/>
  </mergeCells>
  <phoneticPr fontId="10" type="noConversion"/>
  <pageMargins left="0.7" right="0.7" top="0.75" bottom="0.75" header="0.3" footer="0.3"/>
  <customProperties>
    <customPr name="LastActive" r:id="rId1"/>
  </customProperties>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3FFDAC08-DE81-4152-A528-016A568B6244}">
          <x14:formula1>
            <xm:f>OFFSET('DROPDOWN LISTS'!$L$1, 1, 0, COUNTIF('DROPDOWN LISTS'!$L$2:$L$13,"&lt;&gt;"&amp;""), 1)</xm:f>
          </x14:formula1>
          <xm:sqref>B5:C5</xm:sqref>
        </x14:dataValidation>
        <x14:dataValidation type="list" allowBlank="1" showInputMessage="1" showErrorMessage="1" xr:uid="{B4F8E55F-DCB3-47F9-9F0F-40EBB1531B4E}">
          <x14:formula1>
            <xm:f>OFFSET('DROPDOWN LISTS'!$M$1, 1, 0, COUNTIF('DROPDOWN LISTS'!$M$2:$M$13,"&lt;&gt;"&amp;""), 1)</xm:f>
          </x14:formula1>
          <xm:sqref>B7:C7</xm:sqref>
        </x14:dataValidation>
        <x14:dataValidation type="list" allowBlank="1" showInputMessage="1" showErrorMessage="1" xr:uid="{A27685FC-4A4B-4E0C-BB46-FAC4873675F2}">
          <x14:formula1>
            <xm:f>OFFSET('DROPDOWN LISTS'!$P$1, 1, 0, COUNTIF('DROPDOWN LISTS'!$P$2:$P$13,"&lt;&gt;"&amp;""), 1)</xm:f>
          </x14:formula1>
          <xm:sqref>B11:C11</xm:sqref>
        </x14:dataValidation>
        <x14:dataValidation type="list" allowBlank="1" showInputMessage="1" showErrorMessage="1" xr:uid="{75458B07-85E2-4B8A-BEE7-1BDBA9306929}">
          <x14:formula1>
            <xm:f>OFFSET('DROPDOWN LISTS'!$L$1,1,MATCH($B$7,'DROPDOWN LISTS'!N1:O1,0)+1,COUNTA('DROPDOWN LISTS'!$Q$2:$Q$13),1)</xm:f>
          </x14:formula1>
          <xm:sqref>B9:C9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4BFD6-075B-4A77-A996-C3E4DDFB4F03}">
  <sheetPr codeName="Sheet1"/>
  <dimension ref="A1:AK385"/>
  <sheetViews>
    <sheetView tabSelected="1" topLeftCell="U1" workbookViewId="0">
      <selection activeCell="AD3" sqref="AD3"/>
    </sheetView>
  </sheetViews>
  <sheetFormatPr defaultRowHeight="14.5" x14ac:dyDescent="0.35"/>
  <cols>
    <col min="1" max="1" width="13.36328125" bestFit="1" customWidth="1"/>
    <col min="2" max="2" width="13.7265625" bestFit="1" customWidth="1"/>
    <col min="3" max="3" width="10.08984375" bestFit="1" customWidth="1"/>
    <col min="8" max="8" width="14.453125" customWidth="1"/>
    <col min="9" max="9" width="18" bestFit="1" customWidth="1"/>
    <col min="10" max="10" width="18" customWidth="1"/>
    <col min="12" max="12" width="14.1796875" customWidth="1"/>
    <col min="13" max="13" width="23.453125" customWidth="1"/>
    <col min="14" max="14" width="15.90625" bestFit="1" customWidth="1"/>
    <col min="15" max="15" width="11.1796875" bestFit="1" customWidth="1"/>
    <col min="16" max="16" width="13.7265625" bestFit="1" customWidth="1"/>
    <col min="17" max="17" width="19.08984375" style="36" bestFit="1" customWidth="1"/>
    <col min="18" max="18" width="16.90625" bestFit="1" customWidth="1"/>
    <col min="19" max="19" width="8.90625" bestFit="1" customWidth="1"/>
    <col min="23" max="23" width="13.90625" bestFit="1" customWidth="1"/>
    <col min="26" max="26" width="11.81640625" bestFit="1" customWidth="1"/>
    <col min="30" max="30" width="45.453125" customWidth="1"/>
    <col min="31" max="31" width="37.08984375" customWidth="1"/>
    <col min="34" max="34" width="9.08984375" bestFit="1" customWidth="1"/>
  </cols>
  <sheetData>
    <row r="1" spans="1:37" x14ac:dyDescent="0.35">
      <c r="Q1"/>
    </row>
    <row r="2" spans="1:37" x14ac:dyDescent="0.35">
      <c r="Q2"/>
      <c r="X2" s="31"/>
    </row>
    <row r="3" spans="1:37" x14ac:dyDescent="0.35">
      <c r="B3" t="s">
        <v>248</v>
      </c>
      <c r="C3" s="383" t="s">
        <v>231</v>
      </c>
      <c r="D3" s="383"/>
      <c r="E3" s="383"/>
      <c r="F3" s="383"/>
      <c r="G3" s="383"/>
      <c r="H3" s="383"/>
      <c r="I3" s="278" t="s">
        <v>230</v>
      </c>
      <c r="L3" s="278" t="s">
        <v>232</v>
      </c>
      <c r="M3" s="278" t="s">
        <v>99</v>
      </c>
      <c r="N3" s="278" t="s">
        <v>233</v>
      </c>
      <c r="O3" s="278" t="s">
        <v>234</v>
      </c>
      <c r="P3" s="278" t="s">
        <v>235</v>
      </c>
      <c r="Q3" s="278" t="s">
        <v>236</v>
      </c>
      <c r="R3" s="278" t="s">
        <v>237</v>
      </c>
      <c r="S3" s="278" t="s">
        <v>251</v>
      </c>
      <c r="U3" s="278" t="s">
        <v>261</v>
      </c>
      <c r="V3" s="278"/>
      <c r="W3" s="38"/>
      <c r="X3" s="304"/>
      <c r="Y3" s="278"/>
      <c r="AA3" s="278"/>
      <c r="AB3" s="278"/>
      <c r="AD3" t="e" cm="1" vm="1">
        <f t="array" ref="AD3">_xlfn._xlws.PY(0,1)</f>
        <v>#VALUE!</v>
      </c>
      <c r="AE3" t="s">
        <v>263</v>
      </c>
    </row>
    <row r="4" spans="1:37" x14ac:dyDescent="0.35">
      <c r="C4" s="391" t="s">
        <v>228</v>
      </c>
      <c r="D4" s="392"/>
      <c r="E4" s="392"/>
      <c r="F4" s="392"/>
      <c r="G4" s="392"/>
      <c r="H4" s="393"/>
      <c r="I4" s="320" t="s">
        <v>229</v>
      </c>
      <c r="J4" s="204"/>
      <c r="K4">
        <v>1</v>
      </c>
      <c r="L4" s="279">
        <f>Sheet1!$C$30+Sheet1!$F$26</f>
        <v>253.19230769230768</v>
      </c>
      <c r="M4" t="str">
        <f>TEXT(B23,"$0.00")&amp;" - "&amp;TEXT(L4,"$0.00")</f>
        <v>$55.00 - $253.19</v>
      </c>
      <c r="N4" s="32" cm="1">
        <f t="array" ref="N4:N17">IF(AND(FREQUENCY(FilteredValues,BinArray)=0,BinArray="X"),"X",FREQUENCY(FilteredValues,BinArray))</f>
        <v>9</v>
      </c>
      <c r="O4" s="22">
        <f>((L4-$B$23)/2)+$B$23</f>
        <v>154.09615384615384</v>
      </c>
      <c r="P4" s="32" cm="1">
        <f t="array" ref="P4:P17">FREQUENCY(NormalValues,BinArray)</f>
        <v>13</v>
      </c>
      <c r="Q4" s="283">
        <f>IF(OR(N4="X",N4=""),"X",N4/SUM(FilteredFrequency))</f>
        <v>2.9605263157894735E-2</v>
      </c>
      <c r="R4" s="283">
        <f>IF(O4="X","X",P4/SUM($P$4:$P$23))</f>
        <v>4.2763157894736843E-2</v>
      </c>
      <c r="S4" s="31" cm="1">
        <f t="array" ref="S4:S16">_xlfn.SEQUENCE($R$24,1,$B$23,$B$25/($R$24-1))</f>
        <v>55</v>
      </c>
      <c r="T4" s="32"/>
      <c r="U4" s="31">
        <f>$B$25/$L$24</f>
        <v>198.19230769230768</v>
      </c>
      <c r="X4" s="31"/>
      <c r="AA4" s="31"/>
      <c r="AE4" t="s">
        <v>262</v>
      </c>
    </row>
    <row r="5" spans="1:37" ht="15" thickBot="1" x14ac:dyDescent="0.4">
      <c r="C5" s="394"/>
      <c r="D5" s="395"/>
      <c r="E5" s="395"/>
      <c r="F5" s="395"/>
      <c r="G5" s="395"/>
      <c r="H5" s="396"/>
      <c r="I5" s="320"/>
      <c r="J5" s="204"/>
      <c r="K5">
        <v>2</v>
      </c>
      <c r="L5" s="279">
        <f>IFERROR(IF(L4+Sheet1!$F$26&gt;$B$24+0.1,"X",L4+Sheet1!$F$26),"X")</f>
        <v>451.38461538461536</v>
      </c>
      <c r="M5" t="str">
        <f>IF(L5="X",0,TEXT(L4+0.01,"$0.00")&amp;" - "&amp;TEXT(L5,"$0.00"))</f>
        <v>$253.20 - $451.38</v>
      </c>
      <c r="N5" s="32">
        <v>26</v>
      </c>
      <c r="O5" s="22">
        <f>IFERROR(IF(L5="X","X",(L5-L4)/2)+L4,"X")</f>
        <v>352.28846153846155</v>
      </c>
      <c r="P5" s="32">
        <v>16</v>
      </c>
      <c r="Q5" s="283">
        <f>IF(OR(N5="X",N5=""),"X",N5/SUM(FilteredFrequency))</f>
        <v>8.5526315789473686E-2</v>
      </c>
      <c r="R5" s="283">
        <f t="shared" ref="R5:R23" si="0">IF(O5="X","X",P5/SUM($P$4:$P$23))</f>
        <v>5.2631578947368418E-2</v>
      </c>
      <c r="S5" s="31">
        <v>269.70833333333337</v>
      </c>
      <c r="T5" s="32"/>
      <c r="U5" s="31"/>
      <c r="X5" s="31"/>
    </row>
    <row r="6" spans="1:37" ht="15" thickBot="1" x14ac:dyDescent="0.4">
      <c r="A6" s="377" t="s">
        <v>212</v>
      </c>
      <c r="B6" s="378"/>
      <c r="C6" s="377" t="str" cm="1">
        <f t="array" ref="C6">"Looking at "&amp;Sheet1!$B$5&amp;" by the "&amp;_xlfn.SWITCH(Sheet1!$B$7,
"Entire Year","entire year ",
"Month of Year","month of "&amp;Sheet1!$B$9,
"Day of Week","day,  "&amp;Sheet1!$B$9)&amp;", "&amp;Sheet1!$B$11&amp;" shifts."</f>
        <v>Looking at Sales by the entire year , ALL shifts.</v>
      </c>
      <c r="D6" s="397"/>
      <c r="E6" s="397"/>
      <c r="F6" s="397"/>
      <c r="G6" s="397"/>
      <c r="H6" s="378"/>
      <c r="I6" s="321"/>
      <c r="J6" s="204">
        <f>COUNT(C7:C310)</f>
        <v>304</v>
      </c>
      <c r="K6">
        <v>3</v>
      </c>
      <c r="L6" s="279">
        <f>IFERROR(IF(L5+Sheet1!$F$26&gt;$B$24+0.1,"X",L5+Sheet1!$F$26),"X")</f>
        <v>649.57692307692309</v>
      </c>
      <c r="M6" t="str">
        <f t="shared" ref="M6:M23" si="1">IF(L6="X",0,TEXT(L5+0.01,"$0.00")&amp;" - "&amp;TEXT(L6,"$0.00"))</f>
        <v>$451.39 - $649.58</v>
      </c>
      <c r="N6" s="32">
        <v>42</v>
      </c>
      <c r="O6" s="22">
        <f t="shared" ref="O6:O23" si="2">IFERROR(IF(L6="X","X",(L6-L5)/2)+L5,"X")</f>
        <v>550.48076923076928</v>
      </c>
      <c r="P6" s="32">
        <v>32</v>
      </c>
      <c r="Q6" s="283">
        <f>IF(OR(N6="X",N6=""),"X",N6/SUM(FilteredFrequency))</f>
        <v>0.13815789473684212</v>
      </c>
      <c r="R6" s="283">
        <f t="shared" si="0"/>
        <v>0.10526315789473684</v>
      </c>
      <c r="S6" s="31">
        <v>484.41666666666674</v>
      </c>
      <c r="T6" s="32"/>
      <c r="X6" s="31"/>
    </row>
    <row r="7" spans="1:37" x14ac:dyDescent="0.35">
      <c r="A7" s="263" t="s">
        <v>74</v>
      </c>
      <c r="B7" s="272">
        <f>COUNT(FilteredValues)</f>
        <v>304</v>
      </c>
      <c r="C7" s="36" cm="1">
        <f t="array" ref="C7:H310">_xlfn.CHOOSECOLS(_xlfn._xlws.FILTER(RAW[],(RAW[Shift Count]&gt;0)*(_xlfn.SWITCH(Sheet1!$B$7,
"Month of Year",(RAW[MONTH]=Sheet1!$B$9),
"Day of Week",(RAW[DOW]=Sheet1!$B$9),
"Entire Year",(RAW[Shift Count]&gt;0))*(_xlfn.SWITCH(Sheet1!$B$11,
"AM",(RAW[AM/PM]=Sheet1!$B$11),
"PM",(RAW[AM/PM]=Sheet1!$B$11),
"DOUBLE",(RAW[SINGLE/DODBLUBLE]="DOUBLE"),
"ALL",(RAW[SINGLE/DODBLUBLE]&lt;&gt;""))))),1,2,3,4,_xlfn.SWITCH(Sheet1!$B$5,
"Tips per Hour",22,
"Sales per Hour",23,
"Sales",5,
"Hours Worked",14,
"Tips",17),
21)</f>
        <v>45093</v>
      </c>
      <c r="D7" t="str">
        <v>PM</v>
      </c>
      <c r="E7" t="str">
        <v>June</v>
      </c>
      <c r="F7" t="str">
        <v>FRI</v>
      </c>
      <c r="G7" s="31">
        <v>697</v>
      </c>
      <c r="H7" t="str">
        <v>SINGLE</v>
      </c>
      <c r="I7" cm="1">
        <f t="array" ref="I7:I310">FilteredValues</f>
        <v>697</v>
      </c>
      <c r="J7" t="str" cm="1">
        <f t="array" ref="J7:J13">_xlfn.UNIQUE(F7:F32)</f>
        <v>FRI</v>
      </c>
      <c r="K7">
        <v>4</v>
      </c>
      <c r="L7" s="279">
        <f>IFERROR(IF(L6+Sheet1!$F$26&gt;$B$24+0.1,"X",L6+Sheet1!$F$26),"X")</f>
        <v>847.76923076923072</v>
      </c>
      <c r="M7" t="str">
        <f t="shared" si="1"/>
        <v>$649.59 - $847.77</v>
      </c>
      <c r="N7" s="32">
        <v>31</v>
      </c>
      <c r="O7" s="22">
        <f t="shared" si="2"/>
        <v>748.67307692307691</v>
      </c>
      <c r="P7" s="32">
        <v>44</v>
      </c>
      <c r="Q7" s="283">
        <f>IF(OR(N7="X",N7=""),"X",N7/SUM(FilteredFrequency))</f>
        <v>0.10197368421052631</v>
      </c>
      <c r="R7" s="283">
        <f t="shared" si="0"/>
        <v>0.14473684210526316</v>
      </c>
      <c r="S7" s="31">
        <v>699.12500000000011</v>
      </c>
      <c r="T7" s="32"/>
    </row>
    <row r="8" spans="1:37" x14ac:dyDescent="0.35">
      <c r="A8" s="264" t="s">
        <v>76</v>
      </c>
      <c r="B8" s="262">
        <f>AVERAGE(FilteredValues)</f>
        <v>1005.0628289473685</v>
      </c>
      <c r="C8" s="36">
        <v>45094</v>
      </c>
      <c r="D8" t="str">
        <v>PM</v>
      </c>
      <c r="E8" t="str">
        <v>June</v>
      </c>
      <c r="F8" t="str">
        <v>SAT</v>
      </c>
      <c r="G8" s="31">
        <v>1800</v>
      </c>
      <c r="H8" t="str">
        <v>SINGLE</v>
      </c>
      <c r="I8">
        <v>1800</v>
      </c>
      <c r="J8" t="str">
        <v>SAT</v>
      </c>
      <c r="K8">
        <v>5</v>
      </c>
      <c r="L8" s="279">
        <f>IFERROR(IF(L7+Sheet1!$F$26&gt;$B$24+0.1,"X",L7+Sheet1!$F$26),"X")</f>
        <v>1045.9615384615383</v>
      </c>
      <c r="M8" t="str">
        <f t="shared" si="1"/>
        <v>$847.78 - $1045.96</v>
      </c>
      <c r="N8" s="32">
        <v>57</v>
      </c>
      <c r="O8" s="22">
        <f t="shared" si="2"/>
        <v>946.86538461538453</v>
      </c>
      <c r="P8" s="32">
        <v>51</v>
      </c>
      <c r="Q8" s="283">
        <f>IF(OR(N8="X",N8=""),"X",N8/SUM(FilteredFrequency))</f>
        <v>0.1875</v>
      </c>
      <c r="R8" s="283">
        <f t="shared" si="0"/>
        <v>0.16776315789473684</v>
      </c>
      <c r="S8" s="31">
        <v>913.83333333333348</v>
      </c>
      <c r="T8" s="32"/>
      <c r="U8" s="31"/>
    </row>
    <row r="9" spans="1:37" x14ac:dyDescent="0.35">
      <c r="A9" s="97" t="s">
        <v>77</v>
      </c>
      <c r="B9" s="260">
        <f>MEDIAN(FilteredValues)</f>
        <v>1018</v>
      </c>
      <c r="C9" s="36">
        <v>45095</v>
      </c>
      <c r="D9" t="str">
        <v>PM</v>
      </c>
      <c r="E9" t="str">
        <v>June</v>
      </c>
      <c r="F9" t="str">
        <v>SUN</v>
      </c>
      <c r="G9" s="31">
        <v>1015</v>
      </c>
      <c r="H9" t="str">
        <v>SINGLE</v>
      </c>
      <c r="I9">
        <v>1015</v>
      </c>
      <c r="J9" t="str">
        <v>SUN</v>
      </c>
      <c r="K9">
        <v>6</v>
      </c>
      <c r="L9" s="279">
        <f>IFERROR(IF(L8+Sheet1!$F$26&gt;$B$24+0.1,"X",L8+Sheet1!$F$26),"X")</f>
        <v>1244.153846153846</v>
      </c>
      <c r="M9" t="str">
        <f t="shared" si="1"/>
        <v>$1045.97 - $1244.15</v>
      </c>
      <c r="N9" s="32">
        <v>50</v>
      </c>
      <c r="O9" s="22">
        <f t="shared" si="2"/>
        <v>1145.0576923076922</v>
      </c>
      <c r="P9" s="32">
        <v>48</v>
      </c>
      <c r="Q9" s="283">
        <f>IF(OR(N9="X",N9=""),"X",N9/SUM(FilteredFrequency))</f>
        <v>0.16447368421052633</v>
      </c>
      <c r="R9" s="283">
        <f t="shared" si="0"/>
        <v>0.15789473684210525</v>
      </c>
      <c r="S9" s="31">
        <v>1128.5416666666667</v>
      </c>
      <c r="T9" s="32"/>
      <c r="U9" s="31"/>
    </row>
    <row r="10" spans="1:37" x14ac:dyDescent="0.35">
      <c r="A10" s="97" t="s">
        <v>224</v>
      </c>
      <c r="B10" s="260">
        <f>_xlfn.MODE.SNGL(FilteredValues)</f>
        <v>1018</v>
      </c>
      <c r="C10" s="36">
        <v>45096</v>
      </c>
      <c r="D10" t="str">
        <v>PM</v>
      </c>
      <c r="E10" t="str">
        <v>June</v>
      </c>
      <c r="F10" t="str">
        <v>MON</v>
      </c>
      <c r="G10" s="31">
        <v>551</v>
      </c>
      <c r="H10" t="str">
        <v>SINGLE</v>
      </c>
      <c r="I10">
        <v>551</v>
      </c>
      <c r="J10" t="str">
        <v>MON</v>
      </c>
      <c r="K10">
        <v>7</v>
      </c>
      <c r="L10" s="279">
        <f>IFERROR(IF(L9+Sheet1!$F$26&gt;$B$24+0.1,"X",L9+Sheet1!$F$26),"X")</f>
        <v>1442.3461538461536</v>
      </c>
      <c r="M10" t="str">
        <f t="shared" si="1"/>
        <v>$1244.16 - $1442.35</v>
      </c>
      <c r="N10" s="32">
        <v>48</v>
      </c>
      <c r="O10" s="22">
        <f t="shared" si="2"/>
        <v>1343.2499999999998</v>
      </c>
      <c r="P10" s="32">
        <v>39</v>
      </c>
      <c r="Q10" s="283">
        <f>IF(OR(N10="X",N10=""),"X",N10/SUM(FilteredFrequency))</f>
        <v>0.15789473684210525</v>
      </c>
      <c r="R10" s="283">
        <f t="shared" si="0"/>
        <v>0.12828947368421054</v>
      </c>
      <c r="S10" s="31">
        <v>1343.25</v>
      </c>
      <c r="T10" s="32"/>
      <c r="AE10" t="e" cm="1" vm="2">
        <f t="array" ref="AE10">_xlfn._xlws.PY(1,1)</f>
        <v>#VALUE!</v>
      </c>
    </row>
    <row r="11" spans="1:37" x14ac:dyDescent="0.35">
      <c r="A11" s="97" t="s">
        <v>225</v>
      </c>
      <c r="B11" s="260" cm="1">
        <f t="array" ref="B11:B13">_xlfn.MODE.MULT(FilteredValues)</f>
        <v>1018</v>
      </c>
      <c r="C11" s="36">
        <v>45097</v>
      </c>
      <c r="D11" t="str">
        <v>PM</v>
      </c>
      <c r="E11" t="str">
        <v>June</v>
      </c>
      <c r="F11" t="str">
        <v>TUE</v>
      </c>
      <c r="G11" s="31">
        <v>489.5</v>
      </c>
      <c r="H11" t="str">
        <v>SINGLE</v>
      </c>
      <c r="I11">
        <v>489.5</v>
      </c>
      <c r="J11" t="str">
        <v>TUE</v>
      </c>
      <c r="K11">
        <v>8</v>
      </c>
      <c r="L11" s="279">
        <f>IFERROR(IF(L10+Sheet1!$F$26&gt;$B$24+0.1,"X",L10+Sheet1!$F$26),"X")</f>
        <v>1640.5384615384612</v>
      </c>
      <c r="M11" t="str">
        <f t="shared" si="1"/>
        <v>$1442.36 - $1640.54</v>
      </c>
      <c r="N11" s="32">
        <v>19</v>
      </c>
      <c r="O11" s="22">
        <f t="shared" si="2"/>
        <v>1541.4423076923074</v>
      </c>
      <c r="P11" s="32">
        <v>25</v>
      </c>
      <c r="Q11" s="283">
        <f>IF(OR(N11="X",N11=""),"X",N11/SUM(FilteredFrequency))</f>
        <v>6.25E-2</v>
      </c>
      <c r="R11" s="283">
        <f t="shared" si="0"/>
        <v>8.2236842105263164E-2</v>
      </c>
      <c r="S11" s="31">
        <v>1557.9583333333333</v>
      </c>
      <c r="T11" s="32"/>
    </row>
    <row r="12" spans="1:37" x14ac:dyDescent="0.35">
      <c r="A12" s="379" t="s">
        <v>226</v>
      </c>
      <c r="B12" s="260">
        <v>410</v>
      </c>
      <c r="C12" s="36">
        <v>45098</v>
      </c>
      <c r="D12" t="str">
        <v>PM</v>
      </c>
      <c r="E12" t="str">
        <v>June</v>
      </c>
      <c r="F12" t="str">
        <v>WED</v>
      </c>
      <c r="G12" s="31">
        <v>1067</v>
      </c>
      <c r="H12" t="str">
        <v>SINGLE</v>
      </c>
      <c r="I12">
        <v>1067</v>
      </c>
      <c r="J12" t="str">
        <v>WED</v>
      </c>
      <c r="K12">
        <v>9</v>
      </c>
      <c r="L12" s="279">
        <f>IFERROR(IF(L11+Sheet1!$F$26&gt;$B$24+0.1,"X",L11+Sheet1!$F$26),"X")</f>
        <v>1838.7307692307688</v>
      </c>
      <c r="M12" t="str">
        <f t="shared" si="1"/>
        <v>$1640.55 - $1838.73</v>
      </c>
      <c r="N12" s="32">
        <v>12</v>
      </c>
      <c r="O12" s="22">
        <f t="shared" si="2"/>
        <v>1739.634615384615</v>
      </c>
      <c r="P12" s="32">
        <v>14</v>
      </c>
      <c r="Q12" s="283">
        <f>IF(OR(N12="X",N12=""),"X",N12/SUM(FilteredFrequency))</f>
        <v>3.9473684210526314E-2</v>
      </c>
      <c r="R12" s="283">
        <f t="shared" si="0"/>
        <v>4.6052631578947366E-2</v>
      </c>
      <c r="S12" s="31">
        <v>1772.6666666666665</v>
      </c>
      <c r="T12" s="32"/>
    </row>
    <row r="13" spans="1:37" ht="14.5" customHeight="1" x14ac:dyDescent="0.35">
      <c r="A13" s="379"/>
      <c r="B13" s="260">
        <v>1427</v>
      </c>
      <c r="C13" s="36">
        <v>45100</v>
      </c>
      <c r="D13" t="str">
        <v>PM</v>
      </c>
      <c r="E13" t="str">
        <v>June</v>
      </c>
      <c r="F13" t="str">
        <v>FRI</v>
      </c>
      <c r="G13" s="31">
        <v>1391.51</v>
      </c>
      <c r="H13" t="str">
        <v>SINGLE</v>
      </c>
      <c r="I13">
        <v>1391.51</v>
      </c>
      <c r="J13" t="str">
        <v>THU</v>
      </c>
      <c r="K13">
        <v>10</v>
      </c>
      <c r="L13" s="279">
        <f>IFERROR(IF(L12+Sheet1!$F$26&gt;$B$24+0.1,"X",L12+Sheet1!$F$26),"X")</f>
        <v>2036.9230769230765</v>
      </c>
      <c r="M13" t="str">
        <f t="shared" si="1"/>
        <v>$1838.74 - $2036.92</v>
      </c>
      <c r="N13" s="32">
        <v>4</v>
      </c>
      <c r="O13" s="22">
        <f t="shared" si="2"/>
        <v>1937.8269230769226</v>
      </c>
      <c r="P13" s="32">
        <v>6</v>
      </c>
      <c r="Q13" s="283">
        <f>IF(OR(N13="X",N13=""),"X",N13/SUM(FilteredFrequency))</f>
        <v>1.3157894736842105E-2</v>
      </c>
      <c r="R13" s="283">
        <f t="shared" si="0"/>
        <v>1.9736842105263157E-2</v>
      </c>
      <c r="S13" s="31">
        <v>1987.3749999999998</v>
      </c>
      <c r="T13" s="32"/>
      <c r="U13" s="31"/>
      <c r="V13" s="31"/>
      <c r="AC13" s="31"/>
      <c r="AE13" s="31"/>
      <c r="AF13" s="31"/>
      <c r="AG13" s="31"/>
      <c r="AH13" s="31"/>
      <c r="AI13" s="31"/>
      <c r="AJ13" s="31"/>
      <c r="AK13" s="31"/>
    </row>
    <row r="14" spans="1:37" ht="14.5" customHeight="1" x14ac:dyDescent="0.35">
      <c r="A14" s="379"/>
      <c r="B14" s="260"/>
      <c r="C14" s="36">
        <v>45102</v>
      </c>
      <c r="D14" t="str">
        <v>PM</v>
      </c>
      <c r="E14" t="str">
        <v>June</v>
      </c>
      <c r="F14" t="str">
        <v>SUN</v>
      </c>
      <c r="G14" s="31">
        <v>1421.5</v>
      </c>
      <c r="H14" t="str">
        <v>SINGLE</v>
      </c>
      <c r="I14">
        <v>1421.5</v>
      </c>
      <c r="J14" t="str" cm="1">
        <f t="array" ref="J14:J25">_xlfn.UNIQUE(E7:E297)</f>
        <v>June</v>
      </c>
      <c r="K14">
        <v>11</v>
      </c>
      <c r="L14" s="279">
        <f>IFERROR(IF(L13+Sheet1!$F$26&gt;$B$24+0.1,"X",L13+Sheet1!$F$26),"X")</f>
        <v>2235.1153846153843</v>
      </c>
      <c r="M14" t="str">
        <f t="shared" si="1"/>
        <v>$2036.93 - $2235.12</v>
      </c>
      <c r="N14" s="32">
        <v>5</v>
      </c>
      <c r="O14" s="22">
        <f t="shared" si="2"/>
        <v>2136.0192307692305</v>
      </c>
      <c r="P14" s="32">
        <v>2</v>
      </c>
      <c r="Q14" s="283">
        <f>IF(OR(N14="X",N14=""),"X",N14/SUM(FilteredFrequency))</f>
        <v>1.6447368421052631E-2</v>
      </c>
      <c r="R14" s="283">
        <f t="shared" si="0"/>
        <v>6.5789473684210523E-3</v>
      </c>
      <c r="S14" s="31">
        <v>2202.083333333333</v>
      </c>
      <c r="T14" s="32"/>
      <c r="AC14" s="31"/>
      <c r="AE14" s="31"/>
      <c r="AF14" s="31"/>
      <c r="AG14" s="31"/>
      <c r="AH14" s="31"/>
      <c r="AI14" s="31"/>
      <c r="AJ14" s="31"/>
      <c r="AK14" s="31"/>
    </row>
    <row r="15" spans="1:37" ht="14.5" customHeight="1" x14ac:dyDescent="0.35">
      <c r="A15" s="379"/>
      <c r="B15" s="260"/>
      <c r="C15" s="36">
        <v>45103</v>
      </c>
      <c r="D15" t="str">
        <v>PM</v>
      </c>
      <c r="E15" t="str">
        <v>June</v>
      </c>
      <c r="F15" t="str">
        <v>MON</v>
      </c>
      <c r="G15" s="31">
        <v>807.5</v>
      </c>
      <c r="H15" t="str">
        <v>SINGLE</v>
      </c>
      <c r="I15">
        <v>807.5</v>
      </c>
      <c r="J15" t="str">
        <v>July</v>
      </c>
      <c r="K15">
        <v>12</v>
      </c>
      <c r="L15" s="279">
        <f>IFERROR(IF(L14+Sheet1!$F$26&gt;$B$24+0.1,"X",L14+Sheet1!$F$26),"X")</f>
        <v>2433.3076923076919</v>
      </c>
      <c r="M15" t="str">
        <f t="shared" si="1"/>
        <v>$2235.13 - $2433.31</v>
      </c>
      <c r="N15" s="32">
        <v>0</v>
      </c>
      <c r="O15" s="22">
        <f t="shared" si="2"/>
        <v>2334.2115384615381</v>
      </c>
      <c r="P15" s="32">
        <v>14</v>
      </c>
      <c r="Q15" s="283">
        <f>IF(OR(N15="X",N15=""),"X",N15/SUM(FilteredFrequency))</f>
        <v>0</v>
      </c>
      <c r="R15" s="283">
        <f t="shared" si="0"/>
        <v>4.6052631578947366E-2</v>
      </c>
      <c r="S15" s="31">
        <v>2416.7916666666665</v>
      </c>
    </row>
    <row r="16" spans="1:37" ht="14.5" customHeight="1" x14ac:dyDescent="0.35">
      <c r="A16" s="379"/>
      <c r="B16" s="260"/>
      <c r="C16" s="36">
        <v>45104</v>
      </c>
      <c r="D16" t="str">
        <v>PM</v>
      </c>
      <c r="E16" t="str">
        <v>June</v>
      </c>
      <c r="F16" t="str">
        <v>TUE</v>
      </c>
      <c r="G16" s="31">
        <v>1425</v>
      </c>
      <c r="H16" t="str">
        <v>SINGLE</v>
      </c>
      <c r="I16">
        <v>1425</v>
      </c>
      <c r="J16" t="str">
        <v>August</v>
      </c>
      <c r="K16">
        <v>13</v>
      </c>
      <c r="L16" s="279">
        <f>IFERROR(IF(L15+Sheet1!$F$26&gt;$B$24+0.1,"X",L15+Sheet1!$F$26),"X")</f>
        <v>2631.4999999999995</v>
      </c>
      <c r="M16" t="str">
        <f t="shared" si="1"/>
        <v>$2433.32 - $2631.50</v>
      </c>
      <c r="N16" s="32">
        <v>1</v>
      </c>
      <c r="O16" s="22">
        <f t="shared" si="2"/>
        <v>2532.4038461538457</v>
      </c>
      <c r="P16" s="32">
        <v>0</v>
      </c>
      <c r="Q16" s="283">
        <f>IF(OR(N16="X",N16=""),"X",N16/SUM(FilteredFrequency))</f>
        <v>3.2894736842105261E-3</v>
      </c>
      <c r="R16" s="283">
        <f t="shared" si="0"/>
        <v>0</v>
      </c>
      <c r="S16" s="31">
        <v>2631.5</v>
      </c>
    </row>
    <row r="17" spans="1:34" ht="14.5" customHeight="1" x14ac:dyDescent="0.35">
      <c r="A17" s="379"/>
      <c r="B17" s="260"/>
      <c r="C17" s="36">
        <v>45105</v>
      </c>
      <c r="D17" t="str">
        <v>PM</v>
      </c>
      <c r="E17" t="str">
        <v>June</v>
      </c>
      <c r="F17" t="str">
        <v>WED</v>
      </c>
      <c r="G17" s="31">
        <v>1045</v>
      </c>
      <c r="H17" t="str">
        <v>SINGLE</v>
      </c>
      <c r="I17">
        <v>1045</v>
      </c>
      <c r="J17" t="str">
        <v>September</v>
      </c>
      <c r="K17">
        <v>14</v>
      </c>
      <c r="L17" s="279" t="str">
        <f>IFERROR(IF(L16+Sheet1!$F$26&gt;$B$24+0.1,"X",L16+Sheet1!$F$26),"X")</f>
        <v>X</v>
      </c>
      <c r="M17">
        <f t="shared" si="1"/>
        <v>0</v>
      </c>
      <c r="N17" s="32">
        <v>0</v>
      </c>
      <c r="O17" s="22" t="str">
        <f t="shared" si="2"/>
        <v>X</v>
      </c>
      <c r="P17" s="32">
        <v>0</v>
      </c>
      <c r="Q17" s="283">
        <f>IF(OR(N17="X",N17=""),"X",N17/SUM(FilteredFrequency))</f>
        <v>0</v>
      </c>
      <c r="R17" s="283" t="str">
        <f t="shared" si="0"/>
        <v>X</v>
      </c>
      <c r="S17" s="31"/>
    </row>
    <row r="18" spans="1:34" ht="14.5" customHeight="1" x14ac:dyDescent="0.35">
      <c r="A18" s="379"/>
      <c r="B18" s="260"/>
      <c r="C18" s="36">
        <v>45107</v>
      </c>
      <c r="D18" t="str">
        <v>PM</v>
      </c>
      <c r="E18" t="str">
        <v>June</v>
      </c>
      <c r="F18" t="str">
        <v>FRI</v>
      </c>
      <c r="G18" s="31">
        <v>1123.5</v>
      </c>
      <c r="H18" t="str">
        <v>SINGLE</v>
      </c>
      <c r="I18">
        <v>1123.5</v>
      </c>
      <c r="J18" t="str">
        <v>October</v>
      </c>
      <c r="K18">
        <v>15</v>
      </c>
      <c r="L18" s="279" t="str">
        <f>IFERROR(IF(L17+Sheet1!$F$26&gt;$B$24+0.1,"X",L17+Sheet1!$F$26),"X")</f>
        <v>X</v>
      </c>
      <c r="M18">
        <f t="shared" si="1"/>
        <v>0</v>
      </c>
      <c r="O18" s="22" t="str">
        <f t="shared" si="2"/>
        <v>X</v>
      </c>
      <c r="P18" s="32"/>
      <c r="Q18" s="283" t="str">
        <f>IF(OR(N18="X",N18=""),"X",N18/SUM(FilteredFrequency))</f>
        <v>X</v>
      </c>
      <c r="R18" s="283" t="str">
        <f t="shared" si="0"/>
        <v>X</v>
      </c>
      <c r="S18" s="31"/>
      <c r="T18" s="32"/>
      <c r="X18" cm="1">
        <f t="array" ref="X18:X321">FilteredValues</f>
        <v>697</v>
      </c>
    </row>
    <row r="19" spans="1:34" ht="14.5" customHeight="1" x14ac:dyDescent="0.35">
      <c r="A19" s="379"/>
      <c r="B19" s="260"/>
      <c r="C19" s="36">
        <v>45108</v>
      </c>
      <c r="D19" t="str">
        <v>PM</v>
      </c>
      <c r="E19" t="str">
        <v>July</v>
      </c>
      <c r="F19" t="str">
        <v>SAT</v>
      </c>
      <c r="G19" s="31">
        <v>1537</v>
      </c>
      <c r="H19" t="str">
        <v>SINGLE</v>
      </c>
      <c r="I19">
        <v>1537</v>
      </c>
      <c r="J19" t="str">
        <v>November</v>
      </c>
      <c r="K19">
        <v>16</v>
      </c>
      <c r="L19" s="279" t="str">
        <f>IFERROR(IF(L18+Sheet1!$F$26&gt;$B$24+0.1,"X",L18+Sheet1!$F$26),"X")</f>
        <v>X</v>
      </c>
      <c r="M19">
        <f t="shared" si="1"/>
        <v>0</v>
      </c>
      <c r="O19" s="22" t="str">
        <f t="shared" si="2"/>
        <v>X</v>
      </c>
      <c r="P19" s="32"/>
      <c r="Q19" s="283" t="str">
        <f>IF(OR(N19="X",N19=""),"X",N19/SUM(FilteredFrequency))</f>
        <v>X</v>
      </c>
      <c r="R19" s="283" t="str">
        <f t="shared" si="0"/>
        <v>X</v>
      </c>
      <c r="S19" s="31"/>
      <c r="T19" s="32"/>
      <c r="X19">
        <v>1800</v>
      </c>
      <c r="AE19" s="38"/>
    </row>
    <row r="20" spans="1:34" ht="14.5" customHeight="1" x14ac:dyDescent="0.35">
      <c r="A20" s="379"/>
      <c r="B20" s="260"/>
      <c r="C20" s="36">
        <v>45109</v>
      </c>
      <c r="D20" t="str">
        <v>PM</v>
      </c>
      <c r="E20" t="str">
        <v>July</v>
      </c>
      <c r="F20" t="str">
        <v>SUN</v>
      </c>
      <c r="G20" s="31">
        <v>963</v>
      </c>
      <c r="H20" t="str">
        <v>SINGLE</v>
      </c>
      <c r="I20">
        <v>963</v>
      </c>
      <c r="J20" t="str">
        <v>December</v>
      </c>
      <c r="K20">
        <v>17</v>
      </c>
      <c r="L20" s="279" t="str">
        <f>IFERROR(IF(L19+Sheet1!$F$26&gt;$B$24+0.1,"X",L19+Sheet1!$F$26),"X")</f>
        <v>X</v>
      </c>
      <c r="M20">
        <f t="shared" si="1"/>
        <v>0</v>
      </c>
      <c r="O20" s="22" t="str">
        <f t="shared" si="2"/>
        <v>X</v>
      </c>
      <c r="P20" s="32"/>
      <c r="Q20" s="283" t="str">
        <f>IF(OR(N20="X",N20=""),"X",N20/SUM(FilteredFrequency))</f>
        <v>X</v>
      </c>
      <c r="R20" s="283" t="str">
        <f t="shared" si="0"/>
        <v>X</v>
      </c>
      <c r="S20" s="31"/>
      <c r="T20" s="32"/>
      <c r="X20">
        <v>1015</v>
      </c>
    </row>
    <row r="21" spans="1:34" ht="14.5" customHeight="1" thickBot="1" x14ac:dyDescent="0.4">
      <c r="A21" s="380"/>
      <c r="B21" s="273"/>
      <c r="C21" s="36">
        <v>45112</v>
      </c>
      <c r="D21" t="str">
        <v>PM</v>
      </c>
      <c r="E21" t="str">
        <v>July</v>
      </c>
      <c r="F21" t="str">
        <v>WED</v>
      </c>
      <c r="G21" s="31">
        <v>1227.5</v>
      </c>
      <c r="H21" t="str">
        <v>SINGLE</v>
      </c>
      <c r="I21">
        <v>1227.5</v>
      </c>
      <c r="J21" t="str">
        <v>January</v>
      </c>
      <c r="K21">
        <v>18</v>
      </c>
      <c r="L21" s="279" t="str">
        <f>IFERROR(IF(L20+Sheet1!$F$26&gt;$B$24+0.1,"X",L20+Sheet1!$F$26),"X")</f>
        <v>X</v>
      </c>
      <c r="M21">
        <f t="shared" si="1"/>
        <v>0</v>
      </c>
      <c r="O21" s="22" t="str">
        <f t="shared" si="2"/>
        <v>X</v>
      </c>
      <c r="P21" s="32"/>
      <c r="Q21" s="283" t="str">
        <f>IF(OR(N21="X",N21=""),"X",N21/SUM(FilteredFrequency))</f>
        <v>X</v>
      </c>
      <c r="R21" s="283" t="str">
        <f t="shared" si="0"/>
        <v>X</v>
      </c>
      <c r="S21" s="31"/>
      <c r="T21" s="32"/>
      <c r="X21">
        <v>551</v>
      </c>
    </row>
    <row r="22" spans="1:34" ht="15" customHeight="1" thickBot="1" x14ac:dyDescent="0.4">
      <c r="A22" s="11"/>
      <c r="B22" s="31"/>
      <c r="C22" s="36">
        <v>45113</v>
      </c>
      <c r="D22" t="str">
        <v>PM</v>
      </c>
      <c r="E22" t="str">
        <v>July</v>
      </c>
      <c r="F22" t="str">
        <v>THU</v>
      </c>
      <c r="G22" s="31">
        <v>1315.5</v>
      </c>
      <c r="H22" t="str">
        <v>SINGLE</v>
      </c>
      <c r="I22">
        <v>1315.5</v>
      </c>
      <c r="J22" t="str">
        <v>February</v>
      </c>
      <c r="K22">
        <v>19</v>
      </c>
      <c r="L22" s="279" t="str">
        <f>IFERROR(IF(L21+Sheet1!$F$26&gt;$B$24+0.1,"X",L21+Sheet1!$F$26),"X")</f>
        <v>X</v>
      </c>
      <c r="M22">
        <f t="shared" si="1"/>
        <v>0</v>
      </c>
      <c r="O22" s="22" t="str">
        <f t="shared" si="2"/>
        <v>X</v>
      </c>
      <c r="P22" s="32"/>
      <c r="Q22" s="283" t="str">
        <f>IF(OR(N22="X",N22=""),"X",N22/SUM(FilteredFrequency))</f>
        <v>X</v>
      </c>
      <c r="R22" s="283" t="str">
        <f t="shared" si="0"/>
        <v>X</v>
      </c>
      <c r="S22" s="31"/>
      <c r="T22" s="32"/>
      <c r="X22">
        <v>489.5</v>
      </c>
    </row>
    <row r="23" spans="1:34" x14ac:dyDescent="0.35">
      <c r="A23" s="265" t="s">
        <v>213</v>
      </c>
      <c r="B23" s="274">
        <f>MIN(FilteredValues)</f>
        <v>55</v>
      </c>
      <c r="C23" s="36">
        <v>45114</v>
      </c>
      <c r="D23" t="str">
        <v>PM</v>
      </c>
      <c r="E23" t="str">
        <v>July</v>
      </c>
      <c r="F23" t="str">
        <v>FRI</v>
      </c>
      <c r="G23" s="31">
        <v>1166.5</v>
      </c>
      <c r="H23" t="str">
        <v>SINGLE</v>
      </c>
      <c r="I23">
        <v>1166.5</v>
      </c>
      <c r="J23" t="str">
        <v>March</v>
      </c>
      <c r="K23">
        <v>20</v>
      </c>
      <c r="L23" s="279" t="str">
        <f>IFERROR(IF(L22+Sheet1!$F$26&gt;$B$24+0.1,"X",L22+Sheet1!$F$26),"X")</f>
        <v>X</v>
      </c>
      <c r="M23">
        <f t="shared" si="1"/>
        <v>0</v>
      </c>
      <c r="O23" s="22" t="str">
        <f t="shared" si="2"/>
        <v>X</v>
      </c>
      <c r="P23" s="32"/>
      <c r="Q23" s="283" t="str">
        <f>IF(OR(N23="X",N23=""),"X",N23/SUM(FilteredFrequency))</f>
        <v>X</v>
      </c>
      <c r="R23" s="283" t="str">
        <f t="shared" si="0"/>
        <v>X</v>
      </c>
      <c r="S23" s="31"/>
      <c r="T23" s="32"/>
      <c r="X23">
        <v>1067</v>
      </c>
    </row>
    <row r="24" spans="1:34" ht="15" thickBot="1" x14ac:dyDescent="0.4">
      <c r="A24" s="266" t="s">
        <v>214</v>
      </c>
      <c r="B24" s="271">
        <f>MAX(FilteredValues)</f>
        <v>2631.5</v>
      </c>
      <c r="C24" s="36">
        <v>45115</v>
      </c>
      <c r="D24" t="str">
        <v>PM</v>
      </c>
      <c r="E24" t="str">
        <v>July</v>
      </c>
      <c r="F24" t="str">
        <v>SAT</v>
      </c>
      <c r="G24" s="31">
        <v>1261</v>
      </c>
      <c r="H24" t="str">
        <v>SINGLE</v>
      </c>
      <c r="I24">
        <v>1261</v>
      </c>
      <c r="J24" t="str">
        <v>April</v>
      </c>
      <c r="K24" t="s">
        <v>238</v>
      </c>
      <c r="L24" s="280">
        <f>COUNT($L$4:$L$23)</f>
        <v>13</v>
      </c>
      <c r="M24" s="280">
        <f>COUNTIF(M4:M23,"*")</f>
        <v>13</v>
      </c>
      <c r="N24" s="280">
        <f>COUNTIF($N$4:$N$23,"&gt;0")</f>
        <v>12</v>
      </c>
      <c r="O24" s="280">
        <f>COUNT($O$4:$O$23)</f>
        <v>13</v>
      </c>
      <c r="P24" s="280">
        <f>COUNT(P4:P23)</f>
        <v>14</v>
      </c>
      <c r="Q24" s="280">
        <f>COUNT($Q$4:$Q$23)</f>
        <v>14</v>
      </c>
      <c r="R24" s="280">
        <f>COUNT($R$4:$R$23)</f>
        <v>13</v>
      </c>
      <c r="X24">
        <v>1391.51</v>
      </c>
    </row>
    <row r="25" spans="1:34" ht="15" customHeight="1" thickBot="1" x14ac:dyDescent="0.4">
      <c r="A25" s="267" t="s">
        <v>81</v>
      </c>
      <c r="B25" s="273">
        <f>$B$24-$B$23</f>
        <v>2576.5</v>
      </c>
      <c r="C25" s="36">
        <v>45117</v>
      </c>
      <c r="D25" t="str">
        <v>PM</v>
      </c>
      <c r="E25" t="str">
        <v>July</v>
      </c>
      <c r="F25" t="str">
        <v>MON</v>
      </c>
      <c r="G25" s="31">
        <v>1123</v>
      </c>
      <c r="H25" t="str">
        <v>SINGLE</v>
      </c>
      <c r="I25">
        <v>1123</v>
      </c>
      <c r="J25" t="str">
        <v>May</v>
      </c>
      <c r="L25" s="384" t="s">
        <v>244</v>
      </c>
      <c r="M25" s="385"/>
      <c r="N25" s="385"/>
      <c r="O25" s="385"/>
      <c r="P25" s="386"/>
      <c r="Q25" s="384" t="s">
        <v>252</v>
      </c>
      <c r="R25" s="385"/>
      <c r="S25" s="385"/>
      <c r="T25" s="385"/>
      <c r="U25" s="385"/>
      <c r="V25" s="386"/>
      <c r="X25">
        <v>1421.5</v>
      </c>
    </row>
    <row r="26" spans="1:34" ht="15" customHeight="1" thickBot="1" x14ac:dyDescent="0.4">
      <c r="A26" s="11"/>
      <c r="B26" s="31"/>
      <c r="C26" s="36">
        <v>45118</v>
      </c>
      <c r="D26" t="str">
        <v>PM</v>
      </c>
      <c r="E26" t="str">
        <v>July</v>
      </c>
      <c r="F26" t="str">
        <v>TUE</v>
      </c>
      <c r="G26" s="31">
        <v>1161</v>
      </c>
      <c r="H26" t="str">
        <v>SINGLE</v>
      </c>
      <c r="I26">
        <v>1161</v>
      </c>
      <c r="L26" s="387"/>
      <c r="M26" s="388"/>
      <c r="N26" s="388"/>
      <c r="O26" s="388"/>
      <c r="P26" s="389"/>
      <c r="Q26" s="387"/>
      <c r="R26" s="388"/>
      <c r="S26" s="388"/>
      <c r="T26" s="388"/>
      <c r="U26" s="388"/>
      <c r="V26" s="389"/>
      <c r="X26">
        <v>807.5</v>
      </c>
      <c r="AH26" s="36"/>
    </row>
    <row r="27" spans="1:34" x14ac:dyDescent="0.35">
      <c r="A27" s="268" t="s">
        <v>215</v>
      </c>
      <c r="B27" s="275">
        <f>_xlfn.STDEV.S(FilteredValues)</f>
        <v>443.17015469802601</v>
      </c>
      <c r="C27" s="36">
        <v>45119</v>
      </c>
      <c r="D27" t="str">
        <v>PM</v>
      </c>
      <c r="E27" t="str">
        <v>July</v>
      </c>
      <c r="F27" t="str">
        <v>WED</v>
      </c>
      <c r="G27" s="31">
        <v>836.5</v>
      </c>
      <c r="H27" t="str">
        <v>SINGLE</v>
      </c>
      <c r="I27">
        <v>836.5</v>
      </c>
      <c r="L27" s="92" t="s">
        <v>247</v>
      </c>
      <c r="M27" s="92">
        <f>COUNT(_xlfn.ANCHORARRAY(L29))</f>
        <v>304</v>
      </c>
      <c r="N27" s="390" t="s">
        <v>246</v>
      </c>
      <c r="O27" s="390"/>
      <c r="P27" s="92" t="s">
        <v>245</v>
      </c>
      <c r="Q27" s="92" t="s">
        <v>106</v>
      </c>
      <c r="R27" s="92">
        <f>Sheet1!$F$30</f>
        <v>2.2999999999999998</v>
      </c>
      <c r="S27" s="92"/>
      <c r="T27" s="92"/>
      <c r="U27" s="92"/>
      <c r="V27" s="92"/>
      <c r="X27">
        <v>1425</v>
      </c>
      <c r="AH27" s="36"/>
    </row>
    <row r="28" spans="1:34" ht="15" thickBot="1" x14ac:dyDescent="0.4">
      <c r="A28" s="269" t="s">
        <v>216</v>
      </c>
      <c r="B28" s="276">
        <f>_xlfn.STDEV.P(FilteredValues)</f>
        <v>442.44065600641994</v>
      </c>
      <c r="C28" s="36">
        <v>45121</v>
      </c>
      <c r="D28" t="str">
        <v>PM</v>
      </c>
      <c r="E28" t="str">
        <v>July</v>
      </c>
      <c r="F28" t="str">
        <v>FRI</v>
      </c>
      <c r="G28" s="31">
        <v>1286</v>
      </c>
      <c r="H28" t="str">
        <v>SINGLE</v>
      </c>
      <c r="I28">
        <v>1286</v>
      </c>
      <c r="L28" s="80" t="s">
        <v>239</v>
      </c>
      <c r="M28" s="80" t="s">
        <v>240</v>
      </c>
      <c r="N28" s="80" t="s">
        <v>241</v>
      </c>
      <c r="O28" s="80" t="s">
        <v>242</v>
      </c>
      <c r="P28" s="80" t="s">
        <v>243</v>
      </c>
      <c r="Q28" s="80" t="s">
        <v>126</v>
      </c>
      <c r="R28" s="80" t="s">
        <v>68</v>
      </c>
      <c r="S28" s="80" t="s">
        <v>164</v>
      </c>
      <c r="T28" s="80" t="s">
        <v>3</v>
      </c>
      <c r="U28" s="80" t="s">
        <v>253</v>
      </c>
      <c r="V28" s="80"/>
      <c r="X28">
        <v>1045</v>
      </c>
      <c r="AH28" s="36"/>
    </row>
    <row r="29" spans="1:34" ht="15" thickBot="1" x14ac:dyDescent="0.4">
      <c r="A29" s="11"/>
      <c r="B29" s="31"/>
      <c r="C29" s="36">
        <v>45122</v>
      </c>
      <c r="D29" t="str">
        <v>PM</v>
      </c>
      <c r="E29" t="str">
        <v>July</v>
      </c>
      <c r="F29" t="str">
        <v>SAT</v>
      </c>
      <c r="G29" s="31">
        <v>764.5</v>
      </c>
      <c r="H29" t="str">
        <v>SINGLE</v>
      </c>
      <c r="I29">
        <v>764.5</v>
      </c>
      <c r="L29" cm="1">
        <f t="array" ref="L29:L332">FilteredValues</f>
        <v>697</v>
      </c>
      <c r="M29" s="31">
        <f>_xlfn.RANK.AVG(L29,_xlfn.ANCHORARRAY($L$29),1)</f>
        <v>84.5</v>
      </c>
      <c r="N29">
        <f>IF(M29="","X",MIN(MAX(M29 / COUNT($M$29:$M$319), 1/(2*COUNT($M$29:$M$319))), 1-1/(2*COUNT($M$29:$M$319))))</f>
        <v>0.29037800687285226</v>
      </c>
      <c r="O29">
        <f>IFERROR(_xlfn.NORM.S.INV(N29),"X")</f>
        <v>-0.55228075517346942</v>
      </c>
      <c r="P29" s="281">
        <f>IFERROR(O29*$B$27+$B$8,"X")</f>
        <v>760.30848124039949</v>
      </c>
      <c r="Q29" s="36" cm="1">
        <f t="array" ref="Q29:V34">OutlierID</f>
        <v>45336</v>
      </c>
      <c r="R29" s="22" t="str">
        <v>PM</v>
      </c>
      <c r="S29" t="str">
        <v>February</v>
      </c>
      <c r="T29" t="str">
        <v>WED</v>
      </c>
      <c r="U29">
        <v>2119</v>
      </c>
      <c r="V29" t="str">
        <v>SINGLE</v>
      </c>
      <c r="W29" s="69"/>
      <c r="X29">
        <v>1123.5</v>
      </c>
      <c r="AH29" s="36"/>
    </row>
    <row r="30" spans="1:34" x14ac:dyDescent="0.35">
      <c r="A30" s="270" t="s">
        <v>217</v>
      </c>
      <c r="B30" s="277">
        <f>_xlfn.VAR.S(FilteredValues)</f>
        <v>196399.78601507228</v>
      </c>
      <c r="C30" s="36">
        <v>45125</v>
      </c>
      <c r="D30" t="str">
        <v>PM</v>
      </c>
      <c r="E30" t="str">
        <v>July</v>
      </c>
      <c r="F30" t="str">
        <v>TUE</v>
      </c>
      <c r="G30" s="31">
        <v>662</v>
      </c>
      <c r="H30" t="str">
        <v>SINGLE</v>
      </c>
      <c r="I30">
        <v>662</v>
      </c>
      <c r="L30">
        <v>1800</v>
      </c>
      <c r="M30" s="31">
        <f t="shared" ref="M30:M93" si="3">_xlfn.RANK.AVG(L30,_xlfn.ANCHORARRAY($L$29),1)</f>
        <v>293</v>
      </c>
      <c r="N30">
        <f t="shared" ref="N30:N93" si="4">IF(M30="","X",MIN(MAX(M30 / COUNT($M$29:$M$319), 1/(2*COUNT($M$29:$M$319))), 1-1/(2*COUNT($M$29:$M$319))))</f>
        <v>0.99828178694158076</v>
      </c>
      <c r="O30">
        <f t="shared" ref="O30:O93" si="5">IFERROR(_xlfn.NORM.S.INV(N30),"X")</f>
        <v>2.9257358252621142</v>
      </c>
      <c r="P30" s="281">
        <f t="shared" ref="P30:P93" si="6">IFERROR(O30*$B$27+$B$8,"X")</f>
        <v>2301.6616272343363</v>
      </c>
      <c r="Q30" s="36">
        <v>45360</v>
      </c>
      <c r="R30" t="str">
        <v>PM</v>
      </c>
      <c r="S30" t="str">
        <v>March</v>
      </c>
      <c r="T30" t="str">
        <v>SAT</v>
      </c>
      <c r="U30">
        <v>2225.5</v>
      </c>
      <c r="V30" t="str">
        <v>DOUBLE</v>
      </c>
      <c r="W30" s="69"/>
      <c r="X30">
        <v>1537</v>
      </c>
      <c r="AH30" s="36"/>
    </row>
    <row r="31" spans="1:34" ht="15" thickBot="1" x14ac:dyDescent="0.4">
      <c r="A31" s="267" t="s">
        <v>218</v>
      </c>
      <c r="B31" s="273">
        <f>_xlfn.VAR.P(FilteredValues)</f>
        <v>195753.73408739123</v>
      </c>
      <c r="C31" s="36">
        <v>45126</v>
      </c>
      <c r="D31" t="str">
        <v>PM</v>
      </c>
      <c r="E31" t="str">
        <v>July</v>
      </c>
      <c r="F31" t="str">
        <v>WED</v>
      </c>
      <c r="G31" s="31">
        <v>892</v>
      </c>
      <c r="H31" t="str">
        <v>SINGLE</v>
      </c>
      <c r="I31">
        <v>892</v>
      </c>
      <c r="L31">
        <v>1015</v>
      </c>
      <c r="M31" s="31">
        <f t="shared" si="3"/>
        <v>150</v>
      </c>
      <c r="N31">
        <f t="shared" si="4"/>
        <v>0.51546391752577314</v>
      </c>
      <c r="O31">
        <f t="shared" si="5"/>
        <v>3.8772004837966063E-2</v>
      </c>
      <c r="P31" s="281">
        <f t="shared" si="6"/>
        <v>1022.2454243293625</v>
      </c>
      <c r="Q31" s="36">
        <v>45362</v>
      </c>
      <c r="R31" t="str">
        <v>PM</v>
      </c>
      <c r="S31" t="str">
        <v>March</v>
      </c>
      <c r="T31" t="str">
        <v>MON</v>
      </c>
      <c r="U31">
        <v>2178.5</v>
      </c>
      <c r="V31" t="str">
        <v>SINGLE</v>
      </c>
      <c r="W31" s="69"/>
      <c r="X31">
        <v>963</v>
      </c>
      <c r="AH31" s="36"/>
    </row>
    <row r="32" spans="1:34" ht="15" thickBot="1" x14ac:dyDescent="0.4">
      <c r="A32" s="11"/>
      <c r="B32" s="31"/>
      <c r="C32" s="36">
        <v>45128</v>
      </c>
      <c r="D32" t="str">
        <v>PM</v>
      </c>
      <c r="E32" t="str">
        <v>July</v>
      </c>
      <c r="F32" t="str">
        <v>FRI</v>
      </c>
      <c r="G32" s="31">
        <v>1455</v>
      </c>
      <c r="H32" t="str">
        <v>SINGLE</v>
      </c>
      <c r="I32">
        <v>1455</v>
      </c>
      <c r="L32">
        <v>551</v>
      </c>
      <c r="M32" s="31">
        <f t="shared" si="3"/>
        <v>52</v>
      </c>
      <c r="N32">
        <f t="shared" si="4"/>
        <v>0.17869415807560138</v>
      </c>
      <c r="O32">
        <f t="shared" si="5"/>
        <v>-0.92035300938620412</v>
      </c>
      <c r="P32" s="281">
        <f t="shared" si="6"/>
        <v>597.1898434008906</v>
      </c>
      <c r="Q32" s="36">
        <v>45380</v>
      </c>
      <c r="R32" t="str">
        <v>PM</v>
      </c>
      <c r="S32" t="str">
        <v>March</v>
      </c>
      <c r="T32" t="str">
        <v>FRI</v>
      </c>
      <c r="U32">
        <v>2191.5</v>
      </c>
      <c r="V32" t="str">
        <v>SINGLE</v>
      </c>
      <c r="W32" s="69"/>
      <c r="X32">
        <v>1227.5</v>
      </c>
      <c r="AH32" s="36"/>
    </row>
    <row r="33" spans="1:34" x14ac:dyDescent="0.35">
      <c r="A33" s="270" t="s">
        <v>219</v>
      </c>
      <c r="B33" s="277">
        <f>_xlfn.QUARTILE.INC(FilteredValues,1)</f>
        <v>649.125</v>
      </c>
      <c r="C33" s="36">
        <v>45129</v>
      </c>
      <c r="D33" t="str">
        <v>PM</v>
      </c>
      <c r="E33" t="str">
        <v>July</v>
      </c>
      <c r="F33" t="str">
        <v>SAT</v>
      </c>
      <c r="G33" s="31">
        <v>1817.5</v>
      </c>
      <c r="H33" t="str">
        <v>SINGLE</v>
      </c>
      <c r="I33">
        <v>1817.5</v>
      </c>
      <c r="L33">
        <v>489.5</v>
      </c>
      <c r="M33" s="31">
        <f t="shared" si="3"/>
        <v>41</v>
      </c>
      <c r="N33">
        <f t="shared" si="4"/>
        <v>0.14089347079037801</v>
      </c>
      <c r="O33">
        <f t="shared" si="5"/>
        <v>-1.0763137940250358</v>
      </c>
      <c r="P33" s="281">
        <f t="shared" si="6"/>
        <v>528.07267834567415</v>
      </c>
      <c r="Q33" s="36">
        <v>45396</v>
      </c>
      <c r="R33" t="str">
        <v>PM</v>
      </c>
      <c r="S33" t="str">
        <v>April</v>
      </c>
      <c r="T33" t="str">
        <v>SUN</v>
      </c>
      <c r="U33">
        <v>2054.5</v>
      </c>
      <c r="V33" t="str">
        <v>SINGLE</v>
      </c>
      <c r="W33" s="69"/>
      <c r="X33">
        <v>1315.5</v>
      </c>
      <c r="AH33" s="36"/>
    </row>
    <row r="34" spans="1:34" x14ac:dyDescent="0.35">
      <c r="A34" s="97" t="s">
        <v>220</v>
      </c>
      <c r="B34" s="260">
        <f>_xlfn.QUARTILE.INC(FilteredValues,2)</f>
        <v>1018</v>
      </c>
      <c r="C34" s="36">
        <v>45131</v>
      </c>
      <c r="D34" t="str">
        <v>PM</v>
      </c>
      <c r="E34" t="str">
        <v>July</v>
      </c>
      <c r="F34" t="str">
        <v>MON</v>
      </c>
      <c r="G34" s="31">
        <v>1036</v>
      </c>
      <c r="H34" t="str">
        <v>SINGLE</v>
      </c>
      <c r="I34">
        <v>1036</v>
      </c>
      <c r="L34">
        <v>1067</v>
      </c>
      <c r="M34" s="31">
        <f t="shared" si="3"/>
        <v>171</v>
      </c>
      <c r="N34">
        <f t="shared" si="4"/>
        <v>0.58762886597938147</v>
      </c>
      <c r="O34">
        <f t="shared" si="5"/>
        <v>0.22144973830720133</v>
      </c>
      <c r="P34" s="281">
        <f t="shared" si="6"/>
        <v>1103.2027437308084</v>
      </c>
      <c r="Q34" s="36">
        <v>45424</v>
      </c>
      <c r="R34" t="str">
        <v>PM</v>
      </c>
      <c r="S34" t="str">
        <v>May</v>
      </c>
      <c r="T34" t="str">
        <v>SUN</v>
      </c>
      <c r="U34">
        <v>2631.5</v>
      </c>
      <c r="V34" t="str">
        <v>SINGLE</v>
      </c>
      <c r="W34" s="69"/>
      <c r="X34">
        <v>1166.5</v>
      </c>
      <c r="AH34" s="36"/>
    </row>
    <row r="35" spans="1:34" x14ac:dyDescent="0.35">
      <c r="A35" s="97" t="s">
        <v>221</v>
      </c>
      <c r="B35" s="260">
        <f>_xlfn.QUARTILE.INC(FilteredValues,3)</f>
        <v>1284.5</v>
      </c>
      <c r="C35" s="36">
        <v>45132</v>
      </c>
      <c r="D35" t="str">
        <v>PM</v>
      </c>
      <c r="E35" t="str">
        <v>July</v>
      </c>
      <c r="F35" t="str">
        <v>TUE</v>
      </c>
      <c r="G35" s="31">
        <v>967</v>
      </c>
      <c r="H35" t="str">
        <v>SINGLE</v>
      </c>
      <c r="I35">
        <v>967</v>
      </c>
      <c r="L35">
        <v>1391.51</v>
      </c>
      <c r="M35" s="31">
        <f t="shared" si="3"/>
        <v>248</v>
      </c>
      <c r="N35">
        <f t="shared" si="4"/>
        <v>0.85223367697594499</v>
      </c>
      <c r="O35">
        <f t="shared" si="5"/>
        <v>1.0460614847775178</v>
      </c>
      <c r="P35" s="281">
        <f t="shared" si="6"/>
        <v>1468.6460589798678</v>
      </c>
      <c r="W35" s="69" t="str" cm="1">
        <f t="array" ref="W35">_xlfn.TEXTJOIN(", ",TRUE,IFERROR(_xlfn._xlws.FILTER(Table3[Holiday Name],('SELECTED DATA'!Q35&gt;=Table3[start])*('SELECTED DATA'!Q35&lt;=Table3[end])),""))</f>
        <v/>
      </c>
      <c r="X35">
        <v>1261</v>
      </c>
      <c r="AH35" s="36"/>
    </row>
    <row r="36" spans="1:34" x14ac:dyDescent="0.35">
      <c r="A36" s="97" t="s">
        <v>222</v>
      </c>
      <c r="B36" s="260">
        <f>_xlfn.QUARTILE.INC(FilteredValues,4)</f>
        <v>2631.5</v>
      </c>
      <c r="C36" s="36">
        <v>45133</v>
      </c>
      <c r="D36" t="str">
        <v>PM</v>
      </c>
      <c r="E36" t="str">
        <v>July</v>
      </c>
      <c r="F36" t="str">
        <v>WED</v>
      </c>
      <c r="G36" s="31">
        <v>997</v>
      </c>
      <c r="H36" t="str">
        <v>SINGLE</v>
      </c>
      <c r="I36">
        <v>997</v>
      </c>
      <c r="L36">
        <v>1421.5</v>
      </c>
      <c r="M36" s="31">
        <f t="shared" si="3"/>
        <v>254</v>
      </c>
      <c r="N36">
        <f t="shared" si="4"/>
        <v>0.87285223367697595</v>
      </c>
      <c r="O36">
        <f t="shared" si="5"/>
        <v>1.1399778419139883</v>
      </c>
      <c r="P36" s="281">
        <f t="shared" si="6"/>
        <v>1510.2669855007125</v>
      </c>
      <c r="W36" s="69" t="str" cm="1">
        <f t="array" ref="W36">_xlfn.TEXTJOIN(", ",TRUE,IFERROR(_xlfn._xlws.FILTER(Table3[Holiday Name],('SELECTED DATA'!Q36&gt;=Table3[start])*('SELECTED DATA'!Q36&lt;=Table3[end])),""))</f>
        <v/>
      </c>
      <c r="X36">
        <v>1123</v>
      </c>
      <c r="AH36" s="36"/>
    </row>
    <row r="37" spans="1:34" ht="15" thickBot="1" x14ac:dyDescent="0.4">
      <c r="A37" s="267" t="s">
        <v>223</v>
      </c>
      <c r="B37" s="273">
        <f>_xlfn.QUARTILE.INC(FilteredValues,3)-_xlfn.QUARTILE.INC(FilteredValues,1)</f>
        <v>635.375</v>
      </c>
      <c r="C37" s="36">
        <v>45135</v>
      </c>
      <c r="D37" t="str">
        <v>PM</v>
      </c>
      <c r="E37" t="str">
        <v>July</v>
      </c>
      <c r="F37" t="str">
        <v>FRI</v>
      </c>
      <c r="G37" s="31">
        <v>1281.51</v>
      </c>
      <c r="H37" t="str">
        <v>SINGLE</v>
      </c>
      <c r="I37">
        <v>1281.51</v>
      </c>
      <c r="L37">
        <v>807.5</v>
      </c>
      <c r="M37" s="31">
        <f t="shared" si="3"/>
        <v>101</v>
      </c>
      <c r="N37">
        <f t="shared" si="4"/>
        <v>0.34707903780068727</v>
      </c>
      <c r="O37">
        <f t="shared" si="5"/>
        <v>-0.39321854247747962</v>
      </c>
      <c r="P37" s="281">
        <f t="shared" si="6"/>
        <v>830.80010664749159</v>
      </c>
      <c r="W37" s="69" t="str" cm="1">
        <f t="array" ref="W37">_xlfn.TEXTJOIN(", ",TRUE,IFERROR(_xlfn._xlws.FILTER(Table3[Holiday Name],('SELECTED DATA'!Q37&gt;=Table3[start])*('SELECTED DATA'!Q37&lt;=Table3[end])),""))</f>
        <v/>
      </c>
      <c r="X37">
        <v>1161</v>
      </c>
      <c r="AH37" s="36"/>
    </row>
    <row r="38" spans="1:34" ht="15" thickBot="1" x14ac:dyDescent="0.4">
      <c r="A38" s="11"/>
      <c r="B38" s="31"/>
      <c r="C38" s="36">
        <v>45136</v>
      </c>
      <c r="D38" t="str">
        <v>PM</v>
      </c>
      <c r="E38" t="str">
        <v>July</v>
      </c>
      <c r="F38" t="str">
        <v>SAT</v>
      </c>
      <c r="G38" s="31">
        <v>1011.49</v>
      </c>
      <c r="H38" t="str">
        <v>SINGLE</v>
      </c>
      <c r="I38">
        <v>1011.49</v>
      </c>
      <c r="L38">
        <v>1425</v>
      </c>
      <c r="M38" s="31">
        <f t="shared" si="3"/>
        <v>256</v>
      </c>
      <c r="N38">
        <f t="shared" si="4"/>
        <v>0.8797250859106529</v>
      </c>
      <c r="O38">
        <f t="shared" si="5"/>
        <v>1.1736136077642985</v>
      </c>
      <c r="P38" s="281">
        <f t="shared" si="6"/>
        <v>1525.1733530559811</v>
      </c>
      <c r="W38" s="69" t="str" cm="1">
        <f t="array" ref="W38">_xlfn.TEXTJOIN(", ",TRUE,IFERROR(_xlfn._xlws.FILTER(Table3[Holiday Name],('SELECTED DATA'!Q38&gt;=Table3[start])*('SELECTED DATA'!Q38&lt;=Table3[end])),""))</f>
        <v/>
      </c>
      <c r="X38">
        <v>836.5</v>
      </c>
      <c r="AH38" s="36"/>
    </row>
    <row r="39" spans="1:34" x14ac:dyDescent="0.35">
      <c r="A39" s="270" t="s">
        <v>227</v>
      </c>
      <c r="B39" s="277">
        <f>SKEW(FilteredValues)</f>
        <v>0.29944007961010494</v>
      </c>
      <c r="C39" s="36">
        <v>45137</v>
      </c>
      <c r="D39" t="str">
        <v>AM</v>
      </c>
      <c r="E39" t="str">
        <v>July</v>
      </c>
      <c r="F39" t="str">
        <v>SUN</v>
      </c>
      <c r="G39" s="31">
        <v>804</v>
      </c>
      <c r="H39" t="str">
        <v>SINGLE</v>
      </c>
      <c r="I39">
        <v>804</v>
      </c>
      <c r="L39">
        <v>1045</v>
      </c>
      <c r="M39" s="31">
        <f t="shared" si="3"/>
        <v>165</v>
      </c>
      <c r="N39">
        <f t="shared" si="4"/>
        <v>0.5670103092783505</v>
      </c>
      <c r="O39">
        <f t="shared" si="5"/>
        <v>0.16876767974021187</v>
      </c>
      <c r="P39" s="281">
        <f t="shared" si="6"/>
        <v>1079.8556276858651</v>
      </c>
      <c r="W39" s="69" t="str" cm="1">
        <f t="array" ref="W39">_xlfn.TEXTJOIN(", ",TRUE,IFERROR(_xlfn._xlws.FILTER(Table3[Holiday Name],('SELECTED DATA'!Q39&gt;=Table3[start])*('SELECTED DATA'!Q39&lt;=Table3[end])),""))</f>
        <v/>
      </c>
      <c r="X39">
        <v>1286</v>
      </c>
      <c r="AH39" s="36"/>
    </row>
    <row r="40" spans="1:34" ht="15" thickBot="1" x14ac:dyDescent="0.4">
      <c r="A40" s="267" t="s">
        <v>88</v>
      </c>
      <c r="B40" s="273">
        <f>KURT(FilteredValues)</f>
        <v>0.12988634071409955</v>
      </c>
      <c r="C40" s="36">
        <v>45138</v>
      </c>
      <c r="D40" t="str">
        <v>PM</v>
      </c>
      <c r="E40" t="str">
        <v>July</v>
      </c>
      <c r="F40" t="str">
        <v>MON</v>
      </c>
      <c r="G40" s="31">
        <v>1304.5</v>
      </c>
      <c r="H40" t="str">
        <v>SINGLE</v>
      </c>
      <c r="I40">
        <v>1304.5</v>
      </c>
      <c r="L40">
        <v>1123.5</v>
      </c>
      <c r="M40" s="31">
        <f t="shared" si="3"/>
        <v>185</v>
      </c>
      <c r="N40">
        <f t="shared" si="4"/>
        <v>0.63573883161512024</v>
      </c>
      <c r="O40">
        <f t="shared" si="5"/>
        <v>0.34709182250400417</v>
      </c>
      <c r="P40" s="281">
        <f t="shared" si="6"/>
        <v>1158.8835656208878</v>
      </c>
      <c r="W40" s="69" t="str" cm="1">
        <f t="array" ref="W40">_xlfn.TEXTJOIN(", ",TRUE,IFERROR(_xlfn._xlws.FILTER(Table3[Holiday Name],('SELECTED DATA'!Q40&gt;=Table3[start])*('SELECTED DATA'!Q40&lt;=Table3[end])),""))</f>
        <v/>
      </c>
      <c r="X40">
        <v>764.5</v>
      </c>
      <c r="AH40" s="36"/>
    </row>
    <row r="41" spans="1:34" ht="15" thickBot="1" x14ac:dyDescent="0.4">
      <c r="A41" s="11"/>
      <c r="B41" s="31"/>
      <c r="C41" s="36">
        <v>45139</v>
      </c>
      <c r="D41" t="str">
        <v>PM</v>
      </c>
      <c r="E41" t="str">
        <v>August</v>
      </c>
      <c r="F41" t="str">
        <v>TUE</v>
      </c>
      <c r="G41" s="31">
        <v>706.5</v>
      </c>
      <c r="H41" t="str">
        <v>SINGLE</v>
      </c>
      <c r="I41">
        <v>706.5</v>
      </c>
      <c r="L41">
        <v>1537</v>
      </c>
      <c r="M41" s="31">
        <f t="shared" si="3"/>
        <v>275</v>
      </c>
      <c r="N41">
        <f t="shared" si="4"/>
        <v>0.94501718213058417</v>
      </c>
      <c r="O41">
        <f t="shared" si="5"/>
        <v>1.5983476165117396</v>
      </c>
      <c r="P41" s="281">
        <f t="shared" si="6"/>
        <v>1713.4027894180972</v>
      </c>
      <c r="W41" s="69" t="str" cm="1">
        <f t="array" ref="W41">_xlfn.TEXTJOIN(", ",TRUE,IFERROR(_xlfn._xlws.FILTER(Table3[Holiday Name],('SELECTED DATA'!Q41&gt;=Table3[start])*('SELECTED DATA'!Q41&lt;=Table3[end])),""))</f>
        <v/>
      </c>
      <c r="X41">
        <v>662</v>
      </c>
    </row>
    <row r="42" spans="1:34" ht="15" thickBot="1" x14ac:dyDescent="0.4">
      <c r="A42" s="181" t="s">
        <v>86</v>
      </c>
      <c r="B42" s="261">
        <f>$B$27/SQRT($B$7)</f>
        <v>25.417551567394504</v>
      </c>
      <c r="C42" s="36">
        <v>45140</v>
      </c>
      <c r="D42" t="str">
        <v>AM</v>
      </c>
      <c r="E42" t="str">
        <v>August</v>
      </c>
      <c r="F42" t="str">
        <v>WED</v>
      </c>
      <c r="G42" s="31">
        <v>763</v>
      </c>
      <c r="H42" t="str">
        <v>DOUBLE</v>
      </c>
      <c r="I42">
        <v>763</v>
      </c>
      <c r="L42">
        <v>963</v>
      </c>
      <c r="M42" s="31">
        <f t="shared" si="3"/>
        <v>135</v>
      </c>
      <c r="N42">
        <f t="shared" si="4"/>
        <v>0.46391752577319589</v>
      </c>
      <c r="O42">
        <f t="shared" si="5"/>
        <v>-9.0569017035486976E-2</v>
      </c>
      <c r="P42" s="281">
        <f t="shared" si="6"/>
        <v>964.92534365690358</v>
      </c>
      <c r="W42" s="69" t="str" cm="1">
        <f t="array" ref="W42">_xlfn.TEXTJOIN(", ",TRUE,IFERROR(_xlfn._xlws.FILTER(Table3[Holiday Name],('SELECTED DATA'!Q42&gt;=Table3[start])*('SELECTED DATA'!Q42&lt;=Table3[end])),""))</f>
        <v/>
      </c>
      <c r="X42">
        <v>892</v>
      </c>
    </row>
    <row r="43" spans="1:34" x14ac:dyDescent="0.35">
      <c r="C43" s="36">
        <v>45140</v>
      </c>
      <c r="D43" t="str">
        <v>PM</v>
      </c>
      <c r="E43" t="str">
        <v>August</v>
      </c>
      <c r="F43" t="str">
        <v>WED</v>
      </c>
      <c r="G43" s="31">
        <v>477</v>
      </c>
      <c r="H43" t="str">
        <v>DOUBLE</v>
      </c>
      <c r="I43">
        <v>477</v>
      </c>
      <c r="L43">
        <v>1227.5</v>
      </c>
      <c r="M43" s="31">
        <f t="shared" si="3"/>
        <v>213.5</v>
      </c>
      <c r="N43">
        <f t="shared" si="4"/>
        <v>0.73367697594501713</v>
      </c>
      <c r="O43">
        <f t="shared" si="5"/>
        <v>0.62397188673407622</v>
      </c>
      <c r="P43" s="281">
        <f t="shared" si="6"/>
        <v>1281.5885465185283</v>
      </c>
      <c r="W43" s="69" t="str" cm="1">
        <f t="array" ref="W43">_xlfn.TEXTJOIN(", ",TRUE,IFERROR(_xlfn._xlws.FILTER(Table3[Holiday Name],('SELECTED DATA'!Q43&gt;=Table3[start])*('SELECTED DATA'!Q43&lt;=Table3[end])),""))</f>
        <v/>
      </c>
      <c r="X43">
        <v>1455</v>
      </c>
    </row>
    <row r="44" spans="1:34" x14ac:dyDescent="0.35">
      <c r="C44" s="36">
        <v>45142</v>
      </c>
      <c r="D44" t="str">
        <v>AM</v>
      </c>
      <c r="E44" t="str">
        <v>August</v>
      </c>
      <c r="F44" t="str">
        <v>FRI</v>
      </c>
      <c r="G44" s="31">
        <v>1016.33</v>
      </c>
      <c r="H44" t="str">
        <v>DOUBLE</v>
      </c>
      <c r="I44">
        <v>1016.33</v>
      </c>
      <c r="L44">
        <v>1315.5</v>
      </c>
      <c r="M44" s="31">
        <f t="shared" si="3"/>
        <v>236</v>
      </c>
      <c r="N44">
        <f t="shared" si="4"/>
        <v>0.81099656357388317</v>
      </c>
      <c r="O44">
        <f t="shared" si="5"/>
        <v>0.88157464240967354</v>
      </c>
      <c r="P44" s="281">
        <f t="shared" si="6"/>
        <v>1395.7503996019204</v>
      </c>
      <c r="W44" s="69" t="str" cm="1">
        <f t="array" ref="W44">_xlfn.TEXTJOIN(", ",TRUE,IFERROR(_xlfn._xlws.FILTER(Table3[Holiday Name],('SELECTED DATA'!Q44&gt;=Table3[start])*('SELECTED DATA'!Q44&lt;=Table3[end])),""))</f>
        <v/>
      </c>
      <c r="X44">
        <v>1817.5</v>
      </c>
    </row>
    <row r="45" spans="1:34" x14ac:dyDescent="0.35">
      <c r="C45" s="36">
        <v>45142</v>
      </c>
      <c r="D45" t="str">
        <v>PM</v>
      </c>
      <c r="E45" t="str">
        <v>August</v>
      </c>
      <c r="F45" t="str">
        <v>FRI</v>
      </c>
      <c r="G45" s="31">
        <v>1194</v>
      </c>
      <c r="H45" t="str">
        <v>DOUBLE</v>
      </c>
      <c r="I45">
        <v>1194</v>
      </c>
      <c r="L45">
        <v>1166.5</v>
      </c>
      <c r="M45" s="31">
        <f t="shared" si="3"/>
        <v>193</v>
      </c>
      <c r="N45">
        <f t="shared" si="4"/>
        <v>0.66323024054982815</v>
      </c>
      <c r="O45">
        <f t="shared" si="5"/>
        <v>0.42129522183069401</v>
      </c>
      <c r="P45" s="281">
        <f t="shared" si="6"/>
        <v>1191.7682975796165</v>
      </c>
      <c r="W45" s="69" t="str" cm="1">
        <f t="array" ref="W45">_xlfn.TEXTJOIN(", ",TRUE,IFERROR(_xlfn._xlws.FILTER(Table3[Holiday Name],('SELECTED DATA'!Q45&gt;=Table3[start])*('SELECTED DATA'!Q45&lt;=Table3[end])),""))</f>
        <v/>
      </c>
      <c r="X45">
        <v>1036</v>
      </c>
    </row>
    <row r="46" spans="1:34" x14ac:dyDescent="0.35">
      <c r="C46" s="36">
        <v>45143</v>
      </c>
      <c r="D46" t="str">
        <v>PM</v>
      </c>
      <c r="E46" t="str">
        <v>August</v>
      </c>
      <c r="F46" t="str">
        <v>SAT</v>
      </c>
      <c r="G46" s="31">
        <v>1669.5</v>
      </c>
      <c r="H46" t="str">
        <v>SINGLE</v>
      </c>
      <c r="I46">
        <v>1669.5</v>
      </c>
      <c r="L46">
        <v>1261</v>
      </c>
      <c r="M46" s="31">
        <f t="shared" si="3"/>
        <v>218.5</v>
      </c>
      <c r="N46">
        <f t="shared" si="4"/>
        <v>0.75085910652920962</v>
      </c>
      <c r="O46">
        <f t="shared" si="5"/>
        <v>0.67719571371688758</v>
      </c>
      <c r="P46" s="281">
        <f t="shared" si="6"/>
        <v>1305.1757581561217</v>
      </c>
      <c r="W46" s="69" t="str" cm="1">
        <f t="array" ref="W46">_xlfn.TEXTJOIN(", ",TRUE,IFERROR(_xlfn._xlws.FILTER(Table3[Holiday Name],('SELECTED DATA'!Q46&gt;=Table3[start])*('SELECTED DATA'!Q46&lt;=Table3[end])),""))</f>
        <v/>
      </c>
      <c r="X46">
        <v>967</v>
      </c>
    </row>
    <row r="47" spans="1:34" x14ac:dyDescent="0.35">
      <c r="C47" s="36">
        <v>45145</v>
      </c>
      <c r="D47" t="str">
        <v>AM</v>
      </c>
      <c r="E47" t="str">
        <v>August</v>
      </c>
      <c r="F47" t="str">
        <v>MON</v>
      </c>
      <c r="G47" s="31">
        <v>518.5</v>
      </c>
      <c r="H47" t="str">
        <v>DOUBLE</v>
      </c>
      <c r="I47">
        <v>518.5</v>
      </c>
      <c r="L47">
        <v>1123</v>
      </c>
      <c r="M47" s="31">
        <f t="shared" si="3"/>
        <v>184</v>
      </c>
      <c r="N47">
        <f t="shared" si="4"/>
        <v>0.63230240549828176</v>
      </c>
      <c r="O47">
        <f t="shared" si="5"/>
        <v>0.33795753499201858</v>
      </c>
      <c r="P47" s="281">
        <f t="shared" si="6"/>
        <v>1154.835522011145</v>
      </c>
      <c r="W47" s="69" t="str" cm="1">
        <f t="array" ref="W47">_xlfn.TEXTJOIN(", ",TRUE,IFERROR(_xlfn._xlws.FILTER(Table3[Holiday Name],('SELECTED DATA'!Q47&gt;=Table3[start])*('SELECTED DATA'!Q47&lt;=Table3[end])),""))</f>
        <v/>
      </c>
      <c r="X47">
        <v>997</v>
      </c>
    </row>
    <row r="48" spans="1:34" x14ac:dyDescent="0.35">
      <c r="C48" s="36">
        <v>45145</v>
      </c>
      <c r="D48" t="str">
        <v>PM</v>
      </c>
      <c r="E48" t="str">
        <v>August</v>
      </c>
      <c r="F48" t="str">
        <v>MON</v>
      </c>
      <c r="G48" s="31">
        <v>1184</v>
      </c>
      <c r="H48" t="str">
        <v>DOUBLE</v>
      </c>
      <c r="I48">
        <v>1184</v>
      </c>
      <c r="L48">
        <v>1161</v>
      </c>
      <c r="M48" s="31">
        <f t="shared" si="3"/>
        <v>190</v>
      </c>
      <c r="N48">
        <f t="shared" si="4"/>
        <v>0.65292096219931273</v>
      </c>
      <c r="O48">
        <f t="shared" si="5"/>
        <v>0.39321854247747962</v>
      </c>
      <c r="P48" s="281">
        <f t="shared" si="6"/>
        <v>1179.3255512472456</v>
      </c>
      <c r="W48" s="69" t="str" cm="1">
        <f t="array" ref="W48">_xlfn.TEXTJOIN(", ",TRUE,IFERROR(_xlfn._xlws.FILTER(Table3[Holiday Name],('SELECTED DATA'!Q48&gt;=Table3[start])*('SELECTED DATA'!Q48&lt;=Table3[end])),""))</f>
        <v/>
      </c>
      <c r="X48">
        <v>1281.51</v>
      </c>
    </row>
    <row r="49" spans="3:24" x14ac:dyDescent="0.35">
      <c r="C49" s="36">
        <v>45146</v>
      </c>
      <c r="D49" t="str">
        <v>AM</v>
      </c>
      <c r="E49" t="str">
        <v>August</v>
      </c>
      <c r="F49" t="str">
        <v>TUE</v>
      </c>
      <c r="G49" s="31">
        <v>697</v>
      </c>
      <c r="H49" t="str">
        <v>SINGLE</v>
      </c>
      <c r="I49">
        <v>697</v>
      </c>
      <c r="L49">
        <v>836.5</v>
      </c>
      <c r="M49" s="31">
        <f t="shared" si="3"/>
        <v>107</v>
      </c>
      <c r="N49">
        <f t="shared" si="4"/>
        <v>0.36769759450171824</v>
      </c>
      <c r="O49">
        <f t="shared" si="5"/>
        <v>-0.33795753499201858</v>
      </c>
      <c r="P49" s="281">
        <f t="shared" si="6"/>
        <v>855.29013588359214</v>
      </c>
      <c r="W49" s="69" t="str" cm="1">
        <f t="array" ref="W49">_xlfn.TEXTJOIN(", ",TRUE,IFERROR(_xlfn._xlws.FILTER(Table3[Holiday Name],('SELECTED DATA'!Q49&gt;=Table3[start])*('SELECTED DATA'!Q49&lt;=Table3[end])),""))</f>
        <v/>
      </c>
      <c r="X49">
        <v>1011.49</v>
      </c>
    </row>
    <row r="50" spans="3:24" x14ac:dyDescent="0.35">
      <c r="C50" s="36">
        <v>45147</v>
      </c>
      <c r="D50" t="str">
        <v>PM</v>
      </c>
      <c r="E50" t="str">
        <v>August</v>
      </c>
      <c r="F50" t="str">
        <v>WED</v>
      </c>
      <c r="G50" s="31">
        <v>1060.27</v>
      </c>
      <c r="H50" t="str">
        <v>SINGLE</v>
      </c>
      <c r="I50">
        <v>1060.27</v>
      </c>
      <c r="L50">
        <v>1286</v>
      </c>
      <c r="M50" s="31">
        <f t="shared" si="3"/>
        <v>229</v>
      </c>
      <c r="N50">
        <f t="shared" si="4"/>
        <v>0.78694158075601373</v>
      </c>
      <c r="O50">
        <f t="shared" si="5"/>
        <v>0.79585410704076232</v>
      </c>
      <c r="P50" s="281">
        <f t="shared" si="6"/>
        <v>1357.7616166816824</v>
      </c>
      <c r="W50" s="69" t="str" cm="1">
        <f t="array" ref="W50">_xlfn.TEXTJOIN(", ",TRUE,IFERROR(_xlfn._xlws.FILTER(Table3[Holiday Name],('SELECTED DATA'!Q50&gt;=Table3[start])*('SELECTED DATA'!Q50&lt;=Table3[end])),""))</f>
        <v/>
      </c>
      <c r="X50">
        <v>804</v>
      </c>
    </row>
    <row r="51" spans="3:24" x14ac:dyDescent="0.35">
      <c r="C51" s="36">
        <v>45149</v>
      </c>
      <c r="D51" t="str">
        <v>PM</v>
      </c>
      <c r="E51" t="str">
        <v>August</v>
      </c>
      <c r="F51" t="str">
        <v>FRI</v>
      </c>
      <c r="G51" s="31">
        <v>1187</v>
      </c>
      <c r="H51" t="str">
        <v>SINGLE</v>
      </c>
      <c r="I51">
        <v>1187</v>
      </c>
      <c r="L51">
        <v>764.5</v>
      </c>
      <c r="M51" s="31">
        <f t="shared" si="3"/>
        <v>93</v>
      </c>
      <c r="N51">
        <f t="shared" si="4"/>
        <v>0.31958762886597936</v>
      </c>
      <c r="O51">
        <f t="shared" si="5"/>
        <v>-0.46885223825071859</v>
      </c>
      <c r="P51" s="281">
        <f t="shared" si="6"/>
        <v>797.28150999128184</v>
      </c>
      <c r="W51" s="69" t="str" cm="1">
        <f t="array" ref="W51">_xlfn.TEXTJOIN(", ",TRUE,IFERROR(_xlfn._xlws.FILTER(Table3[Holiday Name],('SELECTED DATA'!Q51&gt;=Table3[start])*('SELECTED DATA'!Q51&lt;=Table3[end])),""))</f>
        <v/>
      </c>
      <c r="X51">
        <v>1304.5</v>
      </c>
    </row>
    <row r="52" spans="3:24" x14ac:dyDescent="0.35">
      <c r="C52" s="36">
        <v>45150</v>
      </c>
      <c r="D52" t="str">
        <v>PM</v>
      </c>
      <c r="E52" t="str">
        <v>August</v>
      </c>
      <c r="F52" t="str">
        <v>SAT</v>
      </c>
      <c r="G52" s="31">
        <v>1928</v>
      </c>
      <c r="H52" t="str">
        <v>SINGLE</v>
      </c>
      <c r="I52">
        <v>1928</v>
      </c>
      <c r="L52">
        <v>662</v>
      </c>
      <c r="M52" s="31">
        <f t="shared" si="3"/>
        <v>80</v>
      </c>
      <c r="N52">
        <f t="shared" si="4"/>
        <v>0.27491408934707906</v>
      </c>
      <c r="O52">
        <f t="shared" si="5"/>
        <v>-0.59801761630985584</v>
      </c>
      <c r="P52" s="281">
        <f t="shared" si="6"/>
        <v>740.03926941518489</v>
      </c>
      <c r="W52" s="69" t="str" cm="1">
        <f t="array" ref="W52">_xlfn.TEXTJOIN(", ",TRUE,IFERROR(_xlfn._xlws.FILTER(Table3[Holiday Name],('SELECTED DATA'!Q52&gt;=Table3[start])*('SELECTED DATA'!Q52&lt;=Table3[end])),""))</f>
        <v/>
      </c>
      <c r="X52">
        <v>706.5</v>
      </c>
    </row>
    <row r="53" spans="3:24" x14ac:dyDescent="0.35">
      <c r="C53" s="36">
        <v>45152</v>
      </c>
      <c r="D53" t="str">
        <v>AM</v>
      </c>
      <c r="E53" t="str">
        <v>August</v>
      </c>
      <c r="F53" t="str">
        <v>MON</v>
      </c>
      <c r="G53" s="31">
        <v>646.5</v>
      </c>
      <c r="H53" t="str">
        <v>SINGLE</v>
      </c>
      <c r="I53">
        <v>646.5</v>
      </c>
      <c r="L53">
        <v>892</v>
      </c>
      <c r="M53" s="31">
        <f t="shared" si="3"/>
        <v>115.5</v>
      </c>
      <c r="N53">
        <f t="shared" si="4"/>
        <v>0.39690721649484534</v>
      </c>
      <c r="O53">
        <f t="shared" si="5"/>
        <v>-0.26136060643458697</v>
      </c>
      <c r="P53" s="281">
        <f t="shared" si="6"/>
        <v>889.23560856178278</v>
      </c>
      <c r="W53" s="69" t="str" cm="1">
        <f t="array" ref="W53">_xlfn.TEXTJOIN(", ",TRUE,IFERROR(_xlfn._xlws.FILTER(Table3[Holiday Name],('SELECTED DATA'!Q53&gt;=Table3[start])*('SELECTED DATA'!Q53&lt;=Table3[end])),""))</f>
        <v/>
      </c>
      <c r="X53">
        <v>763</v>
      </c>
    </row>
    <row r="54" spans="3:24" x14ac:dyDescent="0.35">
      <c r="C54" s="36">
        <v>45153</v>
      </c>
      <c r="D54" t="str">
        <v>AM</v>
      </c>
      <c r="E54" t="str">
        <v>August</v>
      </c>
      <c r="F54" t="str">
        <v>TUE</v>
      </c>
      <c r="G54" s="31">
        <v>369</v>
      </c>
      <c r="H54" t="str">
        <v>DOUBLE</v>
      </c>
      <c r="I54">
        <v>369</v>
      </c>
      <c r="L54">
        <v>1455</v>
      </c>
      <c r="M54" s="31">
        <f t="shared" si="3"/>
        <v>267</v>
      </c>
      <c r="N54">
        <f t="shared" si="4"/>
        <v>0.91752577319587625</v>
      </c>
      <c r="O54">
        <f t="shared" si="5"/>
        <v>1.3886196016161585</v>
      </c>
      <c r="P54" s="281">
        <f t="shared" si="6"/>
        <v>1620.4575926123127</v>
      </c>
      <c r="W54" s="69" t="str" cm="1">
        <f t="array" ref="W54">_xlfn.TEXTJOIN(", ",TRUE,IFERROR(_xlfn._xlws.FILTER(Table3[Holiday Name],('SELECTED DATA'!Q54&gt;=Table3[start])*('SELECTED DATA'!Q54&lt;=Table3[end])),""))</f>
        <v/>
      </c>
      <c r="X54">
        <v>477</v>
      </c>
    </row>
    <row r="55" spans="3:24" x14ac:dyDescent="0.35">
      <c r="C55" s="36">
        <v>45153</v>
      </c>
      <c r="D55" t="str">
        <v>PM</v>
      </c>
      <c r="E55" t="str">
        <v>August</v>
      </c>
      <c r="F55" t="str">
        <v>TUE</v>
      </c>
      <c r="G55" s="31">
        <v>652.5</v>
      </c>
      <c r="H55" t="str">
        <v>DOUBLE</v>
      </c>
      <c r="I55">
        <v>652.5</v>
      </c>
      <c r="L55">
        <v>1817.5</v>
      </c>
      <c r="M55" s="31">
        <f t="shared" si="3"/>
        <v>294</v>
      </c>
      <c r="N55">
        <f t="shared" si="4"/>
        <v>0.99828178694158076</v>
      </c>
      <c r="O55">
        <f t="shared" si="5"/>
        <v>2.9257358252621142</v>
      </c>
      <c r="P55" s="281">
        <f t="shared" si="6"/>
        <v>2301.6616272343363</v>
      </c>
      <c r="W55" s="69" t="str" cm="1">
        <f t="array" ref="W55">_xlfn.TEXTJOIN(", ",TRUE,IFERROR(_xlfn._xlws.FILTER(Table3[Holiday Name],('SELECTED DATA'!Q55&gt;=Table3[start])*('SELECTED DATA'!Q55&lt;=Table3[end])),""))</f>
        <v/>
      </c>
      <c r="X55">
        <v>1016.33</v>
      </c>
    </row>
    <row r="56" spans="3:24" x14ac:dyDescent="0.35">
      <c r="C56" s="36">
        <v>45154</v>
      </c>
      <c r="D56" t="str">
        <v>AM</v>
      </c>
      <c r="E56" t="str">
        <v>August</v>
      </c>
      <c r="F56" t="str">
        <v>WED</v>
      </c>
      <c r="G56" s="31">
        <v>728.5</v>
      </c>
      <c r="H56" t="str">
        <v>DOUBLE</v>
      </c>
      <c r="I56">
        <v>728.5</v>
      </c>
      <c r="L56">
        <v>1036</v>
      </c>
      <c r="M56" s="31">
        <f t="shared" si="3"/>
        <v>159</v>
      </c>
      <c r="N56">
        <f t="shared" si="4"/>
        <v>0.54639175257731953</v>
      </c>
      <c r="O56">
        <f t="shared" si="5"/>
        <v>0.11655021066820319</v>
      </c>
      <c r="P56" s="281">
        <f t="shared" si="6"/>
        <v>1056.7144038392837</v>
      </c>
      <c r="W56" s="69" t="str" cm="1">
        <f t="array" ref="W56">_xlfn.TEXTJOIN(", ",TRUE,IFERROR(_xlfn._xlws.FILTER(Table3[Holiday Name],('SELECTED DATA'!Q56&gt;=Table3[start])*('SELECTED DATA'!Q56&lt;=Table3[end])),""))</f>
        <v/>
      </c>
      <c r="X56">
        <v>1194</v>
      </c>
    </row>
    <row r="57" spans="3:24" x14ac:dyDescent="0.35">
      <c r="C57" s="36">
        <v>45154</v>
      </c>
      <c r="D57" t="str">
        <v>PM</v>
      </c>
      <c r="E57" t="str">
        <v>August</v>
      </c>
      <c r="F57" t="str">
        <v>WED</v>
      </c>
      <c r="G57" s="31">
        <v>1652</v>
      </c>
      <c r="H57" t="str">
        <v>DOUBLE</v>
      </c>
      <c r="I57">
        <v>1652</v>
      </c>
      <c r="L57">
        <v>967</v>
      </c>
      <c r="M57" s="31">
        <f t="shared" si="3"/>
        <v>136</v>
      </c>
      <c r="N57">
        <f t="shared" si="4"/>
        <v>0.46735395189003437</v>
      </c>
      <c r="O57">
        <f t="shared" si="5"/>
        <v>-8.1923051277915451E-2</v>
      </c>
      <c r="P57" s="281">
        <f t="shared" si="6"/>
        <v>968.75697763920039</v>
      </c>
      <c r="W57" s="69" t="str" cm="1">
        <f t="array" ref="W57">_xlfn.TEXTJOIN(", ",TRUE,IFERROR(_xlfn._xlws.FILTER(Table3[Holiday Name],('SELECTED DATA'!Q57&gt;=Table3[start])*('SELECTED DATA'!Q57&lt;=Table3[end])),""))</f>
        <v/>
      </c>
      <c r="X57">
        <v>1669.5</v>
      </c>
    </row>
    <row r="58" spans="3:24" x14ac:dyDescent="0.35">
      <c r="C58" s="36">
        <v>45156</v>
      </c>
      <c r="D58" t="str">
        <v>PM</v>
      </c>
      <c r="E58" t="str">
        <v>August</v>
      </c>
      <c r="F58" t="str">
        <v>FRI</v>
      </c>
      <c r="G58" s="31">
        <v>1152.5</v>
      </c>
      <c r="H58" t="str">
        <v>SINGLE</v>
      </c>
      <c r="I58">
        <v>1152.5</v>
      </c>
      <c r="L58">
        <v>997</v>
      </c>
      <c r="M58" s="31">
        <f t="shared" si="3"/>
        <v>145</v>
      </c>
      <c r="N58">
        <f t="shared" si="4"/>
        <v>0.49828178694158076</v>
      </c>
      <c r="O58">
        <f t="shared" si="5"/>
        <v>-4.3069347494186956E-3</v>
      </c>
      <c r="P58" s="281">
        <f t="shared" si="6"/>
        <v>1003.1541240081943</v>
      </c>
      <c r="W58" s="69" t="str" cm="1">
        <f t="array" ref="W58">_xlfn.TEXTJOIN(", ",TRUE,IFERROR(_xlfn._xlws.FILTER(Table3[Holiday Name],('SELECTED DATA'!Q58&gt;=Table3[start])*('SELECTED DATA'!Q58&lt;=Table3[end])),""))</f>
        <v/>
      </c>
      <c r="X58">
        <v>518.5</v>
      </c>
    </row>
    <row r="59" spans="3:24" x14ac:dyDescent="0.35">
      <c r="C59" s="36">
        <v>45157</v>
      </c>
      <c r="D59" t="str">
        <v>PM</v>
      </c>
      <c r="E59" t="str">
        <v>August</v>
      </c>
      <c r="F59" t="str">
        <v>SAT</v>
      </c>
      <c r="G59" s="31">
        <v>1761.5</v>
      </c>
      <c r="H59" t="str">
        <v>SINGLE</v>
      </c>
      <c r="I59">
        <v>1761.5</v>
      </c>
      <c r="L59">
        <v>1281.51</v>
      </c>
      <c r="M59" s="31">
        <f t="shared" si="3"/>
        <v>227</v>
      </c>
      <c r="N59">
        <f t="shared" si="4"/>
        <v>0.78006872852233677</v>
      </c>
      <c r="O59">
        <f t="shared" si="5"/>
        <v>0.77242535256281153</v>
      </c>
      <c r="P59" s="281">
        <f t="shared" si="6"/>
        <v>1347.378691935307</v>
      </c>
      <c r="W59" s="69" t="str" cm="1">
        <f t="array" ref="W59">_xlfn.TEXTJOIN(", ",TRUE,IFERROR(_xlfn._xlws.FILTER(Table3[Holiday Name],('SELECTED DATA'!Q59&gt;=Table3[start])*('SELECTED DATA'!Q59&lt;=Table3[end])),""))</f>
        <v/>
      </c>
      <c r="X59">
        <v>1184</v>
      </c>
    </row>
    <row r="60" spans="3:24" x14ac:dyDescent="0.35">
      <c r="C60" s="36">
        <v>45159</v>
      </c>
      <c r="D60" t="str">
        <v>AM</v>
      </c>
      <c r="E60" t="str">
        <v>August</v>
      </c>
      <c r="F60" t="str">
        <v>MON</v>
      </c>
      <c r="G60" s="31">
        <v>910</v>
      </c>
      <c r="H60" t="str">
        <v>SINGLE</v>
      </c>
      <c r="I60">
        <v>910</v>
      </c>
      <c r="L60">
        <v>1011.49</v>
      </c>
      <c r="M60" s="31">
        <f t="shared" si="3"/>
        <v>147</v>
      </c>
      <c r="N60">
        <f t="shared" si="4"/>
        <v>0.50515463917525771</v>
      </c>
      <c r="O60">
        <f t="shared" si="5"/>
        <v>1.2921123835206039E-2</v>
      </c>
      <c r="P60" s="281">
        <f t="shared" si="6"/>
        <v>1010.7890853962891</v>
      </c>
      <c r="W60" s="69" t="str" cm="1">
        <f t="array" ref="W60">_xlfn.TEXTJOIN(", ",TRUE,IFERROR(_xlfn._xlws.FILTER(Table3[Holiday Name],('SELECTED DATA'!Q60&gt;=Table3[start])*('SELECTED DATA'!Q60&lt;=Table3[end])),""))</f>
        <v/>
      </c>
      <c r="X60">
        <v>697</v>
      </c>
    </row>
    <row r="61" spans="3:24" x14ac:dyDescent="0.35">
      <c r="C61" s="36">
        <v>45160</v>
      </c>
      <c r="D61" t="str">
        <v>AM</v>
      </c>
      <c r="E61" t="str">
        <v>August</v>
      </c>
      <c r="F61" t="str">
        <v>TUE</v>
      </c>
      <c r="G61" s="31">
        <v>942</v>
      </c>
      <c r="H61" t="str">
        <v>DOUBLE</v>
      </c>
      <c r="I61">
        <v>942</v>
      </c>
      <c r="L61">
        <v>804</v>
      </c>
      <c r="M61" s="31">
        <f t="shared" si="3"/>
        <v>100</v>
      </c>
      <c r="N61">
        <f t="shared" si="4"/>
        <v>0.3436426116838488</v>
      </c>
      <c r="O61">
        <f t="shared" si="5"/>
        <v>-0.40254194778471264</v>
      </c>
      <c r="P61" s="281">
        <f t="shared" si="6"/>
        <v>826.66825167517277</v>
      </c>
      <c r="W61" s="69" t="str" cm="1">
        <f t="array" ref="W61">_xlfn.TEXTJOIN(", ",TRUE,IFERROR(_xlfn._xlws.FILTER(Table3[Holiday Name],('SELECTED DATA'!Q61&gt;=Table3[start])*('SELECTED DATA'!Q61&lt;=Table3[end])),""))</f>
        <v/>
      </c>
      <c r="X61">
        <v>1060.27</v>
      </c>
    </row>
    <row r="62" spans="3:24" x14ac:dyDescent="0.35">
      <c r="C62" s="36">
        <v>45160</v>
      </c>
      <c r="D62" t="str">
        <v>PM</v>
      </c>
      <c r="E62" t="str">
        <v>August</v>
      </c>
      <c r="F62" t="str">
        <v>TUE</v>
      </c>
      <c r="G62" s="31">
        <v>405</v>
      </c>
      <c r="H62" t="str">
        <v>DOUBLE</v>
      </c>
      <c r="I62">
        <v>405</v>
      </c>
      <c r="L62">
        <v>1304.5</v>
      </c>
      <c r="M62" s="31">
        <f t="shared" si="3"/>
        <v>233</v>
      </c>
      <c r="N62">
        <f t="shared" si="4"/>
        <v>0.80068728522336774</v>
      </c>
      <c r="O62">
        <f t="shared" si="5"/>
        <v>0.84407869957484616</v>
      </c>
      <c r="P62" s="281">
        <f t="shared" si="6"/>
        <v>1379.1333168152617</v>
      </c>
      <c r="W62" s="69" t="str" cm="1">
        <f t="array" ref="W62">_xlfn.TEXTJOIN(", ",TRUE,IFERROR(_xlfn._xlws.FILTER(Table3[Holiday Name],('SELECTED DATA'!Q62&gt;=Table3[start])*('SELECTED DATA'!Q62&lt;=Table3[end])),""))</f>
        <v/>
      </c>
      <c r="X62">
        <v>1187</v>
      </c>
    </row>
    <row r="63" spans="3:24" x14ac:dyDescent="0.35">
      <c r="C63" s="36">
        <v>45161</v>
      </c>
      <c r="D63" t="str">
        <v>AM</v>
      </c>
      <c r="E63" t="str">
        <v>August</v>
      </c>
      <c r="F63" t="str">
        <v>WED</v>
      </c>
      <c r="G63" s="31">
        <v>524</v>
      </c>
      <c r="H63" t="str">
        <v>DOUBLE</v>
      </c>
      <c r="I63">
        <v>524</v>
      </c>
      <c r="L63">
        <v>706.5</v>
      </c>
      <c r="M63" s="31">
        <f t="shared" si="3"/>
        <v>87</v>
      </c>
      <c r="N63">
        <f t="shared" si="4"/>
        <v>0.29896907216494845</v>
      </c>
      <c r="O63">
        <f t="shared" si="5"/>
        <v>-0.52736787992303447</v>
      </c>
      <c r="P63" s="281">
        <f t="shared" si="6"/>
        <v>771.34912401910731</v>
      </c>
      <c r="W63" s="69" t="str" cm="1">
        <f t="array" ref="W63">_xlfn.TEXTJOIN(", ",TRUE,IFERROR(_xlfn._xlws.FILTER(Table3[Holiday Name],('SELECTED DATA'!Q63&gt;=Table3[start])*('SELECTED DATA'!Q63&lt;=Table3[end])),""))</f>
        <v/>
      </c>
      <c r="X63">
        <v>1928</v>
      </c>
    </row>
    <row r="64" spans="3:24" x14ac:dyDescent="0.35">
      <c r="C64" s="36">
        <v>45161</v>
      </c>
      <c r="D64" t="str">
        <v>PM</v>
      </c>
      <c r="E64" t="str">
        <v>August</v>
      </c>
      <c r="F64" t="str">
        <v>WED</v>
      </c>
      <c r="G64" s="31">
        <v>857.5</v>
      </c>
      <c r="H64" t="str">
        <v>DOUBLE</v>
      </c>
      <c r="I64">
        <v>857.5</v>
      </c>
      <c r="L64">
        <v>763</v>
      </c>
      <c r="M64" s="31">
        <f t="shared" si="3"/>
        <v>92</v>
      </c>
      <c r="N64">
        <f t="shared" si="4"/>
        <v>0.31615120274914088</v>
      </c>
      <c r="O64">
        <f t="shared" si="5"/>
        <v>-0.47848871352192957</v>
      </c>
      <c r="P64" s="281">
        <f t="shared" si="6"/>
        <v>793.01091175459555</v>
      </c>
      <c r="W64" s="69" t="str" cm="1">
        <f t="array" ref="W64">_xlfn.TEXTJOIN(", ",TRUE,IFERROR(_xlfn._xlws.FILTER(Table3[Holiday Name],('SELECTED DATA'!Q64&gt;=Table3[start])*('SELECTED DATA'!Q64&lt;=Table3[end])),""))</f>
        <v/>
      </c>
      <c r="X64">
        <v>646.5</v>
      </c>
    </row>
    <row r="65" spans="3:24" x14ac:dyDescent="0.35">
      <c r="C65" s="36">
        <v>45163</v>
      </c>
      <c r="D65" t="str">
        <v>PM</v>
      </c>
      <c r="E65" t="str">
        <v>August</v>
      </c>
      <c r="F65" t="str">
        <v>FRI</v>
      </c>
      <c r="G65" s="31">
        <v>1320.5</v>
      </c>
      <c r="H65" t="str">
        <v>SINGLE</v>
      </c>
      <c r="I65">
        <v>1320.5</v>
      </c>
      <c r="L65">
        <v>477</v>
      </c>
      <c r="M65" s="31">
        <f t="shared" si="3"/>
        <v>39</v>
      </c>
      <c r="N65">
        <f t="shared" si="4"/>
        <v>0.13402061855670103</v>
      </c>
      <c r="O65">
        <f t="shared" si="5"/>
        <v>-1.1075846467104982</v>
      </c>
      <c r="P65" s="281">
        <f t="shared" si="6"/>
        <v>514.21436972351853</v>
      </c>
      <c r="W65" s="69" t="str" cm="1">
        <f t="array" ref="W65">_xlfn.TEXTJOIN(", ",TRUE,IFERROR(_xlfn._xlws.FILTER(Table3[Holiday Name],('SELECTED DATA'!Q65&gt;=Table3[start])*('SELECTED DATA'!Q65&lt;=Table3[end])),""))</f>
        <v/>
      </c>
      <c r="X65">
        <v>369</v>
      </c>
    </row>
    <row r="66" spans="3:24" x14ac:dyDescent="0.35">
      <c r="C66" s="36">
        <v>45164</v>
      </c>
      <c r="D66" t="str">
        <v>AM</v>
      </c>
      <c r="E66" t="str">
        <v>August</v>
      </c>
      <c r="F66" t="str">
        <v>SAT</v>
      </c>
      <c r="G66" s="31">
        <v>510</v>
      </c>
      <c r="H66" t="str">
        <v>DOUBLE</v>
      </c>
      <c r="I66">
        <v>510</v>
      </c>
      <c r="L66">
        <v>1016.33</v>
      </c>
      <c r="M66" s="31">
        <f t="shared" si="3"/>
        <v>151</v>
      </c>
      <c r="N66">
        <f t="shared" si="4"/>
        <v>0.51890034364261173</v>
      </c>
      <c r="O66">
        <f t="shared" si="5"/>
        <v>4.7393872319655195E-2</v>
      </c>
      <c r="P66" s="281">
        <f t="shared" si="6"/>
        <v>1026.0663786750085</v>
      </c>
      <c r="W66" s="69" t="str" cm="1">
        <f t="array" ref="W66">_xlfn.TEXTJOIN(", ",TRUE,IFERROR(_xlfn._xlws.FILTER(Table3[Holiday Name],('SELECTED DATA'!Q66&gt;=Table3[start])*('SELECTED DATA'!Q66&lt;=Table3[end])),""))</f>
        <v/>
      </c>
      <c r="X66">
        <v>652.5</v>
      </c>
    </row>
    <row r="67" spans="3:24" x14ac:dyDescent="0.35">
      <c r="C67" s="36">
        <v>45164</v>
      </c>
      <c r="D67" t="str">
        <v>PM</v>
      </c>
      <c r="E67" t="str">
        <v>August</v>
      </c>
      <c r="F67" t="str">
        <v>SAT</v>
      </c>
      <c r="G67" s="31">
        <v>1345.5</v>
      </c>
      <c r="H67" t="str">
        <v>DOUBLE</v>
      </c>
      <c r="I67">
        <v>1345.5</v>
      </c>
      <c r="L67">
        <v>1194</v>
      </c>
      <c r="M67" s="31">
        <f t="shared" si="3"/>
        <v>201</v>
      </c>
      <c r="N67">
        <f t="shared" si="4"/>
        <v>0.69072164948453607</v>
      </c>
      <c r="O67">
        <f t="shared" si="5"/>
        <v>0.49789691614005799</v>
      </c>
      <c r="P67" s="281">
        <f t="shared" si="6"/>
        <v>1225.7158822968281</v>
      </c>
      <c r="W67" s="69" t="str" cm="1">
        <f t="array" ref="W67">_xlfn.TEXTJOIN(", ",TRUE,IFERROR(_xlfn._xlws.FILTER(Table3[Holiday Name],('SELECTED DATA'!Q67&gt;=Table3[start])*('SELECTED DATA'!Q67&lt;=Table3[end])),""))</f>
        <v/>
      </c>
      <c r="X67">
        <v>728.5</v>
      </c>
    </row>
    <row r="68" spans="3:24" x14ac:dyDescent="0.35">
      <c r="C68" s="36">
        <v>45165</v>
      </c>
      <c r="D68" t="str">
        <v>AM</v>
      </c>
      <c r="E68" t="str">
        <v>August</v>
      </c>
      <c r="F68" t="str">
        <v>SUN</v>
      </c>
      <c r="G68" s="31">
        <v>1029.75</v>
      </c>
      <c r="H68" t="str">
        <v>DOUBLE</v>
      </c>
      <c r="I68">
        <v>1029.75</v>
      </c>
      <c r="L68">
        <v>1669.5</v>
      </c>
      <c r="M68" s="31">
        <f t="shared" si="3"/>
        <v>285</v>
      </c>
      <c r="N68">
        <f t="shared" si="4"/>
        <v>0.97938144329896903</v>
      </c>
      <c r="O68">
        <f t="shared" si="5"/>
        <v>2.0411379881190963</v>
      </c>
      <c r="P68" s="281">
        <f t="shared" si="6"/>
        <v>1909.634266902126</v>
      </c>
      <c r="W68" s="69" t="str" cm="1">
        <f t="array" ref="W68">_xlfn.TEXTJOIN(", ",TRUE,IFERROR(_xlfn._xlws.FILTER(Table3[Holiday Name],('SELECTED DATA'!Q68&gt;=Table3[start])*('SELECTED DATA'!Q68&lt;=Table3[end])),""))</f>
        <v/>
      </c>
      <c r="X68">
        <v>1652</v>
      </c>
    </row>
    <row r="69" spans="3:24" x14ac:dyDescent="0.35">
      <c r="C69" s="36">
        <v>45165</v>
      </c>
      <c r="D69" t="str">
        <v>PM</v>
      </c>
      <c r="E69" t="str">
        <v>August</v>
      </c>
      <c r="F69" t="str">
        <v>SUN</v>
      </c>
      <c r="G69" s="31">
        <v>1029.75</v>
      </c>
      <c r="H69" t="str">
        <v>DOUBLE</v>
      </c>
      <c r="I69">
        <v>1029.75</v>
      </c>
      <c r="L69">
        <v>518.5</v>
      </c>
      <c r="M69" s="31">
        <f t="shared" si="3"/>
        <v>47</v>
      </c>
      <c r="N69">
        <f t="shared" si="4"/>
        <v>0.16151202749140894</v>
      </c>
      <c r="O69">
        <f t="shared" si="5"/>
        <v>-0.98826260398444499</v>
      </c>
      <c r="P69" s="281">
        <f t="shared" si="6"/>
        <v>567.09433785730801</v>
      </c>
      <c r="W69" s="69" t="str" cm="1">
        <f t="array" ref="W69">_xlfn.TEXTJOIN(", ",TRUE,IFERROR(_xlfn._xlws.FILTER(Table3[Holiday Name],('SELECTED DATA'!Q69&gt;=Table3[start])*('SELECTED DATA'!Q69&lt;=Table3[end])),""))</f>
        <v/>
      </c>
      <c r="X69">
        <v>1152.5</v>
      </c>
    </row>
    <row r="70" spans="3:24" x14ac:dyDescent="0.35">
      <c r="C70" s="36">
        <v>45166</v>
      </c>
      <c r="D70" t="str">
        <v>AM</v>
      </c>
      <c r="E70" t="str">
        <v>August</v>
      </c>
      <c r="F70" t="str">
        <v>MON</v>
      </c>
      <c r="G70" s="31">
        <v>281</v>
      </c>
      <c r="H70" t="str">
        <v>DOUBLE</v>
      </c>
      <c r="I70">
        <v>281</v>
      </c>
      <c r="L70">
        <v>1184</v>
      </c>
      <c r="M70" s="31">
        <f t="shared" si="3"/>
        <v>195.5</v>
      </c>
      <c r="N70">
        <f t="shared" si="4"/>
        <v>0.67182130584192434</v>
      </c>
      <c r="O70">
        <f t="shared" si="5"/>
        <v>0.44494792394542765</v>
      </c>
      <c r="P70" s="281">
        <f t="shared" si="6"/>
        <v>1202.2504692348293</v>
      </c>
      <c r="W70" s="69" t="str" cm="1">
        <f t="array" ref="W70">_xlfn.TEXTJOIN(", ",TRUE,IFERROR(_xlfn._xlws.FILTER(Table3[Holiday Name],('SELECTED DATA'!Q70&gt;=Table3[start])*('SELECTED DATA'!Q70&lt;=Table3[end])),""))</f>
        <v/>
      </c>
      <c r="X70">
        <v>1761.5</v>
      </c>
    </row>
    <row r="71" spans="3:24" x14ac:dyDescent="0.35">
      <c r="C71" s="36">
        <v>45166</v>
      </c>
      <c r="D71" t="str">
        <v>PM</v>
      </c>
      <c r="E71" t="str">
        <v>August</v>
      </c>
      <c r="F71" t="str">
        <v>MON</v>
      </c>
      <c r="G71" s="31">
        <v>131</v>
      </c>
      <c r="H71" t="str">
        <v>DOUBLE</v>
      </c>
      <c r="I71">
        <v>131</v>
      </c>
      <c r="L71">
        <v>697</v>
      </c>
      <c r="M71" s="31">
        <f t="shared" si="3"/>
        <v>84.5</v>
      </c>
      <c r="N71">
        <f t="shared" si="4"/>
        <v>0.29037800687285226</v>
      </c>
      <c r="O71">
        <f t="shared" si="5"/>
        <v>-0.55228075517346942</v>
      </c>
      <c r="P71" s="281">
        <f t="shared" si="6"/>
        <v>760.30848124039949</v>
      </c>
      <c r="W71" s="69" t="str" cm="1">
        <f t="array" ref="W71">_xlfn.TEXTJOIN(", ",TRUE,IFERROR(_xlfn._xlws.FILTER(Table3[Holiday Name],('SELECTED DATA'!Q71&gt;=Table3[start])*('SELECTED DATA'!Q71&lt;=Table3[end])),""))</f>
        <v/>
      </c>
      <c r="X71">
        <v>910</v>
      </c>
    </row>
    <row r="72" spans="3:24" x14ac:dyDescent="0.35">
      <c r="C72" s="36">
        <v>45168</v>
      </c>
      <c r="D72" t="str">
        <v>AM</v>
      </c>
      <c r="E72" t="str">
        <v>August</v>
      </c>
      <c r="F72" t="str">
        <v>WED</v>
      </c>
      <c r="G72" s="31">
        <v>787</v>
      </c>
      <c r="H72" t="str">
        <v>DOUBLE</v>
      </c>
      <c r="I72">
        <v>787</v>
      </c>
      <c r="L72">
        <v>1060.27</v>
      </c>
      <c r="M72" s="31">
        <f t="shared" si="3"/>
        <v>167</v>
      </c>
      <c r="N72">
        <f t="shared" si="4"/>
        <v>0.57388316151202745</v>
      </c>
      <c r="O72">
        <f t="shared" si="5"/>
        <v>0.18626917782672842</v>
      </c>
      <c r="P72" s="281">
        <f t="shared" si="6"/>
        <v>1087.6117693003139</v>
      </c>
      <c r="W72" s="69" t="str" cm="1">
        <f t="array" ref="W72">_xlfn.TEXTJOIN(", ",TRUE,IFERROR(_xlfn._xlws.FILTER(Table3[Holiday Name],('SELECTED DATA'!Q72&gt;=Table3[start])*('SELECTED DATA'!Q72&lt;=Table3[end])),""))</f>
        <v/>
      </c>
      <c r="X72">
        <v>942</v>
      </c>
    </row>
    <row r="73" spans="3:24" x14ac:dyDescent="0.35">
      <c r="C73" s="36">
        <v>45168</v>
      </c>
      <c r="D73" t="str">
        <v>PM</v>
      </c>
      <c r="E73" t="str">
        <v>August</v>
      </c>
      <c r="F73" t="str">
        <v>WED</v>
      </c>
      <c r="G73" s="31">
        <v>954.5</v>
      </c>
      <c r="H73" t="str">
        <v>DOUBLE</v>
      </c>
      <c r="I73">
        <v>954.5</v>
      </c>
      <c r="L73">
        <v>1187</v>
      </c>
      <c r="M73" s="31">
        <f t="shared" si="3"/>
        <v>197</v>
      </c>
      <c r="N73">
        <f t="shared" si="4"/>
        <v>0.67697594501718217</v>
      </c>
      <c r="O73">
        <f t="shared" si="5"/>
        <v>0.45925910661955255</v>
      </c>
      <c r="P73" s="281">
        <f t="shared" si="6"/>
        <v>1208.592758274433</v>
      </c>
      <c r="W73" s="69" t="str" cm="1">
        <f t="array" ref="W73">_xlfn.TEXTJOIN(", ",TRUE,IFERROR(_xlfn._xlws.FILTER(Table3[Holiday Name],('SELECTED DATA'!Q73&gt;=Table3[start])*('SELECTED DATA'!Q73&lt;=Table3[end])),""))</f>
        <v/>
      </c>
      <c r="X73">
        <v>405</v>
      </c>
    </row>
    <row r="74" spans="3:24" x14ac:dyDescent="0.35">
      <c r="C74" s="36">
        <v>45171</v>
      </c>
      <c r="D74" t="str">
        <v>PM</v>
      </c>
      <c r="E74" t="str">
        <v>September</v>
      </c>
      <c r="F74" t="str">
        <v>SAT</v>
      </c>
      <c r="G74" s="31">
        <v>1714</v>
      </c>
      <c r="H74" t="str">
        <v>SINGLE</v>
      </c>
      <c r="I74">
        <v>1714</v>
      </c>
      <c r="L74">
        <v>1928</v>
      </c>
      <c r="M74" s="31">
        <f t="shared" si="3"/>
        <v>297</v>
      </c>
      <c r="N74">
        <f t="shared" si="4"/>
        <v>0.99828178694158076</v>
      </c>
      <c r="O74">
        <f t="shared" si="5"/>
        <v>2.9257358252621142</v>
      </c>
      <c r="P74" s="281">
        <f t="shared" si="6"/>
        <v>2301.6616272343363</v>
      </c>
      <c r="W74" s="69" t="str" cm="1">
        <f t="array" ref="W74">_xlfn.TEXTJOIN(", ",TRUE,IFERROR(_xlfn._xlws.FILTER(Table3[Holiday Name],('SELECTED DATA'!Q74&gt;=Table3[start])*('SELECTED DATA'!Q74&lt;=Table3[end])),""))</f>
        <v/>
      </c>
      <c r="X74">
        <v>524</v>
      </c>
    </row>
    <row r="75" spans="3:24" x14ac:dyDescent="0.35">
      <c r="C75" s="36">
        <v>45172</v>
      </c>
      <c r="D75" t="str">
        <v>PM</v>
      </c>
      <c r="E75" t="str">
        <v>September</v>
      </c>
      <c r="F75" t="str">
        <v>SUN</v>
      </c>
      <c r="G75" s="31">
        <v>1227.5</v>
      </c>
      <c r="H75" t="str">
        <v>SINGLE</v>
      </c>
      <c r="I75">
        <v>1227.5</v>
      </c>
      <c r="L75">
        <v>646.5</v>
      </c>
      <c r="M75" s="31">
        <f t="shared" si="3"/>
        <v>75</v>
      </c>
      <c r="N75">
        <f t="shared" si="4"/>
        <v>0.25773195876288657</v>
      </c>
      <c r="O75">
        <f t="shared" si="5"/>
        <v>-0.65035348275616589</v>
      </c>
      <c r="P75" s="281">
        <f t="shared" si="6"/>
        <v>716.84557538591844</v>
      </c>
      <c r="W75" s="69" t="str" cm="1">
        <f t="array" ref="W75">_xlfn.TEXTJOIN(", ",TRUE,IFERROR(_xlfn._xlws.FILTER(Table3[Holiday Name],('SELECTED DATA'!Q75&gt;=Table3[start])*('SELECTED DATA'!Q75&lt;=Table3[end])),""))</f>
        <v/>
      </c>
      <c r="X75">
        <v>857.5</v>
      </c>
    </row>
    <row r="76" spans="3:24" x14ac:dyDescent="0.35">
      <c r="C76" s="36">
        <v>45173</v>
      </c>
      <c r="D76" t="str">
        <v>PM</v>
      </c>
      <c r="E76" t="str">
        <v>September</v>
      </c>
      <c r="F76" t="str">
        <v>MON</v>
      </c>
      <c r="G76" s="31">
        <v>1301.5</v>
      </c>
      <c r="H76" t="str">
        <v>SINGLE</v>
      </c>
      <c r="I76">
        <v>1301.5</v>
      </c>
      <c r="L76">
        <v>369</v>
      </c>
      <c r="M76" s="31">
        <f t="shared" si="3"/>
        <v>26</v>
      </c>
      <c r="N76">
        <f t="shared" si="4"/>
        <v>8.9347079037800689E-2</v>
      </c>
      <c r="O76">
        <f t="shared" si="5"/>
        <v>-1.3447866022828647</v>
      </c>
      <c r="P76" s="281">
        <f t="shared" si="6"/>
        <v>409.09354237783862</v>
      </c>
      <c r="W76" s="69" t="str" cm="1">
        <f t="array" ref="W76">_xlfn.TEXTJOIN(", ",TRUE,IFERROR(_xlfn._xlws.FILTER(Table3[Holiday Name],('SELECTED DATA'!Q76&gt;=Table3[start])*('SELECTED DATA'!Q76&lt;=Table3[end])),""))</f>
        <v/>
      </c>
      <c r="X76">
        <v>1320.5</v>
      </c>
    </row>
    <row r="77" spans="3:24" x14ac:dyDescent="0.35">
      <c r="C77" s="36">
        <v>45174</v>
      </c>
      <c r="D77" t="str">
        <v>PM</v>
      </c>
      <c r="E77" t="str">
        <v>September</v>
      </c>
      <c r="F77" t="str">
        <v>TUE</v>
      </c>
      <c r="G77" s="31">
        <v>950</v>
      </c>
      <c r="H77" t="str">
        <v>SINGLE</v>
      </c>
      <c r="I77">
        <v>950</v>
      </c>
      <c r="L77">
        <v>652.5</v>
      </c>
      <c r="M77" s="31">
        <f t="shared" si="3"/>
        <v>78</v>
      </c>
      <c r="N77">
        <f t="shared" si="4"/>
        <v>0.26804123711340205</v>
      </c>
      <c r="O77">
        <f t="shared" si="5"/>
        <v>-0.61874786209070654</v>
      </c>
      <c r="P77" s="281">
        <f t="shared" si="6"/>
        <v>730.8522431855572</v>
      </c>
      <c r="W77" s="69" t="str" cm="1">
        <f t="array" ref="W77">_xlfn.TEXTJOIN(", ",TRUE,IFERROR(_xlfn._xlws.FILTER(Table3[Holiday Name],('SELECTED DATA'!Q77&gt;=Table3[start])*('SELECTED DATA'!Q77&lt;=Table3[end])),""))</f>
        <v/>
      </c>
      <c r="X77">
        <v>510</v>
      </c>
    </row>
    <row r="78" spans="3:24" x14ac:dyDescent="0.35">
      <c r="C78" s="36">
        <v>45175</v>
      </c>
      <c r="D78" t="str">
        <v>AM</v>
      </c>
      <c r="E78" t="str">
        <v>September</v>
      </c>
      <c r="F78" t="str">
        <v>WED</v>
      </c>
      <c r="G78" s="31">
        <v>223</v>
      </c>
      <c r="H78" t="str">
        <v>SINGLE</v>
      </c>
      <c r="I78">
        <v>223</v>
      </c>
      <c r="L78">
        <v>728.5</v>
      </c>
      <c r="M78" s="31">
        <f t="shared" si="3"/>
        <v>89</v>
      </c>
      <c r="N78">
        <f t="shared" si="4"/>
        <v>0.30584192439862545</v>
      </c>
      <c r="O78">
        <f t="shared" si="5"/>
        <v>-0.50767134289300608</v>
      </c>
      <c r="P78" s="281">
        <f t="shared" si="6"/>
        <v>780.07804138172037</v>
      </c>
      <c r="W78" s="69" t="str" cm="1">
        <f t="array" ref="W78">_xlfn.TEXTJOIN(", ",TRUE,IFERROR(_xlfn._xlws.FILTER(Table3[Holiday Name],('SELECTED DATA'!Q78&gt;=Table3[start])*('SELECTED DATA'!Q78&lt;=Table3[end])),""))</f>
        <v/>
      </c>
      <c r="X78">
        <v>1345.5</v>
      </c>
    </row>
    <row r="79" spans="3:24" x14ac:dyDescent="0.35">
      <c r="C79" s="36">
        <v>45177</v>
      </c>
      <c r="D79" t="str">
        <v>PM</v>
      </c>
      <c r="E79" t="str">
        <v>September</v>
      </c>
      <c r="F79" t="str">
        <v>FRI</v>
      </c>
      <c r="G79" s="31">
        <v>1417</v>
      </c>
      <c r="H79" t="str">
        <v>SINGLE</v>
      </c>
      <c r="I79">
        <v>1417</v>
      </c>
      <c r="L79">
        <v>1652</v>
      </c>
      <c r="M79" s="31">
        <f t="shared" si="3"/>
        <v>284</v>
      </c>
      <c r="N79">
        <f t="shared" si="4"/>
        <v>0.97594501718213056</v>
      </c>
      <c r="O79">
        <f t="shared" si="5"/>
        <v>1.9763958109551063</v>
      </c>
      <c r="P79" s="281">
        <f t="shared" si="6"/>
        <v>1880.9424662328736</v>
      </c>
      <c r="W79" s="69" t="str" cm="1">
        <f t="array" ref="W79">_xlfn.TEXTJOIN(", ",TRUE,IFERROR(_xlfn._xlws.FILTER(Table3[Holiday Name],('SELECTED DATA'!Q79&gt;=Table3[start])*('SELECTED DATA'!Q79&lt;=Table3[end])),""))</f>
        <v/>
      </c>
      <c r="X79">
        <v>1029.75</v>
      </c>
    </row>
    <row r="80" spans="3:24" x14ac:dyDescent="0.35">
      <c r="C80" s="36">
        <v>45178</v>
      </c>
      <c r="D80" t="str">
        <v>AM</v>
      </c>
      <c r="E80" t="str">
        <v>September</v>
      </c>
      <c r="F80" t="str">
        <v>SAT</v>
      </c>
      <c r="G80" s="31">
        <v>589</v>
      </c>
      <c r="H80" t="str">
        <v>SINGLE</v>
      </c>
      <c r="I80">
        <v>589</v>
      </c>
      <c r="L80">
        <v>1152.5</v>
      </c>
      <c r="M80" s="31">
        <f t="shared" si="3"/>
        <v>189</v>
      </c>
      <c r="N80">
        <f t="shared" si="4"/>
        <v>0.64948453608247425</v>
      </c>
      <c r="O80">
        <f t="shared" si="5"/>
        <v>0.38392919395923542</v>
      </c>
      <c r="P80" s="281">
        <f t="shared" si="6"/>
        <v>1175.2087892273712</v>
      </c>
      <c r="W80" s="69" t="str" cm="1">
        <f t="array" ref="W80">_xlfn.TEXTJOIN(", ",TRUE,IFERROR(_xlfn._xlws.FILTER(Table3[Holiday Name],('SELECTED DATA'!Q80&gt;=Table3[start])*('SELECTED DATA'!Q80&lt;=Table3[end])),""))</f>
        <v/>
      </c>
      <c r="X80">
        <v>1029.75</v>
      </c>
    </row>
    <row r="81" spans="3:24" x14ac:dyDescent="0.35">
      <c r="C81" s="36">
        <v>45179</v>
      </c>
      <c r="D81" t="str">
        <v>AM</v>
      </c>
      <c r="E81" t="str">
        <v>September</v>
      </c>
      <c r="F81" t="str">
        <v>SUN</v>
      </c>
      <c r="G81" s="31">
        <v>819.25</v>
      </c>
      <c r="H81" t="str">
        <v>DOUBLE</v>
      </c>
      <c r="I81">
        <v>819.25</v>
      </c>
      <c r="L81">
        <v>1761.5</v>
      </c>
      <c r="M81" s="31">
        <f t="shared" si="3"/>
        <v>290</v>
      </c>
      <c r="N81">
        <f t="shared" si="4"/>
        <v>0.99656357388316152</v>
      </c>
      <c r="O81">
        <f t="shared" si="5"/>
        <v>2.7029430431083212</v>
      </c>
      <c r="P81" s="281">
        <f t="shared" si="6"/>
        <v>2202.9265155016365</v>
      </c>
      <c r="W81" s="69" t="str" cm="1">
        <f t="array" ref="W81">_xlfn.TEXTJOIN(", ",TRUE,IFERROR(_xlfn._xlws.FILTER(Table3[Holiday Name],('SELECTED DATA'!Q81&gt;=Table3[start])*('SELECTED DATA'!Q81&lt;=Table3[end])),""))</f>
        <v/>
      </c>
      <c r="X81">
        <v>281</v>
      </c>
    </row>
    <row r="82" spans="3:24" x14ac:dyDescent="0.35">
      <c r="C82" s="36">
        <v>45179</v>
      </c>
      <c r="D82" t="str">
        <v>PM</v>
      </c>
      <c r="E82" t="str">
        <v>September</v>
      </c>
      <c r="F82" t="str">
        <v>SUN</v>
      </c>
      <c r="G82" s="31">
        <v>819.25</v>
      </c>
      <c r="H82" t="str">
        <v>DOUBLE</v>
      </c>
      <c r="I82">
        <v>819.25</v>
      </c>
      <c r="L82">
        <v>910</v>
      </c>
      <c r="M82" s="31">
        <f t="shared" si="3"/>
        <v>120</v>
      </c>
      <c r="N82">
        <f t="shared" si="4"/>
        <v>0.41237113402061853</v>
      </c>
      <c r="O82">
        <f t="shared" si="5"/>
        <v>-0.22144973830720133</v>
      </c>
      <c r="P82" s="281">
        <f t="shared" si="6"/>
        <v>906.92291416392868</v>
      </c>
      <c r="W82" s="69" t="str" cm="1">
        <f t="array" ref="W82">_xlfn.TEXTJOIN(", ",TRUE,IFERROR(_xlfn._xlws.FILTER(Table3[Holiday Name],('SELECTED DATA'!Q82&gt;=Table3[start])*('SELECTED DATA'!Q82&lt;=Table3[end])),""))</f>
        <v/>
      </c>
      <c r="X82">
        <v>131</v>
      </c>
    </row>
    <row r="83" spans="3:24" x14ac:dyDescent="0.35">
      <c r="C83" s="36">
        <v>45180</v>
      </c>
      <c r="D83" t="str">
        <v>AM</v>
      </c>
      <c r="E83" t="str">
        <v>September</v>
      </c>
      <c r="F83" t="str">
        <v>MON</v>
      </c>
      <c r="G83" s="31">
        <v>349</v>
      </c>
      <c r="H83" t="str">
        <v>DOUBLE</v>
      </c>
      <c r="I83">
        <v>349</v>
      </c>
      <c r="L83">
        <v>942</v>
      </c>
      <c r="M83" s="31">
        <f t="shared" si="3"/>
        <v>126</v>
      </c>
      <c r="N83">
        <f t="shared" si="4"/>
        <v>0.4329896907216495</v>
      </c>
      <c r="O83">
        <f t="shared" si="5"/>
        <v>-0.16876767974021187</v>
      </c>
      <c r="P83" s="281">
        <f t="shared" si="6"/>
        <v>930.27003020887196</v>
      </c>
      <c r="W83" s="69" t="str" cm="1">
        <f t="array" ref="W83">_xlfn.TEXTJOIN(", ",TRUE,IFERROR(_xlfn._xlws.FILTER(Table3[Holiday Name],('SELECTED DATA'!Q83&gt;=Table3[start])*('SELECTED DATA'!Q83&lt;=Table3[end])),""))</f>
        <v/>
      </c>
      <c r="X83">
        <v>787</v>
      </c>
    </row>
    <row r="84" spans="3:24" x14ac:dyDescent="0.35">
      <c r="C84" s="36">
        <v>45180</v>
      </c>
      <c r="D84" t="str">
        <v>PM</v>
      </c>
      <c r="E84" t="str">
        <v>September</v>
      </c>
      <c r="F84" t="str">
        <v>MON</v>
      </c>
      <c r="G84" s="31">
        <v>430</v>
      </c>
      <c r="H84" t="str">
        <v>DOUBLE</v>
      </c>
      <c r="I84">
        <v>430</v>
      </c>
      <c r="L84">
        <v>405</v>
      </c>
      <c r="M84" s="31">
        <f t="shared" si="3"/>
        <v>29</v>
      </c>
      <c r="N84">
        <f t="shared" si="4"/>
        <v>9.9656357388316158E-2</v>
      </c>
      <c r="O84">
        <f t="shared" si="5"/>
        <v>-1.2835121239141811</v>
      </c>
      <c r="P84" s="281">
        <f t="shared" si="6"/>
        <v>436.24856243552892</v>
      </c>
      <c r="W84" s="69" t="str" cm="1">
        <f t="array" ref="W84">_xlfn.TEXTJOIN(", ",TRUE,IFERROR(_xlfn._xlws.FILTER(Table3[Holiday Name],('SELECTED DATA'!Q84&gt;=Table3[start])*('SELECTED DATA'!Q84&lt;=Table3[end])),""))</f>
        <v/>
      </c>
      <c r="X84">
        <v>954.5</v>
      </c>
    </row>
    <row r="85" spans="3:24" x14ac:dyDescent="0.35">
      <c r="C85" s="36">
        <v>45182</v>
      </c>
      <c r="D85" t="str">
        <v>AM</v>
      </c>
      <c r="E85" t="str">
        <v>September</v>
      </c>
      <c r="F85" t="str">
        <v>WED</v>
      </c>
      <c r="G85" s="31">
        <v>731</v>
      </c>
      <c r="H85" t="str">
        <v>SINGLE</v>
      </c>
      <c r="I85">
        <v>731</v>
      </c>
      <c r="L85">
        <v>524</v>
      </c>
      <c r="M85" s="31">
        <f t="shared" si="3"/>
        <v>48</v>
      </c>
      <c r="N85">
        <f t="shared" si="4"/>
        <v>0.16494845360824742</v>
      </c>
      <c r="O85">
        <f t="shared" si="5"/>
        <v>-0.97432155132534637</v>
      </c>
      <c r="P85" s="281">
        <f t="shared" si="6"/>
        <v>573.27259632089408</v>
      </c>
      <c r="W85" s="69" t="str" cm="1">
        <f t="array" ref="W85">_xlfn.TEXTJOIN(", ",TRUE,IFERROR(_xlfn._xlws.FILTER(Table3[Holiday Name],('SELECTED DATA'!Q85&gt;=Table3[start])*('SELECTED DATA'!Q85&lt;=Table3[end])),""))</f>
        <v/>
      </c>
      <c r="X85">
        <v>1714</v>
      </c>
    </row>
    <row r="86" spans="3:24" x14ac:dyDescent="0.35">
      <c r="C86" s="36">
        <v>45184</v>
      </c>
      <c r="D86" t="str">
        <v>AM</v>
      </c>
      <c r="E86" t="str">
        <v>September</v>
      </c>
      <c r="F86" t="str">
        <v>FRI</v>
      </c>
      <c r="G86" s="31">
        <v>649.5</v>
      </c>
      <c r="H86" t="str">
        <v>DOUBLE</v>
      </c>
      <c r="I86">
        <v>649.5</v>
      </c>
      <c r="L86">
        <v>857.5</v>
      </c>
      <c r="M86" s="31">
        <f t="shared" si="3"/>
        <v>111</v>
      </c>
      <c r="N86">
        <f t="shared" si="4"/>
        <v>0.38144329896907214</v>
      </c>
      <c r="O86">
        <f t="shared" si="5"/>
        <v>-0.30169235340959349</v>
      </c>
      <c r="P86" s="281">
        <f t="shared" si="6"/>
        <v>871.36178201562745</v>
      </c>
      <c r="W86" s="69" t="str" cm="1">
        <f t="array" ref="W86">_xlfn.TEXTJOIN(", ",TRUE,IFERROR(_xlfn._xlws.FILTER(Table3[Holiday Name],('SELECTED DATA'!Q86&gt;=Table3[start])*('SELECTED DATA'!Q86&lt;=Table3[end])),""))</f>
        <v/>
      </c>
      <c r="X86">
        <v>1227.5</v>
      </c>
    </row>
    <row r="87" spans="3:24" x14ac:dyDescent="0.35">
      <c r="C87" s="36">
        <v>45184</v>
      </c>
      <c r="D87" t="str">
        <v>PM</v>
      </c>
      <c r="E87" t="str">
        <v>September</v>
      </c>
      <c r="F87" t="str">
        <v>FRI</v>
      </c>
      <c r="G87" s="31">
        <v>862.5</v>
      </c>
      <c r="H87" t="str">
        <v>DOUBLE</v>
      </c>
      <c r="I87">
        <v>862.5</v>
      </c>
      <c r="L87">
        <v>1320.5</v>
      </c>
      <c r="M87" s="31">
        <f t="shared" si="3"/>
        <v>238</v>
      </c>
      <c r="N87">
        <f t="shared" si="4"/>
        <v>0.81786941580756012</v>
      </c>
      <c r="O87">
        <f t="shared" si="5"/>
        <v>0.90727542131879702</v>
      </c>
      <c r="P87" s="281">
        <f t="shared" si="6"/>
        <v>1407.1402177669365</v>
      </c>
      <c r="W87" s="69" t="str" cm="1">
        <f t="array" ref="W87">_xlfn.TEXTJOIN(", ",TRUE,IFERROR(_xlfn._xlws.FILTER(Table3[Holiday Name],('SELECTED DATA'!Q87&gt;=Table3[start])*('SELECTED DATA'!Q87&lt;=Table3[end])),""))</f>
        <v/>
      </c>
      <c r="X87">
        <v>1301.5</v>
      </c>
    </row>
    <row r="88" spans="3:24" x14ac:dyDescent="0.35">
      <c r="C88" s="36">
        <v>45185</v>
      </c>
      <c r="D88" t="str">
        <v>AM</v>
      </c>
      <c r="E88" t="str">
        <v>September</v>
      </c>
      <c r="F88" t="str">
        <v>SAT</v>
      </c>
      <c r="G88" s="31">
        <v>1203</v>
      </c>
      <c r="H88" t="str">
        <v>SINGLE</v>
      </c>
      <c r="I88">
        <v>1203</v>
      </c>
      <c r="L88">
        <v>510</v>
      </c>
      <c r="M88" s="31">
        <f t="shared" si="3"/>
        <v>45</v>
      </c>
      <c r="N88">
        <f t="shared" si="4"/>
        <v>0.15463917525773196</v>
      </c>
      <c r="O88">
        <f t="shared" si="5"/>
        <v>-1.0167374386641632</v>
      </c>
      <c r="P88" s="281">
        <f t="shared" si="6"/>
        <v>554.47514096729651</v>
      </c>
      <c r="W88" s="69" t="str" cm="1">
        <f t="array" ref="W88">_xlfn.TEXTJOIN(", ",TRUE,IFERROR(_xlfn._xlws.FILTER(Table3[Holiday Name],('SELECTED DATA'!Q88&gt;=Table3[start])*('SELECTED DATA'!Q88&lt;=Table3[end])),""))</f>
        <v/>
      </c>
      <c r="X88">
        <v>950</v>
      </c>
    </row>
    <row r="89" spans="3:24" x14ac:dyDescent="0.35">
      <c r="C89" s="36">
        <v>45186</v>
      </c>
      <c r="D89" t="str">
        <v>AM</v>
      </c>
      <c r="E89" t="str">
        <v>September</v>
      </c>
      <c r="F89" t="str">
        <v>SUN</v>
      </c>
      <c r="G89" s="31">
        <v>1018</v>
      </c>
      <c r="H89" t="str">
        <v>DOUBLE</v>
      </c>
      <c r="I89">
        <v>1018</v>
      </c>
      <c r="L89">
        <v>1345.5</v>
      </c>
      <c r="M89" s="31">
        <f t="shared" si="3"/>
        <v>240</v>
      </c>
      <c r="N89">
        <f t="shared" si="4"/>
        <v>0.82474226804123707</v>
      </c>
      <c r="O89">
        <f t="shared" si="5"/>
        <v>0.93358992578879951</v>
      </c>
      <c r="P89" s="281">
        <f t="shared" si="6"/>
        <v>1418.8020207837094</v>
      </c>
      <c r="W89" s="69" t="str" cm="1">
        <f t="array" ref="W89">_xlfn.TEXTJOIN(", ",TRUE,IFERROR(_xlfn._xlws.FILTER(Table3[Holiday Name],('SELECTED DATA'!Q89&gt;=Table3[start])*('SELECTED DATA'!Q89&lt;=Table3[end])),""))</f>
        <v/>
      </c>
      <c r="X89">
        <v>223</v>
      </c>
    </row>
    <row r="90" spans="3:24" x14ac:dyDescent="0.35">
      <c r="C90" s="36">
        <v>45186</v>
      </c>
      <c r="D90" t="str">
        <v>PM</v>
      </c>
      <c r="E90" t="str">
        <v>September</v>
      </c>
      <c r="F90" t="str">
        <v>SUN</v>
      </c>
      <c r="G90" s="31">
        <v>1018</v>
      </c>
      <c r="H90" t="str">
        <v>DOUBLE</v>
      </c>
      <c r="I90">
        <v>1018</v>
      </c>
      <c r="L90">
        <v>1029.75</v>
      </c>
      <c r="M90" s="31">
        <f t="shared" si="3"/>
        <v>157.5</v>
      </c>
      <c r="N90">
        <f t="shared" si="4"/>
        <v>0.54123711340206182</v>
      </c>
      <c r="O90">
        <f t="shared" si="5"/>
        <v>0.10355087609044436</v>
      </c>
      <c r="P90" s="281">
        <f t="shared" si="6"/>
        <v>1050.9534867234868</v>
      </c>
      <c r="W90" s="69" t="str" cm="1">
        <f t="array" ref="W90">_xlfn.TEXTJOIN(", ",TRUE,IFERROR(_xlfn._xlws.FILTER(Table3[Holiday Name],('SELECTED DATA'!Q90&gt;=Table3[start])*('SELECTED DATA'!Q90&lt;=Table3[end])),""))</f>
        <v/>
      </c>
      <c r="X90">
        <v>1417</v>
      </c>
    </row>
    <row r="91" spans="3:24" x14ac:dyDescent="0.35">
      <c r="C91" s="36">
        <v>45187</v>
      </c>
      <c r="D91" t="str">
        <v>AM</v>
      </c>
      <c r="E91" t="str">
        <v>September</v>
      </c>
      <c r="F91" t="str">
        <v>MON</v>
      </c>
      <c r="G91" s="31">
        <v>309</v>
      </c>
      <c r="H91" t="str">
        <v>DOUBLE</v>
      </c>
      <c r="I91">
        <v>309</v>
      </c>
      <c r="L91">
        <v>1029.75</v>
      </c>
      <c r="M91" s="31">
        <f t="shared" si="3"/>
        <v>157.5</v>
      </c>
      <c r="N91">
        <f t="shared" si="4"/>
        <v>0.54123711340206182</v>
      </c>
      <c r="O91">
        <f t="shared" si="5"/>
        <v>0.10355087609044436</v>
      </c>
      <c r="P91" s="281">
        <f t="shared" si="6"/>
        <v>1050.9534867234868</v>
      </c>
      <c r="W91" s="69" t="str" cm="1">
        <f t="array" ref="W91">_xlfn.TEXTJOIN(", ",TRUE,IFERROR(_xlfn._xlws.FILTER(Table3[Holiday Name],('SELECTED DATA'!Q91&gt;=Table3[start])*('SELECTED DATA'!Q91&lt;=Table3[end])),""))</f>
        <v/>
      </c>
      <c r="X91">
        <v>589</v>
      </c>
    </row>
    <row r="92" spans="3:24" x14ac:dyDescent="0.35">
      <c r="C92" s="36">
        <v>45187</v>
      </c>
      <c r="D92" t="str">
        <v>PM</v>
      </c>
      <c r="E92" t="str">
        <v>September</v>
      </c>
      <c r="F92" t="str">
        <v>MON</v>
      </c>
      <c r="G92" s="31">
        <v>498</v>
      </c>
      <c r="H92" t="str">
        <v>DOUBLE</v>
      </c>
      <c r="I92">
        <v>498</v>
      </c>
      <c r="L92">
        <v>281</v>
      </c>
      <c r="M92" s="31">
        <f t="shared" si="3"/>
        <v>10</v>
      </c>
      <c r="N92">
        <f t="shared" si="4"/>
        <v>3.4364261168384883E-2</v>
      </c>
      <c r="O92">
        <f t="shared" si="5"/>
        <v>-1.8202002022470685</v>
      </c>
      <c r="P92" s="281">
        <f t="shared" si="6"/>
        <v>198.40442373615701</v>
      </c>
      <c r="W92" s="69" t="str" cm="1">
        <f t="array" ref="W92">_xlfn.TEXTJOIN(", ",TRUE,IFERROR(_xlfn._xlws.FILTER(Table3[Holiday Name],('SELECTED DATA'!Q92&gt;=Table3[start])*('SELECTED DATA'!Q92&lt;=Table3[end])),""))</f>
        <v/>
      </c>
      <c r="X92">
        <v>819.25</v>
      </c>
    </row>
    <row r="93" spans="3:24" x14ac:dyDescent="0.35">
      <c r="C93" s="36">
        <v>45192</v>
      </c>
      <c r="D93" t="str">
        <v>AM</v>
      </c>
      <c r="E93" t="str">
        <v>September</v>
      </c>
      <c r="F93" t="str">
        <v>SAT</v>
      </c>
      <c r="G93" s="31">
        <v>933</v>
      </c>
      <c r="H93" t="str">
        <v>SINGLE</v>
      </c>
      <c r="I93">
        <v>933</v>
      </c>
      <c r="L93">
        <v>131</v>
      </c>
      <c r="M93" s="31">
        <f t="shared" si="3"/>
        <v>4</v>
      </c>
      <c r="N93">
        <f t="shared" si="4"/>
        <v>1.3745704467353952E-2</v>
      </c>
      <c r="O93">
        <f t="shared" si="5"/>
        <v>-2.2044685562864679</v>
      </c>
      <c r="P93" s="281">
        <f t="shared" si="6"/>
        <v>28.108157830960522</v>
      </c>
      <c r="W93" s="69" t="str" cm="1">
        <f t="array" ref="W93">_xlfn.TEXTJOIN(", ",TRUE,IFERROR(_xlfn._xlws.FILTER(Table3[Holiday Name],('SELECTED DATA'!Q93&gt;=Table3[start])*('SELECTED DATA'!Q93&lt;=Table3[end])),""))</f>
        <v/>
      </c>
      <c r="X93">
        <v>819.25</v>
      </c>
    </row>
    <row r="94" spans="3:24" x14ac:dyDescent="0.35">
      <c r="C94" s="36">
        <v>45193</v>
      </c>
      <c r="D94" t="str">
        <v>AM</v>
      </c>
      <c r="E94" t="str">
        <v>September</v>
      </c>
      <c r="F94" t="str">
        <v>SUN</v>
      </c>
      <c r="G94" s="31">
        <v>931</v>
      </c>
      <c r="H94" t="str">
        <v>DOUBLE</v>
      </c>
      <c r="I94">
        <v>931</v>
      </c>
      <c r="L94">
        <v>787</v>
      </c>
      <c r="M94" s="31">
        <f t="shared" ref="M94:M157" si="7">_xlfn.RANK.AVG(L94,_xlfn.ANCHORARRAY($L$29),1)</f>
        <v>98</v>
      </c>
      <c r="N94">
        <f t="shared" ref="N94:N157" si="8">IF(M94="","X",MIN(MAX(M94 / COUNT($M$29:$M$319), 1/(2*COUNT($M$29:$M$319))), 1-1/(2*COUNT($M$29:$M$319))))</f>
        <v>0.33676975945017185</v>
      </c>
      <c r="O94">
        <f t="shared" ref="O94:O157" si="9">IFERROR(_xlfn.NORM.S.INV(N94),"X")</f>
        <v>-0.42129522183069401</v>
      </c>
      <c r="P94" s="281">
        <f t="shared" ref="P94:P157" si="10">IFERROR(O94*$B$27+$B$8,"X")</f>
        <v>818.35736031512067</v>
      </c>
      <c r="W94" s="69" t="str" cm="1">
        <f t="array" ref="W94">_xlfn.TEXTJOIN(", ",TRUE,IFERROR(_xlfn._xlws.FILTER(Table3[Holiday Name],('SELECTED DATA'!Q94&gt;=Table3[start])*('SELECTED DATA'!Q94&lt;=Table3[end])),""))</f>
        <v/>
      </c>
      <c r="X94">
        <v>349</v>
      </c>
    </row>
    <row r="95" spans="3:24" x14ac:dyDescent="0.35">
      <c r="C95" s="36">
        <v>45193</v>
      </c>
      <c r="D95" t="str">
        <v>PM</v>
      </c>
      <c r="E95" t="str">
        <v>September</v>
      </c>
      <c r="F95" t="str">
        <v>SUN</v>
      </c>
      <c r="G95" s="31">
        <v>931</v>
      </c>
      <c r="H95" t="str">
        <v>DOUBLE</v>
      </c>
      <c r="I95">
        <v>931</v>
      </c>
      <c r="L95">
        <v>954.5</v>
      </c>
      <c r="M95" s="31">
        <f t="shared" si="7"/>
        <v>133</v>
      </c>
      <c r="N95">
        <f t="shared" si="8"/>
        <v>0.45704467353951889</v>
      </c>
      <c r="O95">
        <f t="shared" si="9"/>
        <v>-0.1078819352275643</v>
      </c>
      <c r="P95" s="281">
        <f t="shared" si="10"/>
        <v>957.25277502344647</v>
      </c>
      <c r="W95" s="69" t="str" cm="1">
        <f t="array" ref="W95">_xlfn.TEXTJOIN(", ",TRUE,IFERROR(_xlfn._xlws.FILTER(Table3[Holiday Name],('SELECTED DATA'!Q95&gt;=Table3[start])*('SELECTED DATA'!Q95&lt;=Table3[end])),""))</f>
        <v/>
      </c>
      <c r="X95">
        <v>430</v>
      </c>
    </row>
    <row r="96" spans="3:24" x14ac:dyDescent="0.35">
      <c r="C96" s="36">
        <v>45194</v>
      </c>
      <c r="D96" t="str">
        <v>PM</v>
      </c>
      <c r="E96" t="str">
        <v>September</v>
      </c>
      <c r="F96" t="str">
        <v>MON</v>
      </c>
      <c r="G96" s="31">
        <v>1011.5</v>
      </c>
      <c r="H96" t="str">
        <v>SINGLE</v>
      </c>
      <c r="I96">
        <v>1011.5</v>
      </c>
      <c r="L96">
        <v>1714</v>
      </c>
      <c r="M96" s="31">
        <f t="shared" si="7"/>
        <v>287</v>
      </c>
      <c r="N96">
        <f t="shared" si="8"/>
        <v>0.9862542955326461</v>
      </c>
      <c r="O96">
        <f t="shared" si="9"/>
        <v>2.2044685562864692</v>
      </c>
      <c r="P96" s="281">
        <f t="shared" si="10"/>
        <v>1982.0175000637771</v>
      </c>
      <c r="W96" s="69" t="str" cm="1">
        <f t="array" ref="W96">_xlfn.TEXTJOIN(", ",TRUE,IFERROR(_xlfn._xlws.FILTER(Table3[Holiday Name],('SELECTED DATA'!Q96&gt;=Table3[start])*('SELECTED DATA'!Q96&lt;=Table3[end])),""))</f>
        <v/>
      </c>
      <c r="X96">
        <v>731</v>
      </c>
    </row>
    <row r="97" spans="3:24" x14ac:dyDescent="0.35">
      <c r="C97" s="36">
        <v>45196</v>
      </c>
      <c r="D97" t="str">
        <v>PM</v>
      </c>
      <c r="E97" t="str">
        <v>September</v>
      </c>
      <c r="F97" t="str">
        <v>WED</v>
      </c>
      <c r="G97" s="31">
        <v>648</v>
      </c>
      <c r="H97" t="str">
        <v>SINGLE</v>
      </c>
      <c r="I97">
        <v>648</v>
      </c>
      <c r="L97">
        <v>1227.5</v>
      </c>
      <c r="M97" s="31">
        <f t="shared" si="7"/>
        <v>213.5</v>
      </c>
      <c r="N97">
        <f t="shared" si="8"/>
        <v>0.73367697594501713</v>
      </c>
      <c r="O97">
        <f t="shared" si="9"/>
        <v>0.62397188673407622</v>
      </c>
      <c r="P97" s="281">
        <f t="shared" si="10"/>
        <v>1281.5885465185283</v>
      </c>
      <c r="W97" s="69" t="str" cm="1">
        <f t="array" ref="W97">_xlfn.TEXTJOIN(", ",TRUE,IFERROR(_xlfn._xlws.FILTER(Table3[Holiday Name],('SELECTED DATA'!Q97&gt;=Table3[start])*('SELECTED DATA'!Q97&lt;=Table3[end])),""))</f>
        <v/>
      </c>
      <c r="X97">
        <v>649.5</v>
      </c>
    </row>
    <row r="98" spans="3:24" x14ac:dyDescent="0.35">
      <c r="C98" s="36">
        <v>45198</v>
      </c>
      <c r="D98" t="str">
        <v>PM</v>
      </c>
      <c r="E98" t="str">
        <v>September</v>
      </c>
      <c r="F98" t="str">
        <v>FRI</v>
      </c>
      <c r="G98" s="31">
        <v>848</v>
      </c>
      <c r="H98" t="str">
        <v>SINGLE</v>
      </c>
      <c r="I98">
        <v>848</v>
      </c>
      <c r="L98">
        <v>1301.5</v>
      </c>
      <c r="M98" s="31">
        <f t="shared" si="7"/>
        <v>231</v>
      </c>
      <c r="N98">
        <f t="shared" si="8"/>
        <v>0.79381443298969068</v>
      </c>
      <c r="O98">
        <f t="shared" si="9"/>
        <v>0.81972808807730491</v>
      </c>
      <c r="P98" s="281">
        <f t="shared" si="10"/>
        <v>1368.3418525509048</v>
      </c>
      <c r="W98" s="69" t="str" cm="1">
        <f t="array" ref="W98">_xlfn.TEXTJOIN(", ",TRUE,IFERROR(_xlfn._xlws.FILTER(Table3[Holiday Name],('SELECTED DATA'!Q98&gt;=Table3[start])*('SELECTED DATA'!Q98&lt;=Table3[end])),""))</f>
        <v/>
      </c>
      <c r="X98">
        <v>862.5</v>
      </c>
    </row>
    <row r="99" spans="3:24" x14ac:dyDescent="0.35">
      <c r="C99" s="36">
        <v>45199</v>
      </c>
      <c r="D99" t="str">
        <v>PM</v>
      </c>
      <c r="E99" t="str">
        <v>September</v>
      </c>
      <c r="F99" t="str">
        <v>SAT</v>
      </c>
      <c r="G99" s="31">
        <v>1323</v>
      </c>
      <c r="H99" t="str">
        <v>SINGLE</v>
      </c>
      <c r="I99">
        <v>1323</v>
      </c>
      <c r="L99">
        <v>950</v>
      </c>
      <c r="M99" s="31">
        <f t="shared" si="7"/>
        <v>131</v>
      </c>
      <c r="N99">
        <f t="shared" si="8"/>
        <v>0.45017182130584193</v>
      </c>
      <c r="O99">
        <f t="shared" si="9"/>
        <v>-0.12522725259729658</v>
      </c>
      <c r="P99" s="281">
        <f t="shared" si="10"/>
        <v>949.56584804141585</v>
      </c>
      <c r="W99" s="69" t="str" cm="1">
        <f t="array" ref="W99">_xlfn.TEXTJOIN(", ",TRUE,IFERROR(_xlfn._xlws.FILTER(Table3[Holiday Name],('SELECTED DATA'!Q99&gt;=Table3[start])*('SELECTED DATA'!Q99&lt;=Table3[end])),""))</f>
        <v/>
      </c>
      <c r="X99">
        <v>1203</v>
      </c>
    </row>
    <row r="100" spans="3:24" x14ac:dyDescent="0.35">
      <c r="C100" s="36">
        <v>45200</v>
      </c>
      <c r="D100" t="str">
        <v>AM</v>
      </c>
      <c r="E100" t="str">
        <v>October</v>
      </c>
      <c r="F100" t="str">
        <v>SUN</v>
      </c>
      <c r="G100" s="31">
        <v>978.25</v>
      </c>
      <c r="H100" t="str">
        <v>DOUBLE</v>
      </c>
      <c r="I100">
        <v>978.25</v>
      </c>
      <c r="L100">
        <v>223</v>
      </c>
      <c r="M100" s="31">
        <f t="shared" si="7"/>
        <v>7</v>
      </c>
      <c r="N100">
        <f t="shared" si="8"/>
        <v>2.4054982817869417E-2</v>
      </c>
      <c r="O100">
        <f t="shared" si="9"/>
        <v>-1.9763958109551065</v>
      </c>
      <c r="P100" s="281">
        <f t="shared" si="10"/>
        <v>129.18319166186336</v>
      </c>
      <c r="W100" s="69" t="str" cm="1">
        <f t="array" ref="W100">_xlfn.TEXTJOIN(", ",TRUE,IFERROR(_xlfn._xlws.FILTER(Table3[Holiday Name],('SELECTED DATA'!Q100&gt;=Table3[start])*('SELECTED DATA'!Q100&lt;=Table3[end])),""))</f>
        <v/>
      </c>
      <c r="X100">
        <v>1018</v>
      </c>
    </row>
    <row r="101" spans="3:24" x14ac:dyDescent="0.35">
      <c r="C101" s="36">
        <v>45200</v>
      </c>
      <c r="D101" t="str">
        <v>PM</v>
      </c>
      <c r="E101" t="str">
        <v>October</v>
      </c>
      <c r="F101" t="str">
        <v>SUN</v>
      </c>
      <c r="G101" s="31">
        <v>978.25</v>
      </c>
      <c r="H101" t="str">
        <v>DOUBLE</v>
      </c>
      <c r="I101">
        <v>978.25</v>
      </c>
      <c r="L101">
        <v>1417</v>
      </c>
      <c r="M101" s="31">
        <f t="shared" si="7"/>
        <v>252.5</v>
      </c>
      <c r="N101">
        <f t="shared" si="8"/>
        <v>0.86769759450171824</v>
      </c>
      <c r="O101">
        <f t="shared" si="9"/>
        <v>1.1155733356991384</v>
      </c>
      <c r="P101" s="281">
        <f t="shared" si="10"/>
        <v>1499.4516367061485</v>
      </c>
      <c r="W101" s="69" t="str" cm="1">
        <f t="array" ref="W101">_xlfn.TEXTJOIN(", ",TRUE,IFERROR(_xlfn._xlws.FILTER(Table3[Holiday Name],('SELECTED DATA'!Q101&gt;=Table3[start])*('SELECTED DATA'!Q101&lt;=Table3[end])),""))</f>
        <v/>
      </c>
      <c r="X101">
        <v>1018</v>
      </c>
    </row>
    <row r="102" spans="3:24" x14ac:dyDescent="0.35">
      <c r="C102" s="36">
        <v>45201</v>
      </c>
      <c r="D102" t="str">
        <v>PM</v>
      </c>
      <c r="E102" t="str">
        <v>October</v>
      </c>
      <c r="F102" t="str">
        <v>MON</v>
      </c>
      <c r="G102" s="31">
        <v>838.5</v>
      </c>
      <c r="H102" t="str">
        <v>SINGLE</v>
      </c>
      <c r="I102">
        <v>838.5</v>
      </c>
      <c r="L102">
        <v>589</v>
      </c>
      <c r="M102" s="31">
        <f t="shared" si="7"/>
        <v>62</v>
      </c>
      <c r="N102">
        <f t="shared" si="8"/>
        <v>0.21305841924398625</v>
      </c>
      <c r="O102">
        <f t="shared" si="9"/>
        <v>-0.79585410704076232</v>
      </c>
      <c r="P102" s="281">
        <f t="shared" si="10"/>
        <v>652.36404121305452</v>
      </c>
      <c r="W102" s="69" t="str" cm="1">
        <f t="array" ref="W102">_xlfn.TEXTJOIN(", ",TRUE,IFERROR(_xlfn._xlws.FILTER(Table3[Holiday Name],('SELECTED DATA'!Q102&gt;=Table3[start])*('SELECTED DATA'!Q102&lt;=Table3[end])),""))</f>
        <v/>
      </c>
      <c r="X102">
        <v>309</v>
      </c>
    </row>
    <row r="103" spans="3:24" x14ac:dyDescent="0.35">
      <c r="C103" s="36">
        <v>45203</v>
      </c>
      <c r="D103" t="str">
        <v>AM</v>
      </c>
      <c r="E103" t="str">
        <v>October</v>
      </c>
      <c r="F103" t="str">
        <v>WED</v>
      </c>
      <c r="G103" s="31">
        <v>350</v>
      </c>
      <c r="H103" t="str">
        <v>SINGLE</v>
      </c>
      <c r="I103">
        <v>350</v>
      </c>
      <c r="L103">
        <v>819.25</v>
      </c>
      <c r="M103" s="31">
        <f t="shared" si="7"/>
        <v>103.5</v>
      </c>
      <c r="N103">
        <f t="shared" si="8"/>
        <v>0.35567010309278352</v>
      </c>
      <c r="O103">
        <f t="shared" si="9"/>
        <v>-0.37005675056778359</v>
      </c>
      <c r="P103" s="281">
        <f t="shared" si="10"/>
        <v>841.06472155119502</v>
      </c>
      <c r="W103" s="69" t="str" cm="1">
        <f t="array" ref="W103">_xlfn.TEXTJOIN(", ",TRUE,IFERROR(_xlfn._xlws.FILTER(Table3[Holiday Name],('SELECTED DATA'!Q103&gt;=Table3[start])*('SELECTED DATA'!Q103&lt;=Table3[end])),""))</f>
        <v/>
      </c>
      <c r="X103">
        <v>498</v>
      </c>
    </row>
    <row r="104" spans="3:24" x14ac:dyDescent="0.35">
      <c r="C104" s="36">
        <v>45206</v>
      </c>
      <c r="D104" t="str">
        <v>PM</v>
      </c>
      <c r="E104" t="str">
        <v>October</v>
      </c>
      <c r="F104" t="str">
        <v>SAT</v>
      </c>
      <c r="G104" s="31">
        <v>892</v>
      </c>
      <c r="H104" t="str">
        <v>SINGLE</v>
      </c>
      <c r="I104">
        <v>892</v>
      </c>
      <c r="L104">
        <v>819.25</v>
      </c>
      <c r="M104" s="31">
        <f t="shared" si="7"/>
        <v>103.5</v>
      </c>
      <c r="N104">
        <f t="shared" si="8"/>
        <v>0.35567010309278352</v>
      </c>
      <c r="O104">
        <f t="shared" si="9"/>
        <v>-0.37005675056778359</v>
      </c>
      <c r="P104" s="281">
        <f t="shared" si="10"/>
        <v>841.06472155119502</v>
      </c>
      <c r="W104" s="69" t="str" cm="1">
        <f t="array" ref="W104">_xlfn.TEXTJOIN(", ",TRUE,IFERROR(_xlfn._xlws.FILTER(Table3[Holiday Name],('SELECTED DATA'!Q104&gt;=Table3[start])*('SELECTED DATA'!Q104&lt;=Table3[end])),""))</f>
        <v/>
      </c>
      <c r="X104">
        <v>933</v>
      </c>
    </row>
    <row r="105" spans="3:24" x14ac:dyDescent="0.35">
      <c r="C105" s="36">
        <v>45207</v>
      </c>
      <c r="D105" t="str">
        <v>PM</v>
      </c>
      <c r="E105" t="str">
        <v>October</v>
      </c>
      <c r="F105" t="str">
        <v>SUN</v>
      </c>
      <c r="G105" s="31">
        <v>1409</v>
      </c>
      <c r="H105" t="str">
        <v>SINGLE</v>
      </c>
      <c r="I105">
        <v>1409</v>
      </c>
      <c r="L105">
        <v>349</v>
      </c>
      <c r="M105" s="31">
        <f t="shared" si="7"/>
        <v>20</v>
      </c>
      <c r="N105">
        <f t="shared" si="8"/>
        <v>6.8728522336769765E-2</v>
      </c>
      <c r="O105">
        <f t="shared" si="9"/>
        <v>-1.4853276732119385</v>
      </c>
      <c r="P105" s="281">
        <f t="shared" si="10"/>
        <v>346.80993423277471</v>
      </c>
      <c r="W105" s="69" t="str" cm="1">
        <f t="array" ref="W105">_xlfn.TEXTJOIN(", ",TRUE,IFERROR(_xlfn._xlws.FILTER(Table3[Holiday Name],('SELECTED DATA'!Q105&gt;=Table3[start])*('SELECTED DATA'!Q105&lt;=Table3[end])),""))</f>
        <v/>
      </c>
      <c r="X105">
        <v>931</v>
      </c>
    </row>
    <row r="106" spans="3:24" x14ac:dyDescent="0.35">
      <c r="C106" s="36">
        <v>45208</v>
      </c>
      <c r="D106" t="str">
        <v>PM</v>
      </c>
      <c r="E106" t="str">
        <v>October</v>
      </c>
      <c r="F106" t="str">
        <v>MON</v>
      </c>
      <c r="G106" s="31">
        <v>1222.5</v>
      </c>
      <c r="H106" t="str">
        <v>SINGLE</v>
      </c>
      <c r="I106">
        <v>1222.5</v>
      </c>
      <c r="L106">
        <v>430</v>
      </c>
      <c r="M106" s="31">
        <f t="shared" si="7"/>
        <v>34</v>
      </c>
      <c r="N106">
        <f t="shared" si="8"/>
        <v>0.11683848797250859</v>
      </c>
      <c r="O106">
        <f t="shared" si="9"/>
        <v>-1.1909404181820826</v>
      </c>
      <c r="P106" s="281">
        <f t="shared" si="10"/>
        <v>477.27357958548316</v>
      </c>
      <c r="W106" s="69" t="str" cm="1">
        <f t="array" ref="W106">_xlfn.TEXTJOIN(", ",TRUE,IFERROR(_xlfn._xlws.FILTER(Table3[Holiday Name],('SELECTED DATA'!Q106&gt;=Table3[start])*('SELECTED DATA'!Q106&lt;=Table3[end])),""))</f>
        <v/>
      </c>
      <c r="X106">
        <v>931</v>
      </c>
    </row>
    <row r="107" spans="3:24" x14ac:dyDescent="0.35">
      <c r="C107" s="36">
        <v>45209</v>
      </c>
      <c r="D107" t="str">
        <v>PM</v>
      </c>
      <c r="E107" t="str">
        <v>October</v>
      </c>
      <c r="F107" t="str">
        <v>TUE</v>
      </c>
      <c r="G107" s="31">
        <v>1012</v>
      </c>
      <c r="H107" t="str">
        <v>SINGLE</v>
      </c>
      <c r="I107">
        <v>1012</v>
      </c>
      <c r="L107">
        <v>731</v>
      </c>
      <c r="M107" s="31">
        <f t="shared" si="7"/>
        <v>90.5</v>
      </c>
      <c r="N107">
        <f t="shared" si="8"/>
        <v>0.31099656357388317</v>
      </c>
      <c r="O107">
        <f t="shared" si="9"/>
        <v>-0.49302754149128974</v>
      </c>
      <c r="P107" s="281">
        <f t="shared" si="10"/>
        <v>786.56773711428627</v>
      </c>
      <c r="W107" s="69" t="str" cm="1">
        <f t="array" ref="W107">_xlfn.TEXTJOIN(", ",TRUE,IFERROR(_xlfn._xlws.FILTER(Table3[Holiday Name],('SELECTED DATA'!Q107&gt;=Table3[start])*('SELECTED DATA'!Q107&lt;=Table3[end])),""))</f>
        <v/>
      </c>
      <c r="X107">
        <v>1011.5</v>
      </c>
    </row>
    <row r="108" spans="3:24" x14ac:dyDescent="0.35">
      <c r="C108" s="36">
        <v>45210</v>
      </c>
      <c r="D108" t="str">
        <v>PM</v>
      </c>
      <c r="E108" t="str">
        <v>October</v>
      </c>
      <c r="F108" t="str">
        <v>WED</v>
      </c>
      <c r="G108" s="31">
        <v>212.5</v>
      </c>
      <c r="H108" t="str">
        <v>SINGLE</v>
      </c>
      <c r="I108">
        <v>212.5</v>
      </c>
      <c r="L108">
        <v>649.5</v>
      </c>
      <c r="M108" s="31">
        <f t="shared" si="7"/>
        <v>77</v>
      </c>
      <c r="N108">
        <f t="shared" si="8"/>
        <v>0.26460481099656358</v>
      </c>
      <c r="O108">
        <f t="shared" si="9"/>
        <v>-0.62921299566152078</v>
      </c>
      <c r="P108" s="281">
        <f t="shared" si="10"/>
        <v>726.21440832204394</v>
      </c>
      <c r="W108" s="69" t="str" cm="1">
        <f t="array" ref="W108">_xlfn.TEXTJOIN(", ",TRUE,IFERROR(_xlfn._xlws.FILTER(Table3[Holiday Name],('SELECTED DATA'!Q108&gt;=Table3[start])*('SELECTED DATA'!Q108&lt;=Table3[end])),""))</f>
        <v/>
      </c>
      <c r="X108">
        <v>648</v>
      </c>
    </row>
    <row r="109" spans="3:24" x14ac:dyDescent="0.35">
      <c r="C109" s="36">
        <v>45211</v>
      </c>
      <c r="D109" t="str">
        <v>PM</v>
      </c>
      <c r="E109" t="str">
        <v>October</v>
      </c>
      <c r="F109" t="str">
        <v>THU</v>
      </c>
      <c r="G109" s="31">
        <v>306.5</v>
      </c>
      <c r="H109" t="str">
        <v>SINGLE</v>
      </c>
      <c r="I109">
        <v>306.5</v>
      </c>
      <c r="L109">
        <v>862.5</v>
      </c>
      <c r="M109" s="31">
        <f t="shared" si="7"/>
        <v>113</v>
      </c>
      <c r="N109">
        <f t="shared" si="8"/>
        <v>0.38831615120274915</v>
      </c>
      <c r="O109">
        <f t="shared" si="9"/>
        <v>-0.28371042823846382</v>
      </c>
      <c r="P109" s="281">
        <f t="shared" si="10"/>
        <v>879.33083457548537</v>
      </c>
      <c r="W109" s="69" t="str" cm="1">
        <f t="array" ref="W109">_xlfn.TEXTJOIN(", ",TRUE,IFERROR(_xlfn._xlws.FILTER(Table3[Holiday Name],('SELECTED DATA'!Q109&gt;=Table3[start])*('SELECTED DATA'!Q109&lt;=Table3[end])),""))</f>
        <v/>
      </c>
      <c r="X109">
        <v>848</v>
      </c>
    </row>
    <row r="110" spans="3:24" x14ac:dyDescent="0.35">
      <c r="C110" s="36">
        <v>45214</v>
      </c>
      <c r="D110" t="str">
        <v>PM</v>
      </c>
      <c r="E110" t="str">
        <v>October</v>
      </c>
      <c r="F110" t="str">
        <v>SUN</v>
      </c>
      <c r="G110" s="31">
        <v>1403.5</v>
      </c>
      <c r="H110" t="str">
        <v>SINGLE</v>
      </c>
      <c r="I110">
        <v>1403.5</v>
      </c>
      <c r="L110">
        <v>1203</v>
      </c>
      <c r="M110" s="31">
        <f t="shared" si="7"/>
        <v>208</v>
      </c>
      <c r="N110">
        <f t="shared" si="8"/>
        <v>0.71477663230240551</v>
      </c>
      <c r="O110">
        <f t="shared" si="9"/>
        <v>0.56739369086265878</v>
      </c>
      <c r="P110" s="281">
        <f t="shared" si="10"/>
        <v>1256.514778701657</v>
      </c>
      <c r="W110" s="69" t="str" cm="1">
        <f t="array" ref="W110">_xlfn.TEXTJOIN(", ",TRUE,IFERROR(_xlfn._xlws.FILTER(Table3[Holiday Name],('SELECTED DATA'!Q110&gt;=Table3[start])*('SELECTED DATA'!Q110&lt;=Table3[end])),""))</f>
        <v/>
      </c>
      <c r="X110">
        <v>1323</v>
      </c>
    </row>
    <row r="111" spans="3:24" x14ac:dyDescent="0.35">
      <c r="C111" s="36">
        <v>45215</v>
      </c>
      <c r="D111" t="str">
        <v>PM</v>
      </c>
      <c r="E111" t="str">
        <v>October</v>
      </c>
      <c r="F111" t="str">
        <v>MON</v>
      </c>
      <c r="G111" s="31">
        <v>1422.48</v>
      </c>
      <c r="H111" t="str">
        <v>SINGLE</v>
      </c>
      <c r="I111">
        <v>1422.48</v>
      </c>
      <c r="L111">
        <v>1018</v>
      </c>
      <c r="M111" s="31">
        <f t="shared" si="7"/>
        <v>153</v>
      </c>
      <c r="N111">
        <f t="shared" si="8"/>
        <v>0.52577319587628868</v>
      </c>
      <c r="O111">
        <f t="shared" si="9"/>
        <v>6.4648826272660012E-2</v>
      </c>
      <c r="P111" s="281">
        <f t="shared" si="10"/>
        <v>1033.7132592876692</v>
      </c>
      <c r="W111" s="69" t="str" cm="1">
        <f t="array" ref="W111">_xlfn.TEXTJOIN(", ",TRUE,IFERROR(_xlfn._xlws.FILTER(Table3[Holiday Name],('SELECTED DATA'!Q111&gt;=Table3[start])*('SELECTED DATA'!Q111&lt;=Table3[end])),""))</f>
        <v/>
      </c>
      <c r="X111">
        <v>978.25</v>
      </c>
    </row>
    <row r="112" spans="3:24" x14ac:dyDescent="0.35">
      <c r="C112" s="36">
        <v>45216</v>
      </c>
      <c r="D112" t="str">
        <v>AM</v>
      </c>
      <c r="E112" t="str">
        <v>October</v>
      </c>
      <c r="F112" t="str">
        <v>TUE</v>
      </c>
      <c r="G112" s="31">
        <v>836</v>
      </c>
      <c r="H112" t="str">
        <v>DOUBLE</v>
      </c>
      <c r="I112">
        <v>836</v>
      </c>
      <c r="L112">
        <v>1018</v>
      </c>
      <c r="M112" s="31">
        <f t="shared" si="7"/>
        <v>153</v>
      </c>
      <c r="N112">
        <f t="shared" si="8"/>
        <v>0.52577319587628868</v>
      </c>
      <c r="O112">
        <f t="shared" si="9"/>
        <v>6.4648826272660012E-2</v>
      </c>
      <c r="P112" s="281">
        <f t="shared" si="10"/>
        <v>1033.7132592876692</v>
      </c>
      <c r="W112" s="69" t="str" cm="1">
        <f t="array" ref="W112">_xlfn.TEXTJOIN(", ",TRUE,IFERROR(_xlfn._xlws.FILTER(Table3[Holiday Name],('SELECTED DATA'!Q112&gt;=Table3[start])*('SELECTED DATA'!Q112&lt;=Table3[end])),""))</f>
        <v/>
      </c>
      <c r="X112">
        <v>978.25</v>
      </c>
    </row>
    <row r="113" spans="3:24" x14ac:dyDescent="0.35">
      <c r="C113" s="36">
        <v>45216</v>
      </c>
      <c r="D113" t="str">
        <v>PM</v>
      </c>
      <c r="E113" t="str">
        <v>October</v>
      </c>
      <c r="F113" t="str">
        <v>TUE</v>
      </c>
      <c r="G113" s="31">
        <v>245</v>
      </c>
      <c r="H113" t="str">
        <v>DOUBLE</v>
      </c>
      <c r="I113">
        <v>245</v>
      </c>
      <c r="L113">
        <v>309</v>
      </c>
      <c r="M113" s="31">
        <f t="shared" si="7"/>
        <v>15</v>
      </c>
      <c r="N113">
        <f t="shared" si="8"/>
        <v>5.1546391752577317E-2</v>
      </c>
      <c r="O113">
        <f t="shared" si="9"/>
        <v>-1.6300412291543214</v>
      </c>
      <c r="P113" s="281">
        <f t="shared" si="10"/>
        <v>282.67720525888751</v>
      </c>
      <c r="W113" s="69" t="str" cm="1">
        <f t="array" ref="W113">_xlfn.TEXTJOIN(", ",TRUE,IFERROR(_xlfn._xlws.FILTER(Table3[Holiday Name],('SELECTED DATA'!Q113&gt;=Table3[start])*('SELECTED DATA'!Q113&lt;=Table3[end])),""))</f>
        <v/>
      </c>
      <c r="X113">
        <v>838.5</v>
      </c>
    </row>
    <row r="114" spans="3:24" x14ac:dyDescent="0.35">
      <c r="C114" s="36">
        <v>45217</v>
      </c>
      <c r="D114" t="str">
        <v>PM</v>
      </c>
      <c r="E114" t="str">
        <v>October</v>
      </c>
      <c r="F114" t="str">
        <v>WED</v>
      </c>
      <c r="G114" s="31">
        <v>1018</v>
      </c>
      <c r="H114" t="str">
        <v>SINGLE</v>
      </c>
      <c r="I114">
        <v>1018</v>
      </c>
      <c r="L114">
        <v>498</v>
      </c>
      <c r="M114" s="31">
        <f t="shared" si="7"/>
        <v>43</v>
      </c>
      <c r="N114">
        <f t="shared" si="8"/>
        <v>0.14776632302405499</v>
      </c>
      <c r="O114">
        <f t="shared" si="9"/>
        <v>-1.0460614847775178</v>
      </c>
      <c r="P114" s="281">
        <f t="shared" si="10"/>
        <v>541.47959891486926</v>
      </c>
      <c r="W114" s="69" t="str" cm="1">
        <f t="array" ref="W114">_xlfn.TEXTJOIN(", ",TRUE,IFERROR(_xlfn._xlws.FILTER(Table3[Holiday Name],('SELECTED DATA'!Q114&gt;=Table3[start])*('SELECTED DATA'!Q114&lt;=Table3[end])),""))</f>
        <v/>
      </c>
      <c r="X114">
        <v>350</v>
      </c>
    </row>
    <row r="115" spans="3:24" x14ac:dyDescent="0.35">
      <c r="C115" s="36">
        <v>45218</v>
      </c>
      <c r="D115" t="str">
        <v>PM</v>
      </c>
      <c r="E115" t="str">
        <v>October</v>
      </c>
      <c r="F115" t="str">
        <v>THU</v>
      </c>
      <c r="G115" s="31">
        <v>955</v>
      </c>
      <c r="H115" t="str">
        <v>SINGLE</v>
      </c>
      <c r="I115">
        <v>955</v>
      </c>
      <c r="L115">
        <v>933</v>
      </c>
      <c r="M115" s="31">
        <f t="shared" si="7"/>
        <v>125</v>
      </c>
      <c r="N115">
        <f t="shared" si="8"/>
        <v>0.42955326460481097</v>
      </c>
      <c r="O115">
        <f t="shared" si="9"/>
        <v>-0.17751163212543883</v>
      </c>
      <c r="P115" s="281">
        <f t="shared" si="10"/>
        <v>926.39497147763871</v>
      </c>
      <c r="W115" s="69" t="str" cm="1">
        <f t="array" ref="W115">_xlfn.TEXTJOIN(", ",TRUE,IFERROR(_xlfn._xlws.FILTER(Table3[Holiday Name],('SELECTED DATA'!Q115&gt;=Table3[start])*('SELECTED DATA'!Q115&lt;=Table3[end])),""))</f>
        <v/>
      </c>
      <c r="X115">
        <v>892</v>
      </c>
    </row>
    <row r="116" spans="3:24" x14ac:dyDescent="0.35">
      <c r="C116" s="36">
        <v>45221</v>
      </c>
      <c r="D116" t="str">
        <v>PM</v>
      </c>
      <c r="E116" t="str">
        <v>October</v>
      </c>
      <c r="F116" t="str">
        <v>SUN</v>
      </c>
      <c r="G116" s="31">
        <v>1040.5</v>
      </c>
      <c r="H116" t="str">
        <v>SINGLE</v>
      </c>
      <c r="I116">
        <v>1040.5</v>
      </c>
      <c r="L116">
        <v>931</v>
      </c>
      <c r="M116" s="31">
        <f t="shared" si="7"/>
        <v>123.5</v>
      </c>
      <c r="N116">
        <f t="shared" si="8"/>
        <v>0.42439862542955326</v>
      </c>
      <c r="O116">
        <f t="shared" si="9"/>
        <v>-0.19065327166210738</v>
      </c>
      <c r="P116" s="281">
        <f t="shared" si="10"/>
        <v>920.57098905118767</v>
      </c>
      <c r="W116" s="69" t="str" cm="1">
        <f t="array" ref="W116">_xlfn.TEXTJOIN(", ",TRUE,IFERROR(_xlfn._xlws.FILTER(Table3[Holiday Name],('SELECTED DATA'!Q116&gt;=Table3[start])*('SELECTED DATA'!Q116&lt;=Table3[end])),""))</f>
        <v/>
      </c>
      <c r="X116">
        <v>1409</v>
      </c>
    </row>
    <row r="117" spans="3:24" x14ac:dyDescent="0.35">
      <c r="C117" s="36">
        <v>45222</v>
      </c>
      <c r="D117" t="str">
        <v>PM</v>
      </c>
      <c r="E117" t="str">
        <v>October</v>
      </c>
      <c r="F117" t="str">
        <v>MON</v>
      </c>
      <c r="G117" s="31">
        <v>1279</v>
      </c>
      <c r="H117" t="str">
        <v>SINGLE</v>
      </c>
      <c r="I117">
        <v>1279</v>
      </c>
      <c r="L117">
        <v>931</v>
      </c>
      <c r="M117" s="31">
        <f t="shared" si="7"/>
        <v>123.5</v>
      </c>
      <c r="N117">
        <f t="shared" si="8"/>
        <v>0.42439862542955326</v>
      </c>
      <c r="O117">
        <f t="shared" si="9"/>
        <v>-0.19065327166210738</v>
      </c>
      <c r="P117" s="281">
        <f t="shared" si="10"/>
        <v>920.57098905118767</v>
      </c>
      <c r="W117" s="69" t="str" cm="1">
        <f t="array" ref="W117">_xlfn.TEXTJOIN(", ",TRUE,IFERROR(_xlfn._xlws.FILTER(Table3[Holiday Name],('SELECTED DATA'!Q117&gt;=Table3[start])*('SELECTED DATA'!Q117&lt;=Table3[end])),""))</f>
        <v/>
      </c>
      <c r="X117">
        <v>1222.5</v>
      </c>
    </row>
    <row r="118" spans="3:24" x14ac:dyDescent="0.35">
      <c r="C118" s="36">
        <v>45223</v>
      </c>
      <c r="D118" t="str">
        <v>AM</v>
      </c>
      <c r="E118" t="str">
        <v>October</v>
      </c>
      <c r="F118" t="str">
        <v>TUE</v>
      </c>
      <c r="G118" s="31">
        <v>640</v>
      </c>
      <c r="H118" t="str">
        <v>DOUBLE</v>
      </c>
      <c r="I118">
        <v>640</v>
      </c>
      <c r="L118">
        <v>1011.5</v>
      </c>
      <c r="M118" s="31">
        <f t="shared" si="7"/>
        <v>148</v>
      </c>
      <c r="N118">
        <f t="shared" si="8"/>
        <v>0.50859106529209619</v>
      </c>
      <c r="O118">
        <f t="shared" si="9"/>
        <v>2.1536271847868649E-2</v>
      </c>
      <c r="P118" s="281">
        <f t="shared" si="10"/>
        <v>1014.6070618738072</v>
      </c>
      <c r="W118" s="69" t="str" cm="1">
        <f t="array" ref="W118">_xlfn.TEXTJOIN(", ",TRUE,IFERROR(_xlfn._xlws.FILTER(Table3[Holiday Name],('SELECTED DATA'!Q118&gt;=Table3[start])*('SELECTED DATA'!Q118&lt;=Table3[end])),""))</f>
        <v/>
      </c>
      <c r="X118">
        <v>1012</v>
      </c>
    </row>
    <row r="119" spans="3:24" x14ac:dyDescent="0.35">
      <c r="C119" s="36">
        <v>45223</v>
      </c>
      <c r="D119" t="str">
        <v>PM</v>
      </c>
      <c r="E119" t="str">
        <v>October</v>
      </c>
      <c r="F119" t="str">
        <v>TUE</v>
      </c>
      <c r="G119" s="31">
        <v>558</v>
      </c>
      <c r="H119" t="str">
        <v>DOUBLE</v>
      </c>
      <c r="I119">
        <v>558</v>
      </c>
      <c r="L119">
        <v>648</v>
      </c>
      <c r="M119" s="31">
        <f t="shared" si="7"/>
        <v>76</v>
      </c>
      <c r="N119">
        <f t="shared" si="8"/>
        <v>0.2611683848797251</v>
      </c>
      <c r="O119">
        <f t="shared" si="9"/>
        <v>-0.63974749897335648</v>
      </c>
      <c r="P119" s="281">
        <f t="shared" si="10"/>
        <v>721.5458308596709</v>
      </c>
      <c r="W119" s="69" t="str" cm="1">
        <f t="array" ref="W119">_xlfn.TEXTJOIN(", ",TRUE,IFERROR(_xlfn._xlws.FILTER(Table3[Holiday Name],('SELECTED DATA'!Q119&gt;=Table3[start])*('SELECTED DATA'!Q119&lt;=Table3[end])),""))</f>
        <v/>
      </c>
      <c r="X119">
        <v>212.5</v>
      </c>
    </row>
    <row r="120" spans="3:24" x14ac:dyDescent="0.35">
      <c r="C120" s="36">
        <v>45224</v>
      </c>
      <c r="D120" t="str">
        <v>AM</v>
      </c>
      <c r="E120" t="str">
        <v>October</v>
      </c>
      <c r="F120" t="str">
        <v>WED</v>
      </c>
      <c r="G120" s="31">
        <v>351</v>
      </c>
      <c r="H120" t="str">
        <v>SINGLE</v>
      </c>
      <c r="I120">
        <v>351</v>
      </c>
      <c r="L120">
        <v>848</v>
      </c>
      <c r="M120" s="31">
        <f t="shared" si="7"/>
        <v>109</v>
      </c>
      <c r="N120">
        <f t="shared" si="8"/>
        <v>0.37457044673539519</v>
      </c>
      <c r="O120">
        <f t="shared" si="9"/>
        <v>-0.3197723710595316</v>
      </c>
      <c r="P120" s="281">
        <f t="shared" si="10"/>
        <v>863.34925779676132</v>
      </c>
      <c r="W120" s="69" t="str" cm="1">
        <f t="array" ref="W120">_xlfn.TEXTJOIN(", ",TRUE,IFERROR(_xlfn._xlws.FILTER(Table3[Holiday Name],('SELECTED DATA'!Q120&gt;=Table3[start])*('SELECTED DATA'!Q120&lt;=Table3[end])),""))</f>
        <v/>
      </c>
      <c r="X120">
        <v>306.5</v>
      </c>
    </row>
    <row r="121" spans="3:24" x14ac:dyDescent="0.35">
      <c r="C121" s="36">
        <v>45226</v>
      </c>
      <c r="D121" t="str">
        <v>PM</v>
      </c>
      <c r="E121" t="str">
        <v>October</v>
      </c>
      <c r="F121" t="str">
        <v>FRI</v>
      </c>
      <c r="G121" s="31">
        <v>1010</v>
      </c>
      <c r="H121" t="str">
        <v>SINGLE</v>
      </c>
      <c r="I121">
        <v>1010</v>
      </c>
      <c r="L121">
        <v>1323</v>
      </c>
      <c r="M121" s="31">
        <f t="shared" si="7"/>
        <v>239</v>
      </c>
      <c r="N121">
        <f t="shared" si="8"/>
        <v>0.82130584192439859</v>
      </c>
      <c r="O121">
        <f t="shared" si="9"/>
        <v>0.92035300938620412</v>
      </c>
      <c r="P121" s="281">
        <f t="shared" si="10"/>
        <v>1412.9358144938465</v>
      </c>
      <c r="W121" s="69" t="str" cm="1">
        <f t="array" ref="W121">_xlfn.TEXTJOIN(", ",TRUE,IFERROR(_xlfn._xlws.FILTER(Table3[Holiday Name],('SELECTED DATA'!Q121&gt;=Table3[start])*('SELECTED DATA'!Q121&lt;=Table3[end])),""))</f>
        <v/>
      </c>
      <c r="X121">
        <v>1403.5</v>
      </c>
    </row>
    <row r="122" spans="3:24" x14ac:dyDescent="0.35">
      <c r="C122" s="36">
        <v>45227</v>
      </c>
      <c r="D122" t="str">
        <v>PM</v>
      </c>
      <c r="E122" t="str">
        <v>October</v>
      </c>
      <c r="F122" t="str">
        <v>SAT</v>
      </c>
      <c r="G122" s="31">
        <v>1353</v>
      </c>
      <c r="H122" t="str">
        <v>SINGLE</v>
      </c>
      <c r="I122">
        <v>1353</v>
      </c>
      <c r="L122">
        <v>978.25</v>
      </c>
      <c r="M122" s="31">
        <f t="shared" si="7"/>
        <v>140.5</v>
      </c>
      <c r="N122">
        <f t="shared" si="8"/>
        <v>0.48281786941580757</v>
      </c>
      <c r="O122">
        <f t="shared" si="9"/>
        <v>-4.3082538250782454E-2</v>
      </c>
      <c r="P122" s="281">
        <f t="shared" si="10"/>
        <v>985.96993380598565</v>
      </c>
      <c r="W122" s="69" t="str" cm="1">
        <f t="array" ref="W122">_xlfn.TEXTJOIN(", ",TRUE,IFERROR(_xlfn._xlws.FILTER(Table3[Holiday Name],('SELECTED DATA'!Q122&gt;=Table3[start])*('SELECTED DATA'!Q122&lt;=Table3[end])),""))</f>
        <v/>
      </c>
      <c r="X122">
        <v>1422.48</v>
      </c>
    </row>
    <row r="123" spans="3:24" x14ac:dyDescent="0.35">
      <c r="C123" s="36">
        <v>45229</v>
      </c>
      <c r="D123" t="str">
        <v>PM</v>
      </c>
      <c r="E123" t="str">
        <v>October</v>
      </c>
      <c r="F123" t="str">
        <v>MON</v>
      </c>
      <c r="G123" s="31">
        <v>593</v>
      </c>
      <c r="H123" t="str">
        <v>SINGLE</v>
      </c>
      <c r="I123">
        <v>593</v>
      </c>
      <c r="L123">
        <v>978.25</v>
      </c>
      <c r="M123" s="31">
        <f t="shared" si="7"/>
        <v>140.5</v>
      </c>
      <c r="N123">
        <f t="shared" si="8"/>
        <v>0.48281786941580757</v>
      </c>
      <c r="O123">
        <f t="shared" si="9"/>
        <v>-4.3082538250782454E-2</v>
      </c>
      <c r="P123" s="281">
        <f t="shared" si="10"/>
        <v>985.96993380598565</v>
      </c>
      <c r="W123" s="69" t="str" cm="1">
        <f t="array" ref="W123">_xlfn.TEXTJOIN(", ",TRUE,IFERROR(_xlfn._xlws.FILTER(Table3[Holiday Name],('SELECTED DATA'!Q123&gt;=Table3[start])*('SELECTED DATA'!Q123&lt;=Table3[end])),""))</f>
        <v/>
      </c>
      <c r="X123">
        <v>836</v>
      </c>
    </row>
    <row r="124" spans="3:24" x14ac:dyDescent="0.35">
      <c r="C124" s="36">
        <v>45230</v>
      </c>
      <c r="D124" t="str">
        <v>AM</v>
      </c>
      <c r="E124" t="str">
        <v>October</v>
      </c>
      <c r="F124" t="str">
        <v>TUE</v>
      </c>
      <c r="G124" s="31">
        <v>410</v>
      </c>
      <c r="H124" t="str">
        <v>DOUBLE</v>
      </c>
      <c r="I124">
        <v>410</v>
      </c>
      <c r="L124">
        <v>838.5</v>
      </c>
      <c r="M124" s="31">
        <f t="shared" si="7"/>
        <v>108</v>
      </c>
      <c r="N124">
        <f t="shared" si="8"/>
        <v>0.37113402061855671</v>
      </c>
      <c r="O124">
        <f t="shared" si="9"/>
        <v>-0.32885135886431638</v>
      </c>
      <c r="P124" s="281">
        <f t="shared" si="10"/>
        <v>859.32572136681335</v>
      </c>
      <c r="W124" s="69" t="str" cm="1">
        <f t="array" ref="W124">_xlfn.TEXTJOIN(", ",TRUE,IFERROR(_xlfn._xlws.FILTER(Table3[Holiday Name],('SELECTED DATA'!Q124&gt;=Table3[start])*('SELECTED DATA'!Q124&lt;=Table3[end])),""))</f>
        <v/>
      </c>
      <c r="X124">
        <v>245</v>
      </c>
    </row>
    <row r="125" spans="3:24" x14ac:dyDescent="0.35">
      <c r="C125" s="36">
        <v>45230</v>
      </c>
      <c r="D125" t="str">
        <v>PM</v>
      </c>
      <c r="E125" t="str">
        <v>October</v>
      </c>
      <c r="F125" t="str">
        <v>TUE</v>
      </c>
      <c r="G125" s="31">
        <v>603</v>
      </c>
      <c r="H125" t="str">
        <v>DOUBLE</v>
      </c>
      <c r="I125">
        <v>603</v>
      </c>
      <c r="L125">
        <v>350</v>
      </c>
      <c r="M125" s="31">
        <f t="shared" si="7"/>
        <v>21</v>
      </c>
      <c r="N125">
        <f t="shared" si="8"/>
        <v>7.2164948453608241E-2</v>
      </c>
      <c r="O125">
        <f t="shared" si="9"/>
        <v>-1.4598551165527414</v>
      </c>
      <c r="P125" s="281">
        <f t="shared" si="10"/>
        <v>358.09861110798533</v>
      </c>
      <c r="W125" s="69" t="str" cm="1">
        <f t="array" ref="W125">_xlfn.TEXTJOIN(", ",TRUE,IFERROR(_xlfn._xlws.FILTER(Table3[Holiday Name],('SELECTED DATA'!Q125&gt;=Table3[start])*('SELECTED DATA'!Q125&lt;=Table3[end])),""))</f>
        <v/>
      </c>
      <c r="X125">
        <v>1018</v>
      </c>
    </row>
    <row r="126" spans="3:24" x14ac:dyDescent="0.35">
      <c r="C126" s="36">
        <v>45233</v>
      </c>
      <c r="D126" t="str">
        <v>PM</v>
      </c>
      <c r="E126" t="str">
        <v>November</v>
      </c>
      <c r="F126" t="str">
        <v>FRI</v>
      </c>
      <c r="G126" s="31">
        <v>1618.5</v>
      </c>
      <c r="H126" t="str">
        <v>SINGLE</v>
      </c>
      <c r="I126">
        <v>1618.5</v>
      </c>
      <c r="L126">
        <v>892</v>
      </c>
      <c r="M126" s="31">
        <f t="shared" si="7"/>
        <v>115.5</v>
      </c>
      <c r="N126">
        <f t="shared" si="8"/>
        <v>0.39690721649484534</v>
      </c>
      <c r="O126">
        <f t="shared" si="9"/>
        <v>-0.26136060643458697</v>
      </c>
      <c r="P126" s="281">
        <f t="shared" si="10"/>
        <v>889.23560856178278</v>
      </c>
      <c r="W126" s="69" t="str" cm="1">
        <f t="array" ref="W126">_xlfn.TEXTJOIN(", ",TRUE,IFERROR(_xlfn._xlws.FILTER(Table3[Holiday Name],('SELECTED DATA'!Q126&gt;=Table3[start])*('SELECTED DATA'!Q126&lt;=Table3[end])),""))</f>
        <v/>
      </c>
      <c r="X126">
        <v>955</v>
      </c>
    </row>
    <row r="127" spans="3:24" x14ac:dyDescent="0.35">
      <c r="C127" s="36">
        <v>45234</v>
      </c>
      <c r="D127" t="str">
        <v>PM</v>
      </c>
      <c r="E127" t="str">
        <v>November</v>
      </c>
      <c r="F127" t="str">
        <v>SAT</v>
      </c>
      <c r="G127" s="31">
        <v>1228.5</v>
      </c>
      <c r="H127" t="str">
        <v>SINGLE</v>
      </c>
      <c r="I127">
        <v>1228.5</v>
      </c>
      <c r="L127">
        <v>1409</v>
      </c>
      <c r="M127" s="31">
        <f t="shared" si="7"/>
        <v>251</v>
      </c>
      <c r="N127">
        <f t="shared" si="8"/>
        <v>0.86254295532646053</v>
      </c>
      <c r="O127">
        <f t="shared" si="9"/>
        <v>1.091815762474214</v>
      </c>
      <c r="P127" s="281">
        <f t="shared" si="10"/>
        <v>1488.9229893048091</v>
      </c>
      <c r="W127" s="69" t="str" cm="1">
        <f t="array" ref="W127">_xlfn.TEXTJOIN(", ",TRUE,IFERROR(_xlfn._xlws.FILTER(Table3[Holiday Name],('SELECTED DATA'!Q127&gt;=Table3[start])*('SELECTED DATA'!Q127&lt;=Table3[end])),""))</f>
        <v/>
      </c>
      <c r="X127">
        <v>1040.5</v>
      </c>
    </row>
    <row r="128" spans="3:24" x14ac:dyDescent="0.35">
      <c r="C128" s="36">
        <v>45236</v>
      </c>
      <c r="D128" t="str">
        <v>PM</v>
      </c>
      <c r="E128" t="str">
        <v>November</v>
      </c>
      <c r="F128" t="str">
        <v>MON</v>
      </c>
      <c r="G128" s="31">
        <v>1127.25</v>
      </c>
      <c r="H128" t="str">
        <v>SINGLE</v>
      </c>
      <c r="I128">
        <v>1127.25</v>
      </c>
      <c r="L128">
        <v>1222.5</v>
      </c>
      <c r="M128" s="31">
        <f t="shared" si="7"/>
        <v>210</v>
      </c>
      <c r="N128">
        <f t="shared" si="8"/>
        <v>0.72164948453608246</v>
      </c>
      <c r="O128">
        <f t="shared" si="9"/>
        <v>0.58774862715213694</v>
      </c>
      <c r="P128" s="281">
        <f t="shared" si="10"/>
        <v>1265.5354789659334</v>
      </c>
      <c r="W128" s="69" t="str" cm="1">
        <f t="array" ref="W128">_xlfn.TEXTJOIN(", ",TRUE,IFERROR(_xlfn._xlws.FILTER(Table3[Holiday Name],('SELECTED DATA'!Q128&gt;=Table3[start])*('SELECTED DATA'!Q128&lt;=Table3[end])),""))</f>
        <v/>
      </c>
      <c r="X128">
        <v>1279</v>
      </c>
    </row>
    <row r="129" spans="3:24" x14ac:dyDescent="0.35">
      <c r="C129" s="36">
        <v>45237</v>
      </c>
      <c r="D129" t="str">
        <v>AM</v>
      </c>
      <c r="E129" t="str">
        <v>November</v>
      </c>
      <c r="F129" t="str">
        <v>TUE</v>
      </c>
      <c r="G129" s="31">
        <v>591.5</v>
      </c>
      <c r="H129" t="str">
        <v>DOUBLE</v>
      </c>
      <c r="I129">
        <v>591.5</v>
      </c>
      <c r="L129">
        <v>1012</v>
      </c>
      <c r="M129" s="31">
        <f t="shared" si="7"/>
        <v>149</v>
      </c>
      <c r="N129">
        <f t="shared" si="8"/>
        <v>0.51202749140893467</v>
      </c>
      <c r="O129">
        <f t="shared" si="9"/>
        <v>3.015301862563171E-2</v>
      </c>
      <c r="P129" s="281">
        <f t="shared" si="10"/>
        <v>1018.4257468763022</v>
      </c>
      <c r="W129" s="69" t="str" cm="1">
        <f t="array" ref="W129">_xlfn.TEXTJOIN(", ",TRUE,IFERROR(_xlfn._xlws.FILTER(Table3[Holiday Name],('SELECTED DATA'!Q129&gt;=Table3[start])*('SELECTED DATA'!Q129&lt;=Table3[end])),""))</f>
        <v/>
      </c>
      <c r="X129">
        <v>640</v>
      </c>
    </row>
    <row r="130" spans="3:24" x14ac:dyDescent="0.35">
      <c r="C130" s="36">
        <v>45237</v>
      </c>
      <c r="D130" t="str">
        <v>PM</v>
      </c>
      <c r="E130" t="str">
        <v>November</v>
      </c>
      <c r="F130" t="str">
        <v>TUE</v>
      </c>
      <c r="G130" s="31">
        <v>947.5</v>
      </c>
      <c r="H130" t="str">
        <v>DOUBLE</v>
      </c>
      <c r="I130">
        <v>947.5</v>
      </c>
      <c r="L130">
        <v>212.5</v>
      </c>
      <c r="M130" s="31">
        <f t="shared" si="7"/>
        <v>6</v>
      </c>
      <c r="N130">
        <f t="shared" si="8"/>
        <v>2.0618556701030927E-2</v>
      </c>
      <c r="O130">
        <f t="shared" si="9"/>
        <v>-2.0411379881190972</v>
      </c>
      <c r="P130" s="281">
        <f t="shared" si="10"/>
        <v>100.4913909926106</v>
      </c>
      <c r="W130" s="69" t="str" cm="1">
        <f t="array" ref="W130">_xlfn.TEXTJOIN(", ",TRUE,IFERROR(_xlfn._xlws.FILTER(Table3[Holiday Name],('SELECTED DATA'!Q130&gt;=Table3[start])*('SELECTED DATA'!Q130&lt;=Table3[end])),""))</f>
        <v/>
      </c>
      <c r="X130">
        <v>558</v>
      </c>
    </row>
    <row r="131" spans="3:24" x14ac:dyDescent="0.35">
      <c r="C131" s="36">
        <v>45240</v>
      </c>
      <c r="D131" t="str">
        <v>PM</v>
      </c>
      <c r="E131" t="str">
        <v>November</v>
      </c>
      <c r="F131" t="str">
        <v>FRI</v>
      </c>
      <c r="G131" s="31">
        <v>1505</v>
      </c>
      <c r="H131" t="str">
        <v>SINGLE</v>
      </c>
      <c r="I131">
        <v>1505</v>
      </c>
      <c r="L131">
        <v>306.5</v>
      </c>
      <c r="M131" s="31">
        <f t="shared" si="7"/>
        <v>14</v>
      </c>
      <c r="N131">
        <f t="shared" si="8"/>
        <v>4.8109965635738834E-2</v>
      </c>
      <c r="O131">
        <f t="shared" si="9"/>
        <v>-1.6634623002421647</v>
      </c>
      <c r="P131" s="281">
        <f t="shared" si="10"/>
        <v>267.86598401471417</v>
      </c>
      <c r="W131" s="69" t="str" cm="1">
        <f t="array" ref="W131">_xlfn.TEXTJOIN(", ",TRUE,IFERROR(_xlfn._xlws.FILTER(Table3[Holiday Name],('SELECTED DATA'!Q131&gt;=Table3[start])*('SELECTED DATA'!Q131&lt;=Table3[end])),""))</f>
        <v/>
      </c>
      <c r="X131">
        <v>351</v>
      </c>
    </row>
    <row r="132" spans="3:24" x14ac:dyDescent="0.35">
      <c r="C132" s="36">
        <v>45241</v>
      </c>
      <c r="D132" t="str">
        <v>PM</v>
      </c>
      <c r="E132" t="str">
        <v>November</v>
      </c>
      <c r="F132" t="str">
        <v>SAT</v>
      </c>
      <c r="G132" s="31">
        <v>1098</v>
      </c>
      <c r="H132" t="str">
        <v>SINGLE</v>
      </c>
      <c r="I132">
        <v>1098</v>
      </c>
      <c r="L132">
        <v>1403.5</v>
      </c>
      <c r="M132" s="31">
        <f t="shared" si="7"/>
        <v>250</v>
      </c>
      <c r="N132">
        <f t="shared" si="8"/>
        <v>0.85910652920962194</v>
      </c>
      <c r="O132">
        <f t="shared" si="9"/>
        <v>1.0763137940250351</v>
      </c>
      <c r="P132" s="281">
        <f t="shared" si="10"/>
        <v>1482.0529795490627</v>
      </c>
      <c r="W132" s="69" t="str" cm="1">
        <f t="array" ref="W132">_xlfn.TEXTJOIN(", ",TRUE,IFERROR(_xlfn._xlws.FILTER(Table3[Holiday Name],('SELECTED DATA'!Q132&gt;=Table3[start])*('SELECTED DATA'!Q132&lt;=Table3[end])),""))</f>
        <v/>
      </c>
      <c r="X132">
        <v>1010</v>
      </c>
    </row>
    <row r="133" spans="3:24" x14ac:dyDescent="0.35">
      <c r="C133" s="36">
        <v>45242</v>
      </c>
      <c r="D133" t="str">
        <v>PM</v>
      </c>
      <c r="E133" t="str">
        <v>November</v>
      </c>
      <c r="F133" t="str">
        <v>SUN</v>
      </c>
      <c r="G133" s="31">
        <v>1284</v>
      </c>
      <c r="H133" t="str">
        <v>SINGLE</v>
      </c>
      <c r="I133">
        <v>1284</v>
      </c>
      <c r="L133">
        <v>1422.48</v>
      </c>
      <c r="M133" s="31">
        <f t="shared" si="7"/>
        <v>255</v>
      </c>
      <c r="N133">
        <f t="shared" si="8"/>
        <v>0.87628865979381443</v>
      </c>
      <c r="O133">
        <f t="shared" si="9"/>
        <v>1.1566321519853882</v>
      </c>
      <c r="P133" s="281">
        <f t="shared" si="10"/>
        <v>1517.6476786714438</v>
      </c>
      <c r="W133" s="69" t="str" cm="1">
        <f t="array" ref="W133">_xlfn.TEXTJOIN(", ",TRUE,IFERROR(_xlfn._xlws.FILTER(Table3[Holiday Name],('SELECTED DATA'!Q133&gt;=Table3[start])*('SELECTED DATA'!Q133&lt;=Table3[end])),""))</f>
        <v/>
      </c>
      <c r="X133">
        <v>1353</v>
      </c>
    </row>
    <row r="134" spans="3:24" x14ac:dyDescent="0.35">
      <c r="C134" s="36">
        <v>45243</v>
      </c>
      <c r="D134" t="str">
        <v>AM</v>
      </c>
      <c r="E134" t="str">
        <v>November</v>
      </c>
      <c r="F134" t="str">
        <v>MON</v>
      </c>
      <c r="G134" s="31">
        <v>568</v>
      </c>
      <c r="H134" t="str">
        <v>SINGLE</v>
      </c>
      <c r="I134">
        <v>568</v>
      </c>
      <c r="L134">
        <v>836</v>
      </c>
      <c r="M134" s="31">
        <f t="shared" si="7"/>
        <v>106</v>
      </c>
      <c r="N134">
        <f t="shared" si="8"/>
        <v>0.36426116838487971</v>
      </c>
      <c r="O134">
        <f t="shared" si="9"/>
        <v>-0.34709182250400433</v>
      </c>
      <c r="P134" s="281">
        <f t="shared" si="10"/>
        <v>851.24209227384915</v>
      </c>
      <c r="W134" s="69" t="str" cm="1">
        <f t="array" ref="W134">_xlfn.TEXTJOIN(", ",TRUE,IFERROR(_xlfn._xlws.FILTER(Table3[Holiday Name],('SELECTED DATA'!Q134&gt;=Table3[start])*('SELECTED DATA'!Q134&lt;=Table3[end])),""))</f>
        <v/>
      </c>
      <c r="X134">
        <v>593</v>
      </c>
    </row>
    <row r="135" spans="3:24" x14ac:dyDescent="0.35">
      <c r="C135" s="36">
        <v>45244</v>
      </c>
      <c r="D135" t="str">
        <v>AM</v>
      </c>
      <c r="E135" t="str">
        <v>November</v>
      </c>
      <c r="F135" t="str">
        <v>TUE</v>
      </c>
      <c r="G135" s="31">
        <v>988</v>
      </c>
      <c r="H135" t="str">
        <v>SINGLE</v>
      </c>
      <c r="I135">
        <v>988</v>
      </c>
      <c r="L135">
        <v>245</v>
      </c>
      <c r="M135" s="31">
        <f t="shared" si="7"/>
        <v>9</v>
      </c>
      <c r="N135">
        <f t="shared" si="8"/>
        <v>3.0927835051546393E-2</v>
      </c>
      <c r="O135">
        <f t="shared" si="9"/>
        <v>-1.8673289134397622</v>
      </c>
      <c r="P135" s="281">
        <f t="shared" si="10"/>
        <v>177.51838550617231</v>
      </c>
      <c r="W135" s="69" t="str" cm="1">
        <f t="array" ref="W135">_xlfn.TEXTJOIN(", ",TRUE,IFERROR(_xlfn._xlws.FILTER(Table3[Holiday Name],('SELECTED DATA'!Q135&gt;=Table3[start])*('SELECTED DATA'!Q135&lt;=Table3[end])),""))</f>
        <v/>
      </c>
      <c r="X135">
        <v>410</v>
      </c>
    </row>
    <row r="136" spans="3:24" x14ac:dyDescent="0.35">
      <c r="C136" s="36">
        <v>45245</v>
      </c>
      <c r="D136" t="str">
        <v>AM</v>
      </c>
      <c r="E136" t="str">
        <v>November</v>
      </c>
      <c r="F136" t="str">
        <v>WED</v>
      </c>
      <c r="G136" s="31">
        <v>731</v>
      </c>
      <c r="H136" t="str">
        <v>SINGLE</v>
      </c>
      <c r="I136">
        <v>731</v>
      </c>
      <c r="L136">
        <v>1018</v>
      </c>
      <c r="M136" s="31">
        <f t="shared" si="7"/>
        <v>153</v>
      </c>
      <c r="N136">
        <f t="shared" si="8"/>
        <v>0.52577319587628868</v>
      </c>
      <c r="O136">
        <f t="shared" si="9"/>
        <v>6.4648826272660012E-2</v>
      </c>
      <c r="P136" s="281">
        <f t="shared" si="10"/>
        <v>1033.7132592876692</v>
      </c>
      <c r="W136" s="69" t="str" cm="1">
        <f t="array" ref="W136">_xlfn.TEXTJOIN(", ",TRUE,IFERROR(_xlfn._xlws.FILTER(Table3[Holiday Name],('SELECTED DATA'!Q136&gt;=Table3[start])*('SELECTED DATA'!Q136&lt;=Table3[end])),""))</f>
        <v/>
      </c>
      <c r="X136">
        <v>603</v>
      </c>
    </row>
    <row r="137" spans="3:24" x14ac:dyDescent="0.35">
      <c r="C137" s="36">
        <v>45247</v>
      </c>
      <c r="D137" t="str">
        <v>PM</v>
      </c>
      <c r="E137" t="str">
        <v>November</v>
      </c>
      <c r="F137" t="str">
        <v>FRI</v>
      </c>
      <c r="G137" s="31">
        <v>1036.5</v>
      </c>
      <c r="H137" t="str">
        <v>SINGLE</v>
      </c>
      <c r="I137">
        <v>1036.5</v>
      </c>
      <c r="L137">
        <v>955</v>
      </c>
      <c r="M137" s="31">
        <f t="shared" si="7"/>
        <v>134</v>
      </c>
      <c r="N137">
        <f t="shared" si="8"/>
        <v>0.46048109965635736</v>
      </c>
      <c r="O137">
        <f t="shared" si="9"/>
        <v>-9.9221758506619379E-2</v>
      </c>
      <c r="P137" s="281">
        <f t="shared" si="10"/>
        <v>961.09070688057989</v>
      </c>
      <c r="W137" s="69" t="str" cm="1">
        <f t="array" ref="W137">_xlfn.TEXTJOIN(", ",TRUE,IFERROR(_xlfn._xlws.FILTER(Table3[Holiday Name],('SELECTED DATA'!Q137&gt;=Table3[start])*('SELECTED DATA'!Q137&lt;=Table3[end])),""))</f>
        <v/>
      </c>
      <c r="X137">
        <v>1618.5</v>
      </c>
    </row>
    <row r="138" spans="3:24" x14ac:dyDescent="0.35">
      <c r="C138" s="36">
        <v>45248</v>
      </c>
      <c r="D138" t="str">
        <v>PM</v>
      </c>
      <c r="E138" t="str">
        <v>November</v>
      </c>
      <c r="F138" t="str">
        <v>SAT</v>
      </c>
      <c r="G138" s="31">
        <v>1264</v>
      </c>
      <c r="H138" t="str">
        <v>SINGLE</v>
      </c>
      <c r="I138">
        <v>1264</v>
      </c>
      <c r="L138">
        <v>1040.5</v>
      </c>
      <c r="M138" s="31">
        <f t="shared" si="7"/>
        <v>161</v>
      </c>
      <c r="N138">
        <f t="shared" si="8"/>
        <v>0.5532646048109966</v>
      </c>
      <c r="O138">
        <f t="shared" si="9"/>
        <v>0.13391373345370508</v>
      </c>
      <c r="P138" s="281">
        <f t="shared" si="10"/>
        <v>1064.4093989182372</v>
      </c>
      <c r="W138" s="69" t="str" cm="1">
        <f t="array" ref="W138">_xlfn.TEXTJOIN(", ",TRUE,IFERROR(_xlfn._xlws.FILTER(Table3[Holiday Name],('SELECTED DATA'!Q138&gt;=Table3[start])*('SELECTED DATA'!Q138&lt;=Table3[end])),""))</f>
        <v/>
      </c>
      <c r="X138">
        <v>1228.5</v>
      </c>
    </row>
    <row r="139" spans="3:24" x14ac:dyDescent="0.35">
      <c r="C139" s="36">
        <v>45250</v>
      </c>
      <c r="D139" t="str">
        <v>PM</v>
      </c>
      <c r="E139" t="str">
        <v>November</v>
      </c>
      <c r="F139" t="str">
        <v>MON</v>
      </c>
      <c r="G139" s="31">
        <v>1271</v>
      </c>
      <c r="H139" t="str">
        <v>SINGLE</v>
      </c>
      <c r="I139">
        <v>1271</v>
      </c>
      <c r="L139">
        <v>1279</v>
      </c>
      <c r="M139" s="31">
        <f t="shared" si="7"/>
        <v>225</v>
      </c>
      <c r="N139">
        <f t="shared" si="8"/>
        <v>0.77319587628865982</v>
      </c>
      <c r="O139">
        <f t="shared" si="9"/>
        <v>0.74941311698724111</v>
      </c>
      <c r="P139" s="281">
        <f t="shared" si="10"/>
        <v>1337.1803559353341</v>
      </c>
      <c r="W139" s="69" t="str" cm="1">
        <f t="array" ref="W139">_xlfn.TEXTJOIN(", ",TRUE,IFERROR(_xlfn._xlws.FILTER(Table3[Holiday Name],('SELECTED DATA'!Q139&gt;=Table3[start])*('SELECTED DATA'!Q139&lt;=Table3[end])),""))</f>
        <v/>
      </c>
      <c r="X139">
        <v>1127.25</v>
      </c>
    </row>
    <row r="140" spans="3:24" x14ac:dyDescent="0.35">
      <c r="C140" s="36">
        <v>45251</v>
      </c>
      <c r="D140" t="str">
        <v>AM</v>
      </c>
      <c r="E140" t="str">
        <v>November</v>
      </c>
      <c r="F140" t="str">
        <v>TUE</v>
      </c>
      <c r="G140" s="31">
        <v>410</v>
      </c>
      <c r="H140" t="str">
        <v>DOUBLE</v>
      </c>
      <c r="I140">
        <v>410</v>
      </c>
      <c r="L140">
        <v>640</v>
      </c>
      <c r="M140" s="31">
        <f t="shared" si="7"/>
        <v>74</v>
      </c>
      <c r="N140">
        <f t="shared" si="8"/>
        <v>0.25429553264604809</v>
      </c>
      <c r="O140">
        <f t="shared" si="9"/>
        <v>-0.66103313328766589</v>
      </c>
      <c r="P140" s="281">
        <f t="shared" si="10"/>
        <v>712.11267300775285</v>
      </c>
      <c r="W140" s="69" t="str" cm="1">
        <f t="array" ref="W140">_xlfn.TEXTJOIN(", ",TRUE,IFERROR(_xlfn._xlws.FILTER(Table3[Holiday Name],('SELECTED DATA'!Q140&gt;=Table3[start])*('SELECTED DATA'!Q140&lt;=Table3[end])),""))</f>
        <v/>
      </c>
      <c r="X140">
        <v>591.5</v>
      </c>
    </row>
    <row r="141" spans="3:24" x14ac:dyDescent="0.35">
      <c r="C141" s="36">
        <v>45251</v>
      </c>
      <c r="D141" t="str">
        <v>PM</v>
      </c>
      <c r="E141" t="str">
        <v>November</v>
      </c>
      <c r="F141" t="str">
        <v>TUE</v>
      </c>
      <c r="G141" s="31">
        <v>1448</v>
      </c>
      <c r="H141" t="str">
        <v>DOUBLE</v>
      </c>
      <c r="I141">
        <v>1448</v>
      </c>
      <c r="L141">
        <v>558</v>
      </c>
      <c r="M141" s="31">
        <f t="shared" si="7"/>
        <v>53</v>
      </c>
      <c r="N141">
        <f t="shared" si="8"/>
        <v>0.18213058419243985</v>
      </c>
      <c r="O141">
        <f t="shared" si="9"/>
        <v>-0.90727542131879702</v>
      </c>
      <c r="P141" s="281">
        <f t="shared" si="10"/>
        <v>602.98544012780053</v>
      </c>
      <c r="W141" s="69" t="str" cm="1">
        <f t="array" ref="W141">_xlfn.TEXTJOIN(", ",TRUE,IFERROR(_xlfn._xlws.FILTER(Table3[Holiday Name],('SELECTED DATA'!Q141&gt;=Table3[start])*('SELECTED DATA'!Q141&lt;=Table3[end])),""))</f>
        <v/>
      </c>
      <c r="X141">
        <v>947.5</v>
      </c>
    </row>
    <row r="142" spans="3:24" x14ac:dyDescent="0.35">
      <c r="C142" s="36">
        <v>45252</v>
      </c>
      <c r="D142" t="str">
        <v>AM</v>
      </c>
      <c r="E142" t="str">
        <v>November</v>
      </c>
      <c r="F142" t="str">
        <v>WED</v>
      </c>
      <c r="G142" s="31">
        <v>306</v>
      </c>
      <c r="H142" t="str">
        <v>SINGLE</v>
      </c>
      <c r="I142">
        <v>306</v>
      </c>
      <c r="L142">
        <v>351</v>
      </c>
      <c r="M142" s="31">
        <f t="shared" si="7"/>
        <v>22</v>
      </c>
      <c r="N142">
        <f t="shared" si="8"/>
        <v>7.560137457044673E-2</v>
      </c>
      <c r="O142">
        <f t="shared" si="9"/>
        <v>-1.4352960631568967</v>
      </c>
      <c r="P142" s="281">
        <f t="shared" si="10"/>
        <v>368.98245060065892</v>
      </c>
      <c r="W142" s="69" t="str" cm="1">
        <f t="array" ref="W142">_xlfn.TEXTJOIN(", ",TRUE,IFERROR(_xlfn._xlws.FILTER(Table3[Holiday Name],('SELECTED DATA'!Q142&gt;=Table3[start])*('SELECTED DATA'!Q142&lt;=Table3[end])),""))</f>
        <v/>
      </c>
      <c r="X142">
        <v>1505</v>
      </c>
    </row>
    <row r="143" spans="3:24" x14ac:dyDescent="0.35">
      <c r="C143" s="36">
        <v>45254</v>
      </c>
      <c r="D143" t="str">
        <v>PM</v>
      </c>
      <c r="E143" t="str">
        <v>November</v>
      </c>
      <c r="F143" t="str">
        <v>FRI</v>
      </c>
      <c r="G143" s="31">
        <v>835.5</v>
      </c>
      <c r="H143" t="str">
        <v>SINGLE</v>
      </c>
      <c r="I143">
        <v>835.5</v>
      </c>
      <c r="L143">
        <v>1010</v>
      </c>
      <c r="M143" s="31">
        <f t="shared" si="7"/>
        <v>146</v>
      </c>
      <c r="N143">
        <f t="shared" si="8"/>
        <v>0.50171821305841924</v>
      </c>
      <c r="O143">
        <f t="shared" si="9"/>
        <v>4.3069347494186956E-3</v>
      </c>
      <c r="P143" s="281">
        <f t="shared" si="10"/>
        <v>1006.9715338865427</v>
      </c>
      <c r="W143" s="69" t="str" cm="1">
        <f t="array" ref="W143">_xlfn.TEXTJOIN(", ",TRUE,IFERROR(_xlfn._xlws.FILTER(Table3[Holiday Name],('SELECTED DATA'!Q143&gt;=Table3[start])*('SELECTED DATA'!Q143&lt;=Table3[end])),""))</f>
        <v/>
      </c>
      <c r="X143">
        <v>1098</v>
      </c>
    </row>
    <row r="144" spans="3:24" x14ac:dyDescent="0.35">
      <c r="C144" s="36">
        <v>45257</v>
      </c>
      <c r="D144" t="str">
        <v>PM</v>
      </c>
      <c r="E144" t="str">
        <v>November</v>
      </c>
      <c r="F144" t="str">
        <v>MON</v>
      </c>
      <c r="G144" s="31">
        <v>535</v>
      </c>
      <c r="H144" t="str">
        <v>SINGLE</v>
      </c>
      <c r="I144">
        <v>535</v>
      </c>
      <c r="L144">
        <v>1353</v>
      </c>
      <c r="M144" s="31">
        <f t="shared" si="7"/>
        <v>242</v>
      </c>
      <c r="N144">
        <f t="shared" si="8"/>
        <v>0.83161512027491413</v>
      </c>
      <c r="O144">
        <f t="shared" si="9"/>
        <v>0.96056733491419644</v>
      </c>
      <c r="P144" s="281">
        <f t="shared" si="10"/>
        <v>1430.7576033591636</v>
      </c>
      <c r="W144" s="69" t="str" cm="1">
        <f t="array" ref="W144">_xlfn.TEXTJOIN(", ",TRUE,IFERROR(_xlfn._xlws.FILTER(Table3[Holiday Name],('SELECTED DATA'!Q144&gt;=Table3[start])*('SELECTED DATA'!Q144&lt;=Table3[end])),""))</f>
        <v/>
      </c>
      <c r="X144">
        <v>1284</v>
      </c>
    </row>
    <row r="145" spans="3:24" x14ac:dyDescent="0.35">
      <c r="C145" s="36">
        <v>45258</v>
      </c>
      <c r="D145" t="str">
        <v>AM</v>
      </c>
      <c r="E145" t="str">
        <v>November</v>
      </c>
      <c r="F145" t="str">
        <v>TUE</v>
      </c>
      <c r="G145" s="31">
        <v>509</v>
      </c>
      <c r="H145" t="str">
        <v>SINGLE</v>
      </c>
      <c r="I145">
        <v>509</v>
      </c>
      <c r="L145">
        <v>593</v>
      </c>
      <c r="M145" s="31">
        <f t="shared" si="7"/>
        <v>65</v>
      </c>
      <c r="N145">
        <f t="shared" si="8"/>
        <v>0.22336769759450173</v>
      </c>
      <c r="O145">
        <f t="shared" si="9"/>
        <v>-0.76086886775273888</v>
      </c>
      <c r="P145" s="281">
        <f t="shared" si="10"/>
        <v>667.86845512047535</v>
      </c>
      <c r="W145" s="69" t="str" cm="1">
        <f t="array" ref="W145">_xlfn.TEXTJOIN(", ",TRUE,IFERROR(_xlfn._xlws.FILTER(Table3[Holiday Name],('SELECTED DATA'!Q145&gt;=Table3[start])*('SELECTED DATA'!Q145&lt;=Table3[end])),""))</f>
        <v/>
      </c>
      <c r="X145">
        <v>568</v>
      </c>
    </row>
    <row r="146" spans="3:24" x14ac:dyDescent="0.35">
      <c r="C146" s="36">
        <v>45260</v>
      </c>
      <c r="D146" t="str">
        <v>PM</v>
      </c>
      <c r="E146" t="str">
        <v>November</v>
      </c>
      <c r="F146" t="str">
        <v>THU</v>
      </c>
      <c r="G146" s="31">
        <v>438.5</v>
      </c>
      <c r="H146" t="str">
        <v>SINGLE</v>
      </c>
      <c r="I146">
        <v>438.5</v>
      </c>
      <c r="L146">
        <v>410</v>
      </c>
      <c r="M146" s="31">
        <f t="shared" si="7"/>
        <v>31</v>
      </c>
      <c r="N146">
        <f t="shared" si="8"/>
        <v>0.10652920962199312</v>
      </c>
      <c r="O146">
        <f t="shared" si="9"/>
        <v>-1.2451995193805165</v>
      </c>
      <c r="P146" s="281">
        <f t="shared" si="10"/>
        <v>453.22756531359732</v>
      </c>
      <c r="W146" s="69" t="str" cm="1">
        <f t="array" ref="W146">_xlfn.TEXTJOIN(", ",TRUE,IFERROR(_xlfn._xlws.FILTER(Table3[Holiday Name],('SELECTED DATA'!Q146&gt;=Table3[start])*('SELECTED DATA'!Q146&lt;=Table3[end])),""))</f>
        <v/>
      </c>
      <c r="X146">
        <v>988</v>
      </c>
    </row>
    <row r="147" spans="3:24" x14ac:dyDescent="0.35">
      <c r="C147" s="36">
        <v>45261</v>
      </c>
      <c r="D147" t="str">
        <v>PM</v>
      </c>
      <c r="E147" t="str">
        <v>December</v>
      </c>
      <c r="F147" t="str">
        <v>FRI</v>
      </c>
      <c r="G147" s="31">
        <v>1084.5</v>
      </c>
      <c r="H147" t="str">
        <v>SINGLE</v>
      </c>
      <c r="I147">
        <v>1084.5</v>
      </c>
      <c r="L147">
        <v>603</v>
      </c>
      <c r="M147" s="31">
        <f t="shared" si="7"/>
        <v>70</v>
      </c>
      <c r="N147">
        <f t="shared" si="8"/>
        <v>0.24054982817869416</v>
      </c>
      <c r="O147">
        <f t="shared" si="9"/>
        <v>-0.70453500829526861</v>
      </c>
      <c r="P147" s="281">
        <f t="shared" si="10"/>
        <v>692.83394033097932</v>
      </c>
      <c r="W147" s="69" t="str" cm="1">
        <f t="array" ref="W147">_xlfn.TEXTJOIN(", ",TRUE,IFERROR(_xlfn._xlws.FILTER(Table3[Holiday Name],('SELECTED DATA'!Q147&gt;=Table3[start])*('SELECTED DATA'!Q147&lt;=Table3[end])),""))</f>
        <v/>
      </c>
      <c r="X147">
        <v>731</v>
      </c>
    </row>
    <row r="148" spans="3:24" x14ac:dyDescent="0.35">
      <c r="C148" s="36">
        <v>45263</v>
      </c>
      <c r="D148" t="str">
        <v>PM</v>
      </c>
      <c r="E148" t="str">
        <v>December</v>
      </c>
      <c r="F148" t="str">
        <v>SUN</v>
      </c>
      <c r="G148" s="31">
        <v>1199</v>
      </c>
      <c r="H148" t="str">
        <v>SINGLE</v>
      </c>
      <c r="I148">
        <v>1199</v>
      </c>
      <c r="L148">
        <v>1618.5</v>
      </c>
      <c r="M148" s="31">
        <f t="shared" si="7"/>
        <v>281</v>
      </c>
      <c r="N148">
        <f t="shared" si="8"/>
        <v>0.96563573883161513</v>
      </c>
      <c r="O148">
        <f t="shared" si="9"/>
        <v>1.8202002022470685</v>
      </c>
      <c r="P148" s="281">
        <f t="shared" si="10"/>
        <v>1811.72123415858</v>
      </c>
      <c r="W148" s="69" t="str" cm="1">
        <f t="array" ref="W148">_xlfn.TEXTJOIN(", ",TRUE,IFERROR(_xlfn._xlws.FILTER(Table3[Holiday Name],('SELECTED DATA'!Q148&gt;=Table3[start])*('SELECTED DATA'!Q148&lt;=Table3[end])),""))</f>
        <v/>
      </c>
      <c r="X148">
        <v>1036.5</v>
      </c>
    </row>
    <row r="149" spans="3:24" x14ac:dyDescent="0.35">
      <c r="C149" s="36">
        <v>45264</v>
      </c>
      <c r="D149" t="str">
        <v>PM</v>
      </c>
      <c r="E149" t="str">
        <v>December</v>
      </c>
      <c r="F149" t="str">
        <v>MON</v>
      </c>
      <c r="G149" s="31">
        <v>465</v>
      </c>
      <c r="H149" t="str">
        <v>SINGLE</v>
      </c>
      <c r="I149">
        <v>465</v>
      </c>
      <c r="L149">
        <v>1228.5</v>
      </c>
      <c r="M149" s="31">
        <f t="shared" si="7"/>
        <v>215</v>
      </c>
      <c r="N149">
        <f t="shared" si="8"/>
        <v>0.73883161512027495</v>
      </c>
      <c r="O149">
        <f t="shared" si="9"/>
        <v>0.6397474989733567</v>
      </c>
      <c r="P149" s="281">
        <f t="shared" si="10"/>
        <v>1288.5798270350663</v>
      </c>
      <c r="W149" s="69" t="str" cm="1">
        <f t="array" ref="W149">_xlfn.TEXTJOIN(", ",TRUE,IFERROR(_xlfn._xlws.FILTER(Table3[Holiday Name],('SELECTED DATA'!Q149&gt;=Table3[start])*('SELECTED DATA'!Q149&lt;=Table3[end])),""))</f>
        <v/>
      </c>
      <c r="X149">
        <v>1264</v>
      </c>
    </row>
    <row r="150" spans="3:24" x14ac:dyDescent="0.35">
      <c r="C150" s="36">
        <v>45266</v>
      </c>
      <c r="D150" t="str">
        <v>AM</v>
      </c>
      <c r="E150" t="str">
        <v>December</v>
      </c>
      <c r="F150" t="str">
        <v>WED</v>
      </c>
      <c r="G150" s="31">
        <v>698.5</v>
      </c>
      <c r="H150" t="str">
        <v>SINGLE</v>
      </c>
      <c r="I150">
        <v>698.5</v>
      </c>
      <c r="L150">
        <v>1127.25</v>
      </c>
      <c r="M150" s="31">
        <f t="shared" si="7"/>
        <v>186</v>
      </c>
      <c r="N150">
        <f t="shared" si="8"/>
        <v>0.63917525773195871</v>
      </c>
      <c r="O150">
        <f t="shared" si="9"/>
        <v>0.35625516243570454</v>
      </c>
      <c r="P150" s="281">
        <f t="shared" si="10"/>
        <v>1162.94448439597</v>
      </c>
      <c r="W150" s="69" t="str" cm="1">
        <f t="array" ref="W150">_xlfn.TEXTJOIN(", ",TRUE,IFERROR(_xlfn._xlws.FILTER(Table3[Holiday Name],('SELECTED DATA'!Q150&gt;=Table3[start])*('SELECTED DATA'!Q150&lt;=Table3[end])),""))</f>
        <v/>
      </c>
      <c r="X150">
        <v>1271</v>
      </c>
    </row>
    <row r="151" spans="3:24" x14ac:dyDescent="0.35">
      <c r="C151" s="36">
        <v>45268</v>
      </c>
      <c r="D151" t="str">
        <v>PM</v>
      </c>
      <c r="E151" t="str">
        <v>December</v>
      </c>
      <c r="F151" t="str">
        <v>FRI</v>
      </c>
      <c r="G151" s="31">
        <v>1617</v>
      </c>
      <c r="H151" t="str">
        <v>SINGLE</v>
      </c>
      <c r="I151">
        <v>1617</v>
      </c>
      <c r="L151">
        <v>591.5</v>
      </c>
      <c r="M151" s="31">
        <f t="shared" si="7"/>
        <v>64</v>
      </c>
      <c r="N151">
        <f t="shared" si="8"/>
        <v>0.21993127147766323</v>
      </c>
      <c r="O151">
        <f t="shared" si="9"/>
        <v>-0.77242535256281153</v>
      </c>
      <c r="P151" s="281">
        <f t="shared" si="10"/>
        <v>662.7469659594301</v>
      </c>
      <c r="W151" s="69" t="str" cm="1">
        <f t="array" ref="W151">_xlfn.TEXTJOIN(", ",TRUE,IFERROR(_xlfn._xlws.FILTER(Table3[Holiday Name],('SELECTED DATA'!Q151&gt;=Table3[start])*('SELECTED DATA'!Q151&lt;=Table3[end])),""))</f>
        <v/>
      </c>
      <c r="X151">
        <v>410</v>
      </c>
    </row>
    <row r="152" spans="3:24" x14ac:dyDescent="0.35">
      <c r="C152" s="36">
        <v>45269</v>
      </c>
      <c r="D152" t="str">
        <v>AM</v>
      </c>
      <c r="E152" t="str">
        <v>December</v>
      </c>
      <c r="F152" t="str">
        <v>SAT</v>
      </c>
      <c r="G152" s="31">
        <v>322</v>
      </c>
      <c r="H152" t="str">
        <v>DOUBLE</v>
      </c>
      <c r="I152">
        <v>322</v>
      </c>
      <c r="L152">
        <v>947.5</v>
      </c>
      <c r="M152" s="31">
        <f t="shared" si="7"/>
        <v>130</v>
      </c>
      <c r="N152">
        <f t="shared" si="8"/>
        <v>0.44673539518900346</v>
      </c>
      <c r="O152">
        <f t="shared" si="9"/>
        <v>-0.13391373345370497</v>
      </c>
      <c r="P152" s="281">
        <f t="shared" si="10"/>
        <v>945.71625897649983</v>
      </c>
      <c r="W152" s="69" t="str" cm="1">
        <f t="array" ref="W152">_xlfn.TEXTJOIN(", ",TRUE,IFERROR(_xlfn._xlws.FILTER(Table3[Holiday Name],('SELECTED DATA'!Q152&gt;=Table3[start])*('SELECTED DATA'!Q152&lt;=Table3[end])),""))</f>
        <v/>
      </c>
      <c r="X152">
        <v>1448</v>
      </c>
    </row>
    <row r="153" spans="3:24" x14ac:dyDescent="0.35">
      <c r="C153" s="36">
        <v>45269</v>
      </c>
      <c r="D153" t="str">
        <v>PM</v>
      </c>
      <c r="E153" t="str">
        <v>December</v>
      </c>
      <c r="F153" t="str">
        <v>SAT</v>
      </c>
      <c r="G153" s="31">
        <v>1072</v>
      </c>
      <c r="H153" t="str">
        <v>DOUBLE</v>
      </c>
      <c r="I153">
        <v>1072</v>
      </c>
      <c r="L153">
        <v>1505</v>
      </c>
      <c r="M153" s="31">
        <f t="shared" si="7"/>
        <v>271</v>
      </c>
      <c r="N153">
        <f t="shared" si="8"/>
        <v>0.93127147766323026</v>
      </c>
      <c r="O153">
        <f t="shared" si="9"/>
        <v>1.4853276732119394</v>
      </c>
      <c r="P153" s="281">
        <f t="shared" si="10"/>
        <v>1663.3157236619627</v>
      </c>
      <c r="W153" s="69" t="str" cm="1">
        <f t="array" ref="W153">_xlfn.TEXTJOIN(", ",TRUE,IFERROR(_xlfn._xlws.FILTER(Table3[Holiday Name],('SELECTED DATA'!Q153&gt;=Table3[start])*('SELECTED DATA'!Q153&lt;=Table3[end])),""))</f>
        <v/>
      </c>
      <c r="X153">
        <v>306</v>
      </c>
    </row>
    <row r="154" spans="3:24" x14ac:dyDescent="0.35">
      <c r="C154" s="36">
        <v>45271</v>
      </c>
      <c r="D154" t="str">
        <v>PM</v>
      </c>
      <c r="E154" t="str">
        <v>December</v>
      </c>
      <c r="F154" t="str">
        <v>MON</v>
      </c>
      <c r="G154" s="31">
        <v>1044.5</v>
      </c>
      <c r="H154" t="str">
        <v>SINGLE</v>
      </c>
      <c r="I154">
        <v>1044.5</v>
      </c>
      <c r="L154">
        <v>1098</v>
      </c>
      <c r="M154" s="31">
        <f t="shared" si="7"/>
        <v>179</v>
      </c>
      <c r="N154">
        <f t="shared" si="8"/>
        <v>0.61512027491408938</v>
      </c>
      <c r="O154">
        <f t="shared" si="9"/>
        <v>0.29268956046586181</v>
      </c>
      <c r="P154" s="281">
        <f t="shared" si="10"/>
        <v>1134.7741067375218</v>
      </c>
      <c r="W154" s="69" t="str" cm="1">
        <f t="array" ref="W154">_xlfn.TEXTJOIN(", ",TRUE,IFERROR(_xlfn._xlws.FILTER(Table3[Holiday Name],('SELECTED DATA'!Q154&gt;=Table3[start])*('SELECTED DATA'!Q154&lt;=Table3[end])),""))</f>
        <v/>
      </c>
      <c r="X154">
        <v>835.5</v>
      </c>
    </row>
    <row r="155" spans="3:24" x14ac:dyDescent="0.35">
      <c r="C155" s="36">
        <v>45273</v>
      </c>
      <c r="D155" t="str">
        <v>AM</v>
      </c>
      <c r="E155" t="str">
        <v>December</v>
      </c>
      <c r="F155" t="str">
        <v>WED</v>
      </c>
      <c r="G155" s="31">
        <v>695</v>
      </c>
      <c r="H155" t="str">
        <v>SINGLE</v>
      </c>
      <c r="I155">
        <v>695</v>
      </c>
      <c r="L155">
        <v>1284</v>
      </c>
      <c r="M155" s="31">
        <f t="shared" si="7"/>
        <v>228</v>
      </c>
      <c r="N155">
        <f t="shared" si="8"/>
        <v>0.78350515463917525</v>
      </c>
      <c r="O155">
        <f t="shared" si="9"/>
        <v>0.78408592997614768</v>
      </c>
      <c r="P155" s="281">
        <f t="shared" si="10"/>
        <v>1352.5463118314435</v>
      </c>
      <c r="W155" s="69" t="str" cm="1">
        <f t="array" ref="W155">_xlfn.TEXTJOIN(", ",TRUE,IFERROR(_xlfn._xlws.FILTER(Table3[Holiday Name],('SELECTED DATA'!Q155&gt;=Table3[start])*('SELECTED DATA'!Q155&lt;=Table3[end])),""))</f>
        <v/>
      </c>
      <c r="X155">
        <v>535</v>
      </c>
    </row>
    <row r="156" spans="3:24" x14ac:dyDescent="0.35">
      <c r="C156" s="36">
        <v>45275</v>
      </c>
      <c r="D156" t="str">
        <v>PM</v>
      </c>
      <c r="E156" t="str">
        <v>December</v>
      </c>
      <c r="F156" t="str">
        <v>FRI</v>
      </c>
      <c r="G156" s="31">
        <v>659</v>
      </c>
      <c r="H156" t="str">
        <v>SINGLE</v>
      </c>
      <c r="I156">
        <v>659</v>
      </c>
      <c r="L156">
        <v>568</v>
      </c>
      <c r="M156" s="31">
        <f t="shared" si="7"/>
        <v>57</v>
      </c>
      <c r="N156">
        <f t="shared" si="8"/>
        <v>0.19587628865979381</v>
      </c>
      <c r="O156">
        <f t="shared" si="9"/>
        <v>-0.85644338214172222</v>
      </c>
      <c r="P156" s="281">
        <f t="shared" si="10"/>
        <v>625.51268279352087</v>
      </c>
      <c r="W156" s="69" t="str" cm="1">
        <f t="array" ref="W156">_xlfn.TEXTJOIN(", ",TRUE,IFERROR(_xlfn._xlws.FILTER(Table3[Holiday Name],('SELECTED DATA'!Q156&gt;=Table3[start])*('SELECTED DATA'!Q156&lt;=Table3[end])),""))</f>
        <v/>
      </c>
      <c r="X156">
        <v>509</v>
      </c>
    </row>
    <row r="157" spans="3:24" x14ac:dyDescent="0.35">
      <c r="C157" s="36">
        <v>45276</v>
      </c>
      <c r="D157" t="str">
        <v>PM</v>
      </c>
      <c r="E157" t="str">
        <v>December</v>
      </c>
      <c r="F157" t="str">
        <v>SAT</v>
      </c>
      <c r="G157" s="31">
        <v>1181</v>
      </c>
      <c r="H157" t="str">
        <v>SINGLE</v>
      </c>
      <c r="I157">
        <v>1181</v>
      </c>
      <c r="L157">
        <v>988</v>
      </c>
      <c r="M157" s="31">
        <f t="shared" si="7"/>
        <v>143</v>
      </c>
      <c r="N157">
        <f t="shared" si="8"/>
        <v>0.49140893470790376</v>
      </c>
      <c r="O157">
        <f t="shared" si="9"/>
        <v>-2.1536271847868792E-2</v>
      </c>
      <c r="P157" s="281">
        <f t="shared" si="10"/>
        <v>995.51859602092975</v>
      </c>
      <c r="W157" s="69" t="str" cm="1">
        <f t="array" ref="W157">_xlfn.TEXTJOIN(", ",TRUE,IFERROR(_xlfn._xlws.FILTER(Table3[Holiday Name],('SELECTED DATA'!Q157&gt;=Table3[start])*('SELECTED DATA'!Q157&lt;=Table3[end])),""))</f>
        <v/>
      </c>
      <c r="X157">
        <v>438.5</v>
      </c>
    </row>
    <row r="158" spans="3:24" x14ac:dyDescent="0.35">
      <c r="C158" s="36">
        <v>45277</v>
      </c>
      <c r="D158" t="str">
        <v>PM</v>
      </c>
      <c r="E158" t="str">
        <v>December</v>
      </c>
      <c r="F158" t="str">
        <v>SUN</v>
      </c>
      <c r="G158" s="31">
        <v>1390</v>
      </c>
      <c r="H158" t="str">
        <v>SINGLE</v>
      </c>
      <c r="I158">
        <v>1390</v>
      </c>
      <c r="L158">
        <v>731</v>
      </c>
      <c r="M158" s="31">
        <f t="shared" ref="M158:M221" si="11">_xlfn.RANK.AVG(L158,_xlfn.ANCHORARRAY($L$29),1)</f>
        <v>90.5</v>
      </c>
      <c r="N158">
        <f t="shared" ref="N158:N221" si="12">IF(M158="","X",MIN(MAX(M158 / COUNT($M$29:$M$319), 1/(2*COUNT($M$29:$M$319))), 1-1/(2*COUNT($M$29:$M$319))))</f>
        <v>0.31099656357388317</v>
      </c>
      <c r="O158">
        <f t="shared" ref="O158:O221" si="13">IFERROR(_xlfn.NORM.S.INV(N158),"X")</f>
        <v>-0.49302754149128974</v>
      </c>
      <c r="P158" s="281">
        <f t="shared" ref="P158:P221" si="14">IFERROR(O158*$B$27+$B$8,"X")</f>
        <v>786.56773711428627</v>
      </c>
      <c r="W158" s="69" t="str" cm="1">
        <f t="array" ref="W158">_xlfn.TEXTJOIN(", ",TRUE,IFERROR(_xlfn._xlws.FILTER(Table3[Holiday Name],('SELECTED DATA'!Q158&gt;=Table3[start])*('SELECTED DATA'!Q158&lt;=Table3[end])),""))</f>
        <v/>
      </c>
      <c r="X158">
        <v>1084.5</v>
      </c>
    </row>
    <row r="159" spans="3:24" x14ac:dyDescent="0.35">
      <c r="C159" s="36">
        <v>45278</v>
      </c>
      <c r="D159" t="str">
        <v>PM</v>
      </c>
      <c r="E159" t="str">
        <v>December</v>
      </c>
      <c r="F159" t="str">
        <v>MON</v>
      </c>
      <c r="G159" s="31">
        <v>1140</v>
      </c>
      <c r="H159" t="str">
        <v>SINGLE</v>
      </c>
      <c r="I159">
        <v>1140</v>
      </c>
      <c r="L159">
        <v>1036.5</v>
      </c>
      <c r="M159" s="31">
        <f t="shared" si="11"/>
        <v>160</v>
      </c>
      <c r="N159">
        <f t="shared" si="12"/>
        <v>0.54982817869415812</v>
      </c>
      <c r="O159">
        <f t="shared" si="13"/>
        <v>0.12522725259729672</v>
      </c>
      <c r="P159" s="281">
        <f t="shared" si="14"/>
        <v>1060.5598098533212</v>
      </c>
      <c r="W159" s="69" t="str" cm="1">
        <f t="array" ref="W159">_xlfn.TEXTJOIN(", ",TRUE,IFERROR(_xlfn._xlws.FILTER(Table3[Holiday Name],('SELECTED DATA'!Q159&gt;=Table3[start])*('SELECTED DATA'!Q159&lt;=Table3[end])),""))</f>
        <v/>
      </c>
      <c r="X159">
        <v>1199</v>
      </c>
    </row>
    <row r="160" spans="3:24" x14ac:dyDescent="0.35">
      <c r="C160" s="36">
        <v>45281</v>
      </c>
      <c r="D160" t="str">
        <v>PM</v>
      </c>
      <c r="E160" t="str">
        <v>December</v>
      </c>
      <c r="F160" t="str">
        <v>THU</v>
      </c>
      <c r="G160" s="31">
        <v>1102</v>
      </c>
      <c r="H160" t="str">
        <v>SINGLE</v>
      </c>
      <c r="I160">
        <v>1102</v>
      </c>
      <c r="L160">
        <v>1264</v>
      </c>
      <c r="M160" s="31">
        <f t="shared" si="11"/>
        <v>220</v>
      </c>
      <c r="N160">
        <f t="shared" si="12"/>
        <v>0.75601374570446733</v>
      </c>
      <c r="O160">
        <f t="shared" si="13"/>
        <v>0.69353716874947002</v>
      </c>
      <c r="P160" s="281">
        <f t="shared" si="14"/>
        <v>1312.4178033109022</v>
      </c>
      <c r="W160" s="69" t="str" cm="1">
        <f t="array" ref="W160">_xlfn.TEXTJOIN(", ",TRUE,IFERROR(_xlfn._xlws.FILTER(Table3[Holiday Name],('SELECTED DATA'!Q160&gt;=Table3[start])*('SELECTED DATA'!Q160&lt;=Table3[end])),""))</f>
        <v/>
      </c>
      <c r="X160">
        <v>465</v>
      </c>
    </row>
    <row r="161" spans="3:24" x14ac:dyDescent="0.35">
      <c r="C161" s="36">
        <v>45282</v>
      </c>
      <c r="D161" t="str">
        <v>PM</v>
      </c>
      <c r="E161" t="str">
        <v>December</v>
      </c>
      <c r="F161" t="str">
        <v>FRI</v>
      </c>
      <c r="G161" s="31">
        <v>1445</v>
      </c>
      <c r="H161" t="str">
        <v>SINGLE</v>
      </c>
      <c r="I161">
        <v>1445</v>
      </c>
      <c r="L161">
        <v>1271</v>
      </c>
      <c r="M161" s="31">
        <f t="shared" si="11"/>
        <v>221</v>
      </c>
      <c r="N161">
        <f t="shared" si="12"/>
        <v>0.75945017182130581</v>
      </c>
      <c r="O161">
        <f t="shared" si="13"/>
        <v>0.70453500829526861</v>
      </c>
      <c r="P161" s="281">
        <f t="shared" si="14"/>
        <v>1317.2917175637576</v>
      </c>
      <c r="W161" s="69" t="str" cm="1">
        <f t="array" ref="W161">_xlfn.TEXTJOIN(", ",TRUE,IFERROR(_xlfn._xlws.FILTER(Table3[Holiday Name],('SELECTED DATA'!Q161&gt;=Table3[start])*('SELECTED DATA'!Q161&lt;=Table3[end])),""))</f>
        <v/>
      </c>
      <c r="X161">
        <v>698.5</v>
      </c>
    </row>
    <row r="162" spans="3:24" x14ac:dyDescent="0.35">
      <c r="C162" s="36">
        <v>45283</v>
      </c>
      <c r="D162" t="str">
        <v>PM</v>
      </c>
      <c r="E162" t="str">
        <v>December</v>
      </c>
      <c r="F162" t="str">
        <v>SAT</v>
      </c>
      <c r="G162" s="31">
        <v>1427</v>
      </c>
      <c r="H162" t="str">
        <v>SINGLE</v>
      </c>
      <c r="I162">
        <v>1427</v>
      </c>
      <c r="L162">
        <v>410</v>
      </c>
      <c r="M162" s="31">
        <f t="shared" si="11"/>
        <v>31</v>
      </c>
      <c r="N162">
        <f t="shared" si="12"/>
        <v>0.10652920962199312</v>
      </c>
      <c r="O162">
        <f t="shared" si="13"/>
        <v>-1.2451995193805165</v>
      </c>
      <c r="P162" s="281">
        <f t="shared" si="14"/>
        <v>453.22756531359732</v>
      </c>
      <c r="W162" s="69" t="str" cm="1">
        <f t="array" ref="W162">_xlfn.TEXTJOIN(", ",TRUE,IFERROR(_xlfn._xlws.FILTER(Table3[Holiday Name],('SELECTED DATA'!Q162&gt;=Table3[start])*('SELECTED DATA'!Q162&lt;=Table3[end])),""))</f>
        <v/>
      </c>
      <c r="X162">
        <v>1617</v>
      </c>
    </row>
    <row r="163" spans="3:24" x14ac:dyDescent="0.35">
      <c r="C163" s="36">
        <v>45287</v>
      </c>
      <c r="D163" t="str">
        <v>AM</v>
      </c>
      <c r="E163" t="str">
        <v>December</v>
      </c>
      <c r="F163" t="str">
        <v>WED</v>
      </c>
      <c r="G163" s="31">
        <v>1065.5</v>
      </c>
      <c r="H163" t="str">
        <v>DOUBLE</v>
      </c>
      <c r="I163">
        <v>1065.5</v>
      </c>
      <c r="L163">
        <v>1448</v>
      </c>
      <c r="M163" s="31">
        <f t="shared" si="11"/>
        <v>265</v>
      </c>
      <c r="N163">
        <f t="shared" si="12"/>
        <v>0.9106529209621993</v>
      </c>
      <c r="O163">
        <f t="shared" si="13"/>
        <v>1.3447866022828647</v>
      </c>
      <c r="P163" s="281">
        <f t="shared" si="14"/>
        <v>1601.0321155168986</v>
      </c>
      <c r="W163" s="69" t="str" cm="1">
        <f t="array" ref="W163">_xlfn.TEXTJOIN(", ",TRUE,IFERROR(_xlfn._xlws.FILTER(Table3[Holiday Name],('SELECTED DATA'!Q163&gt;=Table3[start])*('SELECTED DATA'!Q163&lt;=Table3[end])),""))</f>
        <v/>
      </c>
      <c r="X163">
        <v>322</v>
      </c>
    </row>
    <row r="164" spans="3:24" x14ac:dyDescent="0.35">
      <c r="C164" s="36">
        <v>45287</v>
      </c>
      <c r="D164" t="str">
        <v>PM</v>
      </c>
      <c r="E164" t="str">
        <v>December</v>
      </c>
      <c r="F164" t="str">
        <v>WED</v>
      </c>
      <c r="G164" s="31">
        <v>1625.5</v>
      </c>
      <c r="H164" t="str">
        <v>DOUBLE</v>
      </c>
      <c r="I164">
        <v>1625.5</v>
      </c>
      <c r="L164">
        <v>306</v>
      </c>
      <c r="M164" s="31">
        <f t="shared" si="11"/>
        <v>13</v>
      </c>
      <c r="N164">
        <f t="shared" si="12"/>
        <v>4.4673539518900345E-2</v>
      </c>
      <c r="O164">
        <f t="shared" si="13"/>
        <v>-1.6988519679601708</v>
      </c>
      <c r="P164" s="281">
        <f t="shared" si="14"/>
        <v>252.18233949741375</v>
      </c>
      <c r="W164" s="69" t="str" cm="1">
        <f t="array" ref="W164">_xlfn.TEXTJOIN(", ",TRUE,IFERROR(_xlfn._xlws.FILTER(Table3[Holiday Name],('SELECTED DATA'!Q164&gt;=Table3[start])*('SELECTED DATA'!Q164&lt;=Table3[end])),""))</f>
        <v/>
      </c>
      <c r="X164">
        <v>1072</v>
      </c>
    </row>
    <row r="165" spans="3:24" x14ac:dyDescent="0.35">
      <c r="C165" s="36">
        <v>45289</v>
      </c>
      <c r="D165" t="str">
        <v>PM</v>
      </c>
      <c r="E165" t="str">
        <v>December</v>
      </c>
      <c r="F165" t="str">
        <v>FRI</v>
      </c>
      <c r="G165" s="31">
        <v>1304</v>
      </c>
      <c r="H165" t="str">
        <v>SINGLE</v>
      </c>
      <c r="I165">
        <v>1304</v>
      </c>
      <c r="L165">
        <v>835.5</v>
      </c>
      <c r="M165" s="31">
        <f t="shared" si="11"/>
        <v>105</v>
      </c>
      <c r="N165">
        <f t="shared" si="12"/>
        <v>0.36082474226804123</v>
      </c>
      <c r="O165">
        <f t="shared" si="13"/>
        <v>-0.35625516243570465</v>
      </c>
      <c r="P165" s="281">
        <f t="shared" si="14"/>
        <v>847.18117349876695</v>
      </c>
      <c r="W165" s="69" t="str" cm="1">
        <f t="array" ref="W165">_xlfn.TEXTJOIN(", ",TRUE,IFERROR(_xlfn._xlws.FILTER(Table3[Holiday Name],('SELECTED DATA'!Q165&gt;=Table3[start])*('SELECTED DATA'!Q165&lt;=Table3[end])),""))</f>
        <v/>
      </c>
      <c r="X165">
        <v>1044.5</v>
      </c>
    </row>
    <row r="166" spans="3:24" x14ac:dyDescent="0.35">
      <c r="C166" s="36">
        <v>45290</v>
      </c>
      <c r="D166" t="str">
        <v>PM</v>
      </c>
      <c r="E166" t="str">
        <v>December</v>
      </c>
      <c r="F166" t="str">
        <v>SAT</v>
      </c>
      <c r="G166" s="31">
        <v>1261</v>
      </c>
      <c r="H166" t="str">
        <v>SINGLE</v>
      </c>
      <c r="I166">
        <v>1261</v>
      </c>
      <c r="L166">
        <v>535</v>
      </c>
      <c r="M166" s="31">
        <f t="shared" si="11"/>
        <v>50</v>
      </c>
      <c r="N166">
        <f t="shared" si="12"/>
        <v>0.1718213058419244</v>
      </c>
      <c r="O166">
        <f t="shared" si="13"/>
        <v>-0.94699247843129863</v>
      </c>
      <c r="P166" s="281">
        <f t="shared" si="14"/>
        <v>585.38402578310286</v>
      </c>
      <c r="W166" s="69" t="str" cm="1">
        <f t="array" ref="W166">_xlfn.TEXTJOIN(", ",TRUE,IFERROR(_xlfn._xlws.FILTER(Table3[Holiday Name],('SELECTED DATA'!Q166&gt;=Table3[start])*('SELECTED DATA'!Q166&lt;=Table3[end])),""))</f>
        <v/>
      </c>
      <c r="X166">
        <v>695</v>
      </c>
    </row>
    <row r="167" spans="3:24" x14ac:dyDescent="0.35">
      <c r="C167" s="36">
        <v>45292</v>
      </c>
      <c r="D167" t="str">
        <v>AM</v>
      </c>
      <c r="E167" t="str">
        <v>January</v>
      </c>
      <c r="F167" t="str">
        <v>MON</v>
      </c>
      <c r="G167" s="31">
        <v>298</v>
      </c>
      <c r="H167" t="str">
        <v>DOUBLE</v>
      </c>
      <c r="I167">
        <v>298</v>
      </c>
      <c r="L167">
        <v>509</v>
      </c>
      <c r="M167" s="31">
        <f t="shared" si="11"/>
        <v>44</v>
      </c>
      <c r="N167">
        <f t="shared" si="12"/>
        <v>0.15120274914089346</v>
      </c>
      <c r="O167">
        <f t="shared" si="13"/>
        <v>-1.0312886093948022</v>
      </c>
      <c r="P167" s="281">
        <f t="shared" si="14"/>
        <v>548.02649638356195</v>
      </c>
      <c r="W167" s="69" t="str" cm="1">
        <f t="array" ref="W167">_xlfn.TEXTJOIN(", ",TRUE,IFERROR(_xlfn._xlws.FILTER(Table3[Holiday Name],('SELECTED DATA'!Q167&gt;=Table3[start])*('SELECTED DATA'!Q167&lt;=Table3[end])),""))</f>
        <v/>
      </c>
      <c r="X167">
        <v>659</v>
      </c>
    </row>
    <row r="168" spans="3:24" x14ac:dyDescent="0.35">
      <c r="C168" s="36">
        <v>45292</v>
      </c>
      <c r="D168" t="str">
        <v>PM</v>
      </c>
      <c r="E168" t="str">
        <v>January</v>
      </c>
      <c r="F168" t="str">
        <v>MON</v>
      </c>
      <c r="G168" s="31">
        <v>946.5</v>
      </c>
      <c r="H168" t="str">
        <v>DOUBLE</v>
      </c>
      <c r="I168">
        <v>946.5</v>
      </c>
      <c r="L168">
        <v>438.5</v>
      </c>
      <c r="M168" s="31">
        <f t="shared" si="11"/>
        <v>35</v>
      </c>
      <c r="N168">
        <f t="shared" si="12"/>
        <v>0.12027491408934708</v>
      </c>
      <c r="O168">
        <f t="shared" si="13"/>
        <v>-1.1736136077642985</v>
      </c>
      <c r="P168" s="281">
        <f t="shared" si="14"/>
        <v>484.95230483875594</v>
      </c>
      <c r="W168" s="69" t="str" cm="1">
        <f t="array" ref="W168">_xlfn.TEXTJOIN(", ",TRUE,IFERROR(_xlfn._xlws.FILTER(Table3[Holiday Name],('SELECTED DATA'!Q168&gt;=Table3[start])*('SELECTED DATA'!Q168&lt;=Table3[end])),""))</f>
        <v/>
      </c>
      <c r="X168">
        <v>1181</v>
      </c>
    </row>
    <row r="169" spans="3:24" x14ac:dyDescent="0.35">
      <c r="C169" s="36">
        <v>45294</v>
      </c>
      <c r="D169" t="str">
        <v>PM</v>
      </c>
      <c r="E169" t="str">
        <v>January</v>
      </c>
      <c r="F169" t="str">
        <v>WED</v>
      </c>
      <c r="G169" s="31">
        <v>1426.5</v>
      </c>
      <c r="H169" t="str">
        <v>SINGLE</v>
      </c>
      <c r="I169">
        <v>1426.5</v>
      </c>
      <c r="L169">
        <v>1084.5</v>
      </c>
      <c r="M169" s="31">
        <f t="shared" si="11"/>
        <v>174</v>
      </c>
      <c r="N169">
        <f t="shared" si="12"/>
        <v>0.59793814432989689</v>
      </c>
      <c r="O169">
        <f t="shared" si="13"/>
        <v>0.24801382342514405</v>
      </c>
      <c r="P169" s="281">
        <f t="shared" si="14"/>
        <v>1114.9751534419386</v>
      </c>
      <c r="W169" s="69" t="str" cm="1">
        <f t="array" ref="W169">_xlfn.TEXTJOIN(", ",TRUE,IFERROR(_xlfn._xlws.FILTER(Table3[Holiday Name],('SELECTED DATA'!Q169&gt;=Table3[start])*('SELECTED DATA'!Q169&lt;=Table3[end])),""))</f>
        <v/>
      </c>
      <c r="X169">
        <v>1390</v>
      </c>
    </row>
    <row r="170" spans="3:24" x14ac:dyDescent="0.35">
      <c r="C170" s="36">
        <v>45296</v>
      </c>
      <c r="D170" t="str">
        <v>PM</v>
      </c>
      <c r="E170" t="str">
        <v>January</v>
      </c>
      <c r="F170" t="str">
        <v>FRI</v>
      </c>
      <c r="G170" s="31">
        <v>1373.5</v>
      </c>
      <c r="H170" t="str">
        <v>SINGLE</v>
      </c>
      <c r="I170">
        <v>1373.5</v>
      </c>
      <c r="L170">
        <v>1199</v>
      </c>
      <c r="M170" s="31">
        <f t="shared" si="11"/>
        <v>207</v>
      </c>
      <c r="N170">
        <f t="shared" si="12"/>
        <v>0.71134020618556704</v>
      </c>
      <c r="O170">
        <f t="shared" si="13"/>
        <v>0.55730422776866573</v>
      </c>
      <c r="P170" s="281">
        <f t="shared" si="14"/>
        <v>1252.043429781472</v>
      </c>
      <c r="W170" s="69" t="str" cm="1">
        <f t="array" ref="W170">_xlfn.TEXTJOIN(", ",TRUE,IFERROR(_xlfn._xlws.FILTER(Table3[Holiday Name],('SELECTED DATA'!Q170&gt;=Table3[start])*('SELECTED DATA'!Q170&lt;=Table3[end])),""))</f>
        <v/>
      </c>
      <c r="X170">
        <v>1140</v>
      </c>
    </row>
    <row r="171" spans="3:24" x14ac:dyDescent="0.35">
      <c r="C171" s="36">
        <v>45297</v>
      </c>
      <c r="D171" t="str">
        <v>PM</v>
      </c>
      <c r="E171" t="str">
        <v>January</v>
      </c>
      <c r="F171" t="str">
        <v>SAT</v>
      </c>
      <c r="G171" s="31">
        <v>1280</v>
      </c>
      <c r="H171" t="str">
        <v>SINGLE</v>
      </c>
      <c r="I171">
        <v>1280</v>
      </c>
      <c r="L171">
        <v>465</v>
      </c>
      <c r="M171" s="31">
        <f t="shared" si="11"/>
        <v>38</v>
      </c>
      <c r="N171">
        <f t="shared" si="12"/>
        <v>0.13058419243986255</v>
      </c>
      <c r="O171">
        <f t="shared" si="13"/>
        <v>-1.1236338614751447</v>
      </c>
      <c r="P171" s="281">
        <f t="shared" si="14"/>
        <v>507.10183673348837</v>
      </c>
      <c r="W171" s="69" t="str" cm="1">
        <f t="array" ref="W171">_xlfn.TEXTJOIN(", ",TRUE,IFERROR(_xlfn._xlws.FILTER(Table3[Holiday Name],('SELECTED DATA'!Q171&gt;=Table3[start])*('SELECTED DATA'!Q171&lt;=Table3[end])),""))</f>
        <v/>
      </c>
      <c r="X171">
        <v>1102</v>
      </c>
    </row>
    <row r="172" spans="3:24" x14ac:dyDescent="0.35">
      <c r="C172" s="36">
        <v>45298</v>
      </c>
      <c r="D172" t="str">
        <v>PM</v>
      </c>
      <c r="E172" t="str">
        <v>January</v>
      </c>
      <c r="F172" t="str">
        <v>SUN</v>
      </c>
      <c r="G172" s="31">
        <v>1389.5</v>
      </c>
      <c r="H172" t="str">
        <v>SINGLE</v>
      </c>
      <c r="I172">
        <v>1389.5</v>
      </c>
      <c r="L172">
        <v>698.5</v>
      </c>
      <c r="M172" s="31">
        <f t="shared" si="11"/>
        <v>86</v>
      </c>
      <c r="N172">
        <f t="shared" si="12"/>
        <v>0.29553264604810997</v>
      </c>
      <c r="O172">
        <f t="shared" si="13"/>
        <v>-0.53729292446981769</v>
      </c>
      <c r="P172" s="281">
        <f t="shared" si="14"/>
        <v>766.95064049192456</v>
      </c>
      <c r="W172" s="69" t="str" cm="1">
        <f t="array" ref="W172">_xlfn.TEXTJOIN(", ",TRUE,IFERROR(_xlfn._xlws.FILTER(Table3[Holiday Name],('SELECTED DATA'!Q172&gt;=Table3[start])*('SELECTED DATA'!Q172&lt;=Table3[end])),""))</f>
        <v/>
      </c>
      <c r="X172">
        <v>1445</v>
      </c>
    </row>
    <row r="173" spans="3:24" x14ac:dyDescent="0.35">
      <c r="C173" s="36">
        <v>45299</v>
      </c>
      <c r="D173" t="str">
        <v>PM</v>
      </c>
      <c r="E173" t="str">
        <v>January</v>
      </c>
      <c r="F173" t="str">
        <v>MON</v>
      </c>
      <c r="G173" s="31">
        <v>491.5</v>
      </c>
      <c r="H173" t="str">
        <v>SINGLE</v>
      </c>
      <c r="I173">
        <v>491.5</v>
      </c>
      <c r="L173">
        <v>1617</v>
      </c>
      <c r="M173" s="31">
        <f t="shared" si="11"/>
        <v>280</v>
      </c>
      <c r="N173">
        <f t="shared" si="12"/>
        <v>0.96219931271477666</v>
      </c>
      <c r="O173">
        <f t="shared" si="13"/>
        <v>1.7767986470752439</v>
      </c>
      <c r="P173" s="281">
        <f t="shared" si="14"/>
        <v>1792.4869602389476</v>
      </c>
      <c r="W173" s="69" t="str" cm="1">
        <f t="array" ref="W173">_xlfn.TEXTJOIN(", ",TRUE,IFERROR(_xlfn._xlws.FILTER(Table3[Holiday Name],('SELECTED DATA'!Q173&gt;=Table3[start])*('SELECTED DATA'!Q173&lt;=Table3[end])),""))</f>
        <v/>
      </c>
      <c r="X173">
        <v>1427</v>
      </c>
    </row>
    <row r="174" spans="3:24" x14ac:dyDescent="0.35">
      <c r="C174" s="36">
        <v>45301</v>
      </c>
      <c r="D174" t="str">
        <v>PM</v>
      </c>
      <c r="E174" t="str">
        <v>January</v>
      </c>
      <c r="F174" t="str">
        <v>WED</v>
      </c>
      <c r="G174" s="31">
        <v>1140.5</v>
      </c>
      <c r="H174" t="str">
        <v>SINGLE</v>
      </c>
      <c r="I174">
        <v>1140.5</v>
      </c>
      <c r="L174">
        <v>322</v>
      </c>
      <c r="M174" s="31">
        <f t="shared" si="11"/>
        <v>17</v>
      </c>
      <c r="N174">
        <f t="shared" si="12"/>
        <v>5.8419243986254296E-2</v>
      </c>
      <c r="O174">
        <f t="shared" si="13"/>
        <v>-1.5681827541913638</v>
      </c>
      <c r="P174" s="281">
        <f t="shared" si="14"/>
        <v>310.09103517760536</v>
      </c>
      <c r="W174" s="69" t="str" cm="1">
        <f t="array" ref="W174">_xlfn.TEXTJOIN(", ",TRUE,IFERROR(_xlfn._xlws.FILTER(Table3[Holiday Name],('SELECTED DATA'!Q174&gt;=Table3[start])*('SELECTED DATA'!Q174&lt;=Table3[end])),""))</f>
        <v/>
      </c>
      <c r="X174">
        <v>1065.5</v>
      </c>
    </row>
    <row r="175" spans="3:24" x14ac:dyDescent="0.35">
      <c r="C175" s="36">
        <v>45303</v>
      </c>
      <c r="D175" t="str">
        <v>PM</v>
      </c>
      <c r="E175" t="str">
        <v>January</v>
      </c>
      <c r="F175" t="str">
        <v>FRI</v>
      </c>
      <c r="G175" s="31">
        <v>1276.5</v>
      </c>
      <c r="H175" t="str">
        <v>SINGLE</v>
      </c>
      <c r="I175">
        <v>1276.5</v>
      </c>
      <c r="L175">
        <v>1072</v>
      </c>
      <c r="M175" s="31">
        <f t="shared" si="11"/>
        <v>172</v>
      </c>
      <c r="N175">
        <f t="shared" si="12"/>
        <v>0.59106529209621994</v>
      </c>
      <c r="O175">
        <f t="shared" si="13"/>
        <v>0.23028615813251679</v>
      </c>
      <c r="P175" s="281">
        <f t="shared" si="14"/>
        <v>1107.1187812717701</v>
      </c>
      <c r="W175" s="69" t="str" cm="1">
        <f t="array" ref="W175">_xlfn.TEXTJOIN(", ",TRUE,IFERROR(_xlfn._xlws.FILTER(Table3[Holiday Name],('SELECTED DATA'!Q175&gt;=Table3[start])*('SELECTED DATA'!Q175&lt;=Table3[end])),""))</f>
        <v/>
      </c>
      <c r="X175">
        <v>1625.5</v>
      </c>
    </row>
    <row r="176" spans="3:24" x14ac:dyDescent="0.35">
      <c r="C176" s="36">
        <v>45304</v>
      </c>
      <c r="D176" t="str">
        <v>PM</v>
      </c>
      <c r="E176" t="str">
        <v>January</v>
      </c>
      <c r="F176" t="str">
        <v>SAT</v>
      </c>
      <c r="G176" s="31">
        <v>1227</v>
      </c>
      <c r="H176" t="str">
        <v>SINGLE</v>
      </c>
      <c r="I176">
        <v>1227</v>
      </c>
      <c r="L176">
        <v>1044.5</v>
      </c>
      <c r="M176" s="31">
        <f t="shared" si="11"/>
        <v>164</v>
      </c>
      <c r="N176">
        <f t="shared" si="12"/>
        <v>0.56357388316151202</v>
      </c>
      <c r="O176">
        <f t="shared" si="13"/>
        <v>0.1600366120098132</v>
      </c>
      <c r="P176" s="281">
        <f t="shared" si="14"/>
        <v>1075.9862790491054</v>
      </c>
      <c r="W176" s="69" t="str" cm="1">
        <f t="array" ref="W176">_xlfn.TEXTJOIN(", ",TRUE,IFERROR(_xlfn._xlws.FILTER(Table3[Holiday Name],('SELECTED DATA'!Q176&gt;=Table3[start])*('SELECTED DATA'!Q176&lt;=Table3[end])),""))</f>
        <v/>
      </c>
      <c r="X176">
        <v>1304</v>
      </c>
    </row>
    <row r="177" spans="3:24" x14ac:dyDescent="0.35">
      <c r="C177" s="36">
        <v>45308</v>
      </c>
      <c r="D177" t="str">
        <v>PM</v>
      </c>
      <c r="E177" t="str">
        <v>January</v>
      </c>
      <c r="F177" t="str">
        <v>WED</v>
      </c>
      <c r="G177" s="31">
        <v>454</v>
      </c>
      <c r="H177" t="str">
        <v>SINGLE</v>
      </c>
      <c r="I177">
        <v>454</v>
      </c>
      <c r="L177">
        <v>695</v>
      </c>
      <c r="M177" s="31">
        <f t="shared" si="11"/>
        <v>83</v>
      </c>
      <c r="N177">
        <f t="shared" si="12"/>
        <v>0.28522336769759449</v>
      </c>
      <c r="O177">
        <f t="shared" si="13"/>
        <v>-0.56739369086265878</v>
      </c>
      <c r="P177" s="281">
        <f t="shared" si="14"/>
        <v>753.61087919308011</v>
      </c>
      <c r="W177" s="69" t="str" cm="1">
        <f t="array" ref="W177">_xlfn.TEXTJOIN(", ",TRUE,IFERROR(_xlfn._xlws.FILTER(Table3[Holiday Name],('SELECTED DATA'!Q177&gt;=Table3[start])*('SELECTED DATA'!Q177&lt;=Table3[end])),""))</f>
        <v/>
      </c>
      <c r="X177">
        <v>1261</v>
      </c>
    </row>
    <row r="178" spans="3:24" x14ac:dyDescent="0.35">
      <c r="C178" s="36">
        <v>45309</v>
      </c>
      <c r="D178" t="str">
        <v>AM</v>
      </c>
      <c r="E178" t="str">
        <v>January</v>
      </c>
      <c r="F178" t="str">
        <v>THU</v>
      </c>
      <c r="G178" s="31">
        <v>919</v>
      </c>
      <c r="H178" t="str">
        <v>SINGLE</v>
      </c>
      <c r="I178">
        <v>919</v>
      </c>
      <c r="L178">
        <v>659</v>
      </c>
      <c r="M178" s="31">
        <f t="shared" si="11"/>
        <v>79</v>
      </c>
      <c r="N178">
        <f t="shared" si="12"/>
        <v>0.27147766323024053</v>
      </c>
      <c r="O178">
        <f t="shared" si="13"/>
        <v>-0.60835005925982544</v>
      </c>
      <c r="P178" s="281">
        <f t="shared" si="14"/>
        <v>735.46023907463837</v>
      </c>
      <c r="W178" s="69" t="str" cm="1">
        <f t="array" ref="W178">_xlfn.TEXTJOIN(", ",TRUE,IFERROR(_xlfn._xlws.FILTER(Table3[Holiday Name],('SELECTED DATA'!Q178&gt;=Table3[start])*('SELECTED DATA'!Q178&lt;=Table3[end])),""))</f>
        <v/>
      </c>
      <c r="X178">
        <v>298</v>
      </c>
    </row>
    <row r="179" spans="3:24" x14ac:dyDescent="0.35">
      <c r="C179" s="36">
        <v>45310</v>
      </c>
      <c r="D179" t="str">
        <v>PM</v>
      </c>
      <c r="E179" t="str">
        <v>January</v>
      </c>
      <c r="F179" t="str">
        <v>FRI</v>
      </c>
      <c r="G179" s="31">
        <v>1417</v>
      </c>
      <c r="H179" t="str">
        <v>SINGLE</v>
      </c>
      <c r="I179">
        <v>1417</v>
      </c>
      <c r="L179">
        <v>1181</v>
      </c>
      <c r="M179" s="31">
        <f t="shared" si="11"/>
        <v>194</v>
      </c>
      <c r="N179">
        <f t="shared" si="12"/>
        <v>0.66666666666666663</v>
      </c>
      <c r="O179">
        <f t="shared" si="13"/>
        <v>0.4307272992954575</v>
      </c>
      <c r="P179" s="281">
        <f t="shared" si="14"/>
        <v>1195.9483128087993</v>
      </c>
      <c r="W179" s="69" t="str" cm="1">
        <f t="array" ref="W179">_xlfn.TEXTJOIN(", ",TRUE,IFERROR(_xlfn._xlws.FILTER(Table3[Holiday Name],('SELECTED DATA'!Q179&gt;=Table3[start])*('SELECTED DATA'!Q179&lt;=Table3[end])),""))</f>
        <v/>
      </c>
      <c r="X179">
        <v>946.5</v>
      </c>
    </row>
    <row r="180" spans="3:24" x14ac:dyDescent="0.35">
      <c r="C180" s="36">
        <v>45311</v>
      </c>
      <c r="D180" t="str">
        <v>PM</v>
      </c>
      <c r="E180" t="str">
        <v>January</v>
      </c>
      <c r="F180" t="str">
        <v>SAT</v>
      </c>
      <c r="G180" s="31">
        <v>1544</v>
      </c>
      <c r="H180" t="str">
        <v>SINGLE</v>
      </c>
      <c r="I180">
        <v>1544</v>
      </c>
      <c r="L180">
        <v>1390</v>
      </c>
      <c r="M180" s="31">
        <f t="shared" si="11"/>
        <v>247</v>
      </c>
      <c r="N180">
        <f t="shared" si="12"/>
        <v>0.84879725085910651</v>
      </c>
      <c r="O180">
        <f t="shared" si="13"/>
        <v>1.0312886093948022</v>
      </c>
      <c r="P180" s="281">
        <f t="shared" si="14"/>
        <v>1462.0991615111752</v>
      </c>
      <c r="W180" s="69" t="str" cm="1">
        <f t="array" ref="W180">_xlfn.TEXTJOIN(", ",TRUE,IFERROR(_xlfn._xlws.FILTER(Table3[Holiday Name],('SELECTED DATA'!Q180&gt;=Table3[start])*('SELECTED DATA'!Q180&lt;=Table3[end])),""))</f>
        <v/>
      </c>
      <c r="X180">
        <v>1426.5</v>
      </c>
    </row>
    <row r="181" spans="3:24" x14ac:dyDescent="0.35">
      <c r="C181" s="36">
        <v>45313</v>
      </c>
      <c r="D181" t="str">
        <v>AM</v>
      </c>
      <c r="E181" t="str">
        <v>January</v>
      </c>
      <c r="F181" t="str">
        <v>MON</v>
      </c>
      <c r="G181" s="31">
        <v>283.5</v>
      </c>
      <c r="H181" t="str">
        <v>SINGLE</v>
      </c>
      <c r="I181">
        <v>283.5</v>
      </c>
      <c r="L181">
        <v>1140</v>
      </c>
      <c r="M181" s="31">
        <f t="shared" si="11"/>
        <v>187</v>
      </c>
      <c r="N181">
        <f t="shared" si="12"/>
        <v>0.6426116838487973</v>
      </c>
      <c r="O181">
        <f t="shared" si="13"/>
        <v>0.36544851460629246</v>
      </c>
      <c r="P181" s="281">
        <f t="shared" si="14"/>
        <v>1167.0187036996031</v>
      </c>
      <c r="W181" s="69" t="str" cm="1">
        <f t="array" ref="W181">_xlfn.TEXTJOIN(", ",TRUE,IFERROR(_xlfn._xlws.FILTER(Table3[Holiday Name],('SELECTED DATA'!Q181&gt;=Table3[start])*('SELECTED DATA'!Q181&lt;=Table3[end])),""))</f>
        <v/>
      </c>
      <c r="X181">
        <v>1373.5</v>
      </c>
    </row>
    <row r="182" spans="3:24" x14ac:dyDescent="0.35">
      <c r="C182" s="36">
        <v>45316</v>
      </c>
      <c r="D182" t="str">
        <v>PM</v>
      </c>
      <c r="E182" t="str">
        <v>January</v>
      </c>
      <c r="F182" t="str">
        <v>THU</v>
      </c>
      <c r="G182" s="31">
        <v>1739</v>
      </c>
      <c r="H182" t="str">
        <v>SINGLE</v>
      </c>
      <c r="I182">
        <v>1739</v>
      </c>
      <c r="L182">
        <v>1102</v>
      </c>
      <c r="M182" s="31">
        <f t="shared" si="11"/>
        <v>180</v>
      </c>
      <c r="N182">
        <f t="shared" si="12"/>
        <v>0.61855670103092786</v>
      </c>
      <c r="O182">
        <f t="shared" si="13"/>
        <v>0.30169235340959349</v>
      </c>
      <c r="P182" s="281">
        <f t="shared" si="14"/>
        <v>1138.7638758791095</v>
      </c>
      <c r="W182" s="69" t="str" cm="1">
        <f t="array" ref="W182">_xlfn.TEXTJOIN(", ",TRUE,IFERROR(_xlfn._xlws.FILTER(Table3[Holiday Name],('SELECTED DATA'!Q182&gt;=Table3[start])*('SELECTED DATA'!Q182&lt;=Table3[end])),""))</f>
        <v/>
      </c>
      <c r="X182">
        <v>1280</v>
      </c>
    </row>
    <row r="183" spans="3:24" x14ac:dyDescent="0.35">
      <c r="C183" s="36">
        <v>45317</v>
      </c>
      <c r="D183" t="str">
        <v>PM</v>
      </c>
      <c r="E183" t="str">
        <v>January</v>
      </c>
      <c r="F183" t="str">
        <v>FRI</v>
      </c>
      <c r="G183" s="31">
        <v>1224</v>
      </c>
      <c r="H183" t="str">
        <v>SINGLE</v>
      </c>
      <c r="I183">
        <v>1224</v>
      </c>
      <c r="L183">
        <v>1445</v>
      </c>
      <c r="M183" s="31">
        <f t="shared" si="11"/>
        <v>264</v>
      </c>
      <c r="N183">
        <f t="shared" si="12"/>
        <v>0.90721649484536082</v>
      </c>
      <c r="O183">
        <f t="shared" si="13"/>
        <v>1.3238074227748742</v>
      </c>
      <c r="P183" s="281">
        <f t="shared" si="14"/>
        <v>1591.7347692889048</v>
      </c>
      <c r="W183" s="69" t="str" cm="1">
        <f t="array" ref="W183">_xlfn.TEXTJOIN(", ",TRUE,IFERROR(_xlfn._xlws.FILTER(Table3[Holiday Name],('SELECTED DATA'!Q183&gt;=Table3[start])*('SELECTED DATA'!Q183&lt;=Table3[end])),""))</f>
        <v/>
      </c>
      <c r="X183">
        <v>1389.5</v>
      </c>
    </row>
    <row r="184" spans="3:24" x14ac:dyDescent="0.35">
      <c r="C184" s="36">
        <v>45318</v>
      </c>
      <c r="D184" t="str">
        <v>AM</v>
      </c>
      <c r="E184" t="str">
        <v>January</v>
      </c>
      <c r="F184" t="str">
        <v>SAT</v>
      </c>
      <c r="G184" s="31">
        <v>1188.5</v>
      </c>
      <c r="H184" t="str">
        <v>DOUBLE</v>
      </c>
      <c r="I184">
        <v>1188.5</v>
      </c>
      <c r="L184">
        <v>1427</v>
      </c>
      <c r="M184" s="31">
        <f t="shared" si="11"/>
        <v>259</v>
      </c>
      <c r="N184">
        <f t="shared" si="12"/>
        <v>0.89003436426116833</v>
      </c>
      <c r="O184">
        <f t="shared" si="13"/>
        <v>1.2267108945718099</v>
      </c>
      <c r="P184" s="281">
        <f t="shared" si="14"/>
        <v>1548.7044858645113</v>
      </c>
      <c r="W184" s="69" t="str" cm="1">
        <f t="array" ref="W184">_xlfn.TEXTJOIN(", ",TRUE,IFERROR(_xlfn._xlws.FILTER(Table3[Holiday Name],('SELECTED DATA'!Q184&gt;=Table3[start])*('SELECTED DATA'!Q184&lt;=Table3[end])),""))</f>
        <v/>
      </c>
      <c r="X184">
        <v>491.5</v>
      </c>
    </row>
    <row r="185" spans="3:24" x14ac:dyDescent="0.35">
      <c r="C185" s="36">
        <v>45318</v>
      </c>
      <c r="D185" t="str">
        <v>PM</v>
      </c>
      <c r="E185" t="str">
        <v>January</v>
      </c>
      <c r="F185" t="str">
        <v>SAT</v>
      </c>
      <c r="G185" s="31">
        <v>1192.5</v>
      </c>
      <c r="H185" t="str">
        <v>DOUBLE</v>
      </c>
      <c r="I185">
        <v>1192.5</v>
      </c>
      <c r="L185">
        <v>1065.5</v>
      </c>
      <c r="M185" s="31">
        <f t="shared" si="11"/>
        <v>169</v>
      </c>
      <c r="N185">
        <f t="shared" si="12"/>
        <v>0.58075601374570451</v>
      </c>
      <c r="O185">
        <f t="shared" si="13"/>
        <v>0.20382792168537744</v>
      </c>
      <c r="P185" s="281">
        <f t="shared" si="14"/>
        <v>1095.3932805324544</v>
      </c>
      <c r="W185" s="69" t="str" cm="1">
        <f t="array" ref="W185">_xlfn.TEXTJOIN(", ",TRUE,IFERROR(_xlfn._xlws.FILTER(Table3[Holiday Name],('SELECTED DATA'!Q185&gt;=Table3[start])*('SELECTED DATA'!Q185&lt;=Table3[end])),""))</f>
        <v/>
      </c>
      <c r="X185">
        <v>1140.5</v>
      </c>
    </row>
    <row r="186" spans="3:24" x14ac:dyDescent="0.35">
      <c r="C186" s="36">
        <v>45319</v>
      </c>
      <c r="D186" t="str">
        <v>PM</v>
      </c>
      <c r="E186" t="str">
        <v>January</v>
      </c>
      <c r="F186" t="str">
        <v>SUN</v>
      </c>
      <c r="G186" s="31">
        <v>908</v>
      </c>
      <c r="H186" t="str">
        <v>SINGLE</v>
      </c>
      <c r="I186">
        <v>908</v>
      </c>
      <c r="L186">
        <v>1625.5</v>
      </c>
      <c r="M186" s="31">
        <f t="shared" si="11"/>
        <v>282</v>
      </c>
      <c r="N186">
        <f t="shared" si="12"/>
        <v>0.96907216494845361</v>
      </c>
      <c r="O186">
        <f t="shared" si="13"/>
        <v>1.8673289134397622</v>
      </c>
      <c r="P186" s="281">
        <f t="shared" si="14"/>
        <v>1832.6072723885648</v>
      </c>
      <c r="W186" s="69" t="str" cm="1">
        <f t="array" ref="W186">_xlfn.TEXTJOIN(", ",TRUE,IFERROR(_xlfn._xlws.FILTER(Table3[Holiday Name],('SELECTED DATA'!Q186&gt;=Table3[start])*('SELECTED DATA'!Q186&lt;=Table3[end])),""))</f>
        <v/>
      </c>
      <c r="X186">
        <v>1276.5</v>
      </c>
    </row>
    <row r="187" spans="3:24" x14ac:dyDescent="0.35">
      <c r="C187" s="36">
        <v>45322</v>
      </c>
      <c r="D187" t="str">
        <v>PM</v>
      </c>
      <c r="E187" t="str">
        <v>January</v>
      </c>
      <c r="F187" t="str">
        <v>WED</v>
      </c>
      <c r="G187" s="31">
        <v>1320</v>
      </c>
      <c r="H187" t="str">
        <v>SINGLE</v>
      </c>
      <c r="I187">
        <v>1320</v>
      </c>
      <c r="L187">
        <v>1304</v>
      </c>
      <c r="M187" s="31">
        <f t="shared" si="11"/>
        <v>232</v>
      </c>
      <c r="N187">
        <f t="shared" si="12"/>
        <v>0.79725085910652926</v>
      </c>
      <c r="O187">
        <f t="shared" si="13"/>
        <v>0.8318417372884328</v>
      </c>
      <c r="P187" s="281">
        <f t="shared" si="14"/>
        <v>1373.7102603457579</v>
      </c>
      <c r="W187" s="69" t="str" cm="1">
        <f t="array" ref="W187">_xlfn.TEXTJOIN(", ",TRUE,IFERROR(_xlfn._xlws.FILTER(Table3[Holiday Name],('SELECTED DATA'!Q187&gt;=Table3[start])*('SELECTED DATA'!Q187&lt;=Table3[end])),""))</f>
        <v/>
      </c>
      <c r="X187">
        <v>1227</v>
      </c>
    </row>
    <row r="188" spans="3:24" x14ac:dyDescent="0.35">
      <c r="C188" s="36">
        <v>45323</v>
      </c>
      <c r="D188" t="str">
        <v>PM</v>
      </c>
      <c r="E188" t="str">
        <v>February</v>
      </c>
      <c r="F188" t="str">
        <v>THU</v>
      </c>
      <c r="G188" s="31">
        <v>1451.5</v>
      </c>
      <c r="H188" t="str">
        <v>SINGLE</v>
      </c>
      <c r="I188">
        <v>1451.5</v>
      </c>
      <c r="L188">
        <v>1261</v>
      </c>
      <c r="M188" s="31">
        <f t="shared" si="11"/>
        <v>218.5</v>
      </c>
      <c r="N188">
        <f t="shared" si="12"/>
        <v>0.75085910652920962</v>
      </c>
      <c r="O188">
        <f t="shared" si="13"/>
        <v>0.67719571371688758</v>
      </c>
      <c r="P188" s="281">
        <f t="shared" si="14"/>
        <v>1305.1757581561217</v>
      </c>
      <c r="W188" s="69" t="str" cm="1">
        <f t="array" ref="W188">_xlfn.TEXTJOIN(", ",TRUE,IFERROR(_xlfn._xlws.FILTER(Table3[Holiday Name],('SELECTED DATA'!Q188&gt;=Table3[start])*('SELECTED DATA'!Q188&lt;=Table3[end])),""))</f>
        <v/>
      </c>
      <c r="X188">
        <v>454</v>
      </c>
    </row>
    <row r="189" spans="3:24" x14ac:dyDescent="0.35">
      <c r="C189" s="36">
        <v>45324</v>
      </c>
      <c r="D189" t="str">
        <v>PM</v>
      </c>
      <c r="E189" t="str">
        <v>February</v>
      </c>
      <c r="F189" t="str">
        <v>FRI</v>
      </c>
      <c r="G189" s="31">
        <v>1462</v>
      </c>
      <c r="H189" t="str">
        <v>SINGLE</v>
      </c>
      <c r="I189">
        <v>1462</v>
      </c>
      <c r="L189">
        <v>298</v>
      </c>
      <c r="M189" s="31">
        <f t="shared" si="11"/>
        <v>12</v>
      </c>
      <c r="N189">
        <f t="shared" si="12"/>
        <v>4.1237113402061855E-2</v>
      </c>
      <c r="O189">
        <f t="shared" si="13"/>
        <v>-1.7365070052471254</v>
      </c>
      <c r="P189" s="281">
        <f t="shared" si="14"/>
        <v>235.49475079779404</v>
      </c>
      <c r="W189" s="69" t="str" cm="1">
        <f t="array" ref="W189">_xlfn.TEXTJOIN(", ",TRUE,IFERROR(_xlfn._xlws.FILTER(Table3[Holiday Name],('SELECTED DATA'!Q189&gt;=Table3[start])*('SELECTED DATA'!Q189&lt;=Table3[end])),""))</f>
        <v/>
      </c>
      <c r="X189">
        <v>919</v>
      </c>
    </row>
    <row r="190" spans="3:24" x14ac:dyDescent="0.35">
      <c r="C190" s="36">
        <v>45325</v>
      </c>
      <c r="D190" t="str">
        <v>AM</v>
      </c>
      <c r="E190" t="str">
        <v>February</v>
      </c>
      <c r="F190" t="str">
        <v>SAT</v>
      </c>
      <c r="G190" s="31">
        <v>207</v>
      </c>
      <c r="H190" t="str">
        <v>SINGLE</v>
      </c>
      <c r="I190">
        <v>207</v>
      </c>
      <c r="L190">
        <v>946.5</v>
      </c>
      <c r="M190" s="31">
        <f t="shared" si="11"/>
        <v>129</v>
      </c>
      <c r="N190">
        <f t="shared" si="12"/>
        <v>0.44329896907216493</v>
      </c>
      <c r="O190">
        <f t="shared" si="13"/>
        <v>-0.14261033072413581</v>
      </c>
      <c r="P190" s="281">
        <f t="shared" si="14"/>
        <v>941.86218661881662</v>
      </c>
      <c r="W190" s="69" t="str" cm="1">
        <f t="array" ref="W190">_xlfn.TEXTJOIN(", ",TRUE,IFERROR(_xlfn._xlws.FILTER(Table3[Holiday Name],('SELECTED DATA'!Q190&gt;=Table3[start])*('SELECTED DATA'!Q190&lt;=Table3[end])),""))</f>
        <v/>
      </c>
      <c r="X190">
        <v>1417</v>
      </c>
    </row>
    <row r="191" spans="3:24" x14ac:dyDescent="0.35">
      <c r="C191" s="36">
        <v>45326</v>
      </c>
      <c r="D191" t="str">
        <v>PM</v>
      </c>
      <c r="E191" t="str">
        <v>February</v>
      </c>
      <c r="F191" t="str">
        <v>SUN</v>
      </c>
      <c r="G191" s="31">
        <v>1094.5</v>
      </c>
      <c r="H191" t="str">
        <v>SINGLE</v>
      </c>
      <c r="I191">
        <v>1094.5</v>
      </c>
      <c r="L191">
        <v>1426.5</v>
      </c>
      <c r="M191" s="31">
        <f t="shared" si="11"/>
        <v>257</v>
      </c>
      <c r="N191">
        <f t="shared" si="12"/>
        <v>0.88316151202749138</v>
      </c>
      <c r="O191">
        <f t="shared" si="13"/>
        <v>1.1909404181820826</v>
      </c>
      <c r="P191" s="281">
        <f t="shared" si="14"/>
        <v>1532.852078309254</v>
      </c>
      <c r="W191" s="69" t="str" cm="1">
        <f t="array" ref="W191">_xlfn.TEXTJOIN(", ",TRUE,IFERROR(_xlfn._xlws.FILTER(Table3[Holiday Name],('SELECTED DATA'!Q191&gt;=Table3[start])*('SELECTED DATA'!Q191&lt;=Table3[end])),""))</f>
        <v/>
      </c>
      <c r="X191">
        <v>1544</v>
      </c>
    </row>
    <row r="192" spans="3:24" x14ac:dyDescent="0.35">
      <c r="C192" s="36">
        <v>45327</v>
      </c>
      <c r="D192" t="str">
        <v>AM</v>
      </c>
      <c r="E192" t="str">
        <v>February</v>
      </c>
      <c r="F192" t="str">
        <v>MON</v>
      </c>
      <c r="G192" s="31">
        <v>334</v>
      </c>
      <c r="H192" t="str">
        <v>DOUBLE</v>
      </c>
      <c r="I192">
        <v>334</v>
      </c>
      <c r="L192">
        <v>1373.5</v>
      </c>
      <c r="M192" s="31">
        <f t="shared" si="11"/>
        <v>244</v>
      </c>
      <c r="N192">
        <f t="shared" si="12"/>
        <v>0.83848797250859108</v>
      </c>
      <c r="O192">
        <f t="shared" si="13"/>
        <v>0.98826260398444499</v>
      </c>
      <c r="P192" s="281">
        <f t="shared" si="14"/>
        <v>1443.0313200374289</v>
      </c>
      <c r="W192" s="69" t="str" cm="1">
        <f t="array" ref="W192">_xlfn.TEXTJOIN(", ",TRUE,IFERROR(_xlfn._xlws.FILTER(Table3[Holiday Name],('SELECTED DATA'!Q192&gt;=Table3[start])*('SELECTED DATA'!Q192&lt;=Table3[end])),""))</f>
        <v/>
      </c>
      <c r="X192">
        <v>283.5</v>
      </c>
    </row>
    <row r="193" spans="3:24" x14ac:dyDescent="0.35">
      <c r="C193" s="36">
        <v>45327</v>
      </c>
      <c r="D193" t="str">
        <v>PM</v>
      </c>
      <c r="E193" t="str">
        <v>February</v>
      </c>
      <c r="F193" t="str">
        <v>MON</v>
      </c>
      <c r="G193" s="31">
        <v>1044</v>
      </c>
      <c r="H193" t="str">
        <v>DOUBLE</v>
      </c>
      <c r="I193">
        <v>1044</v>
      </c>
      <c r="L193">
        <v>1280</v>
      </c>
      <c r="M193" s="31">
        <f t="shared" si="11"/>
        <v>226</v>
      </c>
      <c r="N193">
        <f t="shared" si="12"/>
        <v>0.7766323024054983</v>
      </c>
      <c r="O193">
        <f t="shared" si="13"/>
        <v>0.76086886775273888</v>
      </c>
      <c r="P193" s="281">
        <f t="shared" si="14"/>
        <v>1342.2572027742617</v>
      </c>
      <c r="W193" s="69" t="str" cm="1">
        <f t="array" ref="W193">_xlfn.TEXTJOIN(", ",TRUE,IFERROR(_xlfn._xlws.FILTER(Table3[Holiday Name],('SELECTED DATA'!Q193&gt;=Table3[start])*('SELECTED DATA'!Q193&lt;=Table3[end])),""))</f>
        <v/>
      </c>
      <c r="X193">
        <v>1739</v>
      </c>
    </row>
    <row r="194" spans="3:24" x14ac:dyDescent="0.35">
      <c r="C194" s="36">
        <v>45329</v>
      </c>
      <c r="D194" t="str">
        <v>AM</v>
      </c>
      <c r="E194" t="str">
        <v>February</v>
      </c>
      <c r="F194" t="str">
        <v>WED</v>
      </c>
      <c r="G194" s="31">
        <v>980</v>
      </c>
      <c r="H194" t="str">
        <v>DOUBLE</v>
      </c>
      <c r="I194">
        <v>980</v>
      </c>
      <c r="L194">
        <v>1389.5</v>
      </c>
      <c r="M194" s="31">
        <f t="shared" si="11"/>
        <v>246</v>
      </c>
      <c r="N194">
        <f t="shared" si="12"/>
        <v>0.84536082474226804</v>
      </c>
      <c r="O194">
        <f t="shared" si="13"/>
        <v>1.0167374386641632</v>
      </c>
      <c r="P194" s="281">
        <f t="shared" si="14"/>
        <v>1455.6505169274405</v>
      </c>
      <c r="W194" s="69" t="str" cm="1">
        <f t="array" ref="W194">_xlfn.TEXTJOIN(", ",TRUE,IFERROR(_xlfn._xlws.FILTER(Table3[Holiday Name],('SELECTED DATA'!Q194&gt;=Table3[start])*('SELECTED DATA'!Q194&lt;=Table3[end])),""))</f>
        <v/>
      </c>
      <c r="X194">
        <v>1224</v>
      </c>
    </row>
    <row r="195" spans="3:24" x14ac:dyDescent="0.35">
      <c r="C195" s="36">
        <v>45329</v>
      </c>
      <c r="D195" t="str">
        <v>PM</v>
      </c>
      <c r="E195" t="str">
        <v>February</v>
      </c>
      <c r="F195" t="str">
        <v>WED</v>
      </c>
      <c r="G195" s="31">
        <v>1491.5</v>
      </c>
      <c r="H195" t="str">
        <v>DOUBLE</v>
      </c>
      <c r="I195">
        <v>1491.5</v>
      </c>
      <c r="L195">
        <v>491.5</v>
      </c>
      <c r="M195" s="31">
        <f t="shared" si="11"/>
        <v>42</v>
      </c>
      <c r="N195">
        <f t="shared" si="12"/>
        <v>0.14432989690721648</v>
      </c>
      <c r="O195">
        <f t="shared" si="13"/>
        <v>-1.0610662513972884</v>
      </c>
      <c r="P195" s="281">
        <f t="shared" si="14"/>
        <v>534.82993417077773</v>
      </c>
      <c r="W195" s="69" t="str" cm="1">
        <f t="array" ref="W195">_xlfn.TEXTJOIN(", ",TRUE,IFERROR(_xlfn._xlws.FILTER(Table3[Holiday Name],('SELECTED DATA'!Q195&gt;=Table3[start])*('SELECTED DATA'!Q195&lt;=Table3[end])),""))</f>
        <v/>
      </c>
      <c r="X195">
        <v>1188.5</v>
      </c>
    </row>
    <row r="196" spans="3:24" x14ac:dyDescent="0.35">
      <c r="C196" s="36">
        <v>45330</v>
      </c>
      <c r="D196" t="str">
        <v>PM</v>
      </c>
      <c r="E196" t="str">
        <v>February</v>
      </c>
      <c r="F196" t="str">
        <v>THU</v>
      </c>
      <c r="G196" s="31">
        <v>1198</v>
      </c>
      <c r="H196" t="str">
        <v>SINGLE</v>
      </c>
      <c r="I196">
        <v>1198</v>
      </c>
      <c r="L196">
        <v>1140.5</v>
      </c>
      <c r="M196" s="31">
        <f t="shared" si="11"/>
        <v>188</v>
      </c>
      <c r="N196">
        <f t="shared" si="12"/>
        <v>0.64604810996563578</v>
      </c>
      <c r="O196">
        <f t="shared" si="13"/>
        <v>0.37467285846258253</v>
      </c>
      <c r="P196" s="281">
        <f t="shared" si="14"/>
        <v>1171.1066575933828</v>
      </c>
      <c r="W196" s="69" t="str" cm="1">
        <f t="array" ref="W196">_xlfn.TEXTJOIN(", ",TRUE,IFERROR(_xlfn._xlws.FILTER(Table3[Holiday Name],('SELECTED DATA'!Q196&gt;=Table3[start])*('SELECTED DATA'!Q196&lt;=Table3[end])),""))</f>
        <v/>
      </c>
      <c r="X196">
        <v>1192.5</v>
      </c>
    </row>
    <row r="197" spans="3:24" x14ac:dyDescent="0.35">
      <c r="C197" s="36">
        <v>45332</v>
      </c>
      <c r="D197" t="str">
        <v>AM</v>
      </c>
      <c r="E197" t="str">
        <v>February</v>
      </c>
      <c r="F197" t="str">
        <v>SAT</v>
      </c>
      <c r="G197" s="31">
        <v>908.5</v>
      </c>
      <c r="H197" t="str">
        <v>SINGLE</v>
      </c>
      <c r="I197">
        <v>908.5</v>
      </c>
      <c r="L197">
        <v>1276.5</v>
      </c>
      <c r="M197" s="31">
        <f t="shared" si="11"/>
        <v>222</v>
      </c>
      <c r="N197">
        <f t="shared" si="12"/>
        <v>0.76288659793814428</v>
      </c>
      <c r="O197">
        <f t="shared" si="13"/>
        <v>0.71561873160263834</v>
      </c>
      <c r="P197" s="281">
        <f t="shared" si="14"/>
        <v>1322.2036929365149</v>
      </c>
      <c r="W197" s="69" t="str" cm="1">
        <f t="array" ref="W197">_xlfn.TEXTJOIN(", ",TRUE,IFERROR(_xlfn._xlws.FILTER(Table3[Holiday Name],('SELECTED DATA'!Q197&gt;=Table3[start])*('SELECTED DATA'!Q197&lt;=Table3[end])),""))</f>
        <v/>
      </c>
      <c r="X197">
        <v>908</v>
      </c>
    </row>
    <row r="198" spans="3:24" x14ac:dyDescent="0.35">
      <c r="C198" s="36">
        <v>45333</v>
      </c>
      <c r="D198" t="str">
        <v>AM</v>
      </c>
      <c r="E198" t="str">
        <v>February</v>
      </c>
      <c r="F198" t="str">
        <v>SUN</v>
      </c>
      <c r="G198" s="31">
        <v>513</v>
      </c>
      <c r="H198" t="str">
        <v>SINGLE</v>
      </c>
      <c r="I198">
        <v>513</v>
      </c>
      <c r="L198">
        <v>1227</v>
      </c>
      <c r="M198" s="31">
        <f t="shared" si="11"/>
        <v>212</v>
      </c>
      <c r="N198">
        <f t="shared" si="12"/>
        <v>0.72852233676975942</v>
      </c>
      <c r="O198">
        <f t="shared" si="13"/>
        <v>0.6083500592598251</v>
      </c>
      <c r="P198" s="281">
        <f t="shared" si="14"/>
        <v>1274.6654188200985</v>
      </c>
      <c r="W198" s="69" t="str" cm="1">
        <f t="array" ref="W198">_xlfn.TEXTJOIN(", ",TRUE,IFERROR(_xlfn._xlws.FILTER(Table3[Holiday Name],('SELECTED DATA'!Q198&gt;=Table3[start])*('SELECTED DATA'!Q198&lt;=Table3[end])),""))</f>
        <v/>
      </c>
      <c r="X198">
        <v>1320</v>
      </c>
    </row>
    <row r="199" spans="3:24" x14ac:dyDescent="0.35">
      <c r="C199" s="36">
        <v>45334</v>
      </c>
      <c r="D199" t="str">
        <v>AM</v>
      </c>
      <c r="E199" t="str">
        <v>February</v>
      </c>
      <c r="F199" t="str">
        <v>MON</v>
      </c>
      <c r="G199" s="31">
        <v>55</v>
      </c>
      <c r="H199" t="str">
        <v>DOUBLE</v>
      </c>
      <c r="I199">
        <v>55</v>
      </c>
      <c r="L199">
        <v>454</v>
      </c>
      <c r="M199" s="31">
        <f t="shared" si="11"/>
        <v>37</v>
      </c>
      <c r="N199">
        <f t="shared" si="12"/>
        <v>0.12714776632302405</v>
      </c>
      <c r="O199">
        <f t="shared" si="13"/>
        <v>-1.1399778419139883</v>
      </c>
      <c r="P199" s="281">
        <f t="shared" si="14"/>
        <v>499.8586723940245</v>
      </c>
      <c r="W199" s="69" t="str" cm="1">
        <f t="array" ref="W199">_xlfn.TEXTJOIN(", ",TRUE,IFERROR(_xlfn._xlws.FILTER(Table3[Holiday Name],('SELECTED DATA'!Q199&gt;=Table3[start])*('SELECTED DATA'!Q199&lt;=Table3[end])),""))</f>
        <v/>
      </c>
      <c r="X199">
        <v>1451.5</v>
      </c>
    </row>
    <row r="200" spans="3:24" x14ac:dyDescent="0.35">
      <c r="C200" s="36">
        <v>45334</v>
      </c>
      <c r="D200" t="str">
        <v>PM</v>
      </c>
      <c r="E200" t="str">
        <v>February</v>
      </c>
      <c r="F200" t="str">
        <v>MON</v>
      </c>
      <c r="G200" s="31">
        <v>1041.5</v>
      </c>
      <c r="H200" t="str">
        <v>DOUBLE</v>
      </c>
      <c r="I200">
        <v>1041.5</v>
      </c>
      <c r="L200">
        <v>919</v>
      </c>
      <c r="M200" s="31">
        <f t="shared" si="11"/>
        <v>122</v>
      </c>
      <c r="N200">
        <f t="shared" si="12"/>
        <v>0.41924398625429554</v>
      </c>
      <c r="O200">
        <f t="shared" si="13"/>
        <v>-0.20382792168537731</v>
      </c>
      <c r="P200" s="281">
        <f t="shared" si="14"/>
        <v>914.7323773622827</v>
      </c>
      <c r="W200" s="69" t="str" cm="1">
        <f t="array" ref="W200">_xlfn.TEXTJOIN(", ",TRUE,IFERROR(_xlfn._xlws.FILTER(Table3[Holiday Name],('SELECTED DATA'!Q200&gt;=Table3[start])*('SELECTED DATA'!Q200&lt;=Table3[end])),""))</f>
        <v/>
      </c>
      <c r="X200">
        <v>1462</v>
      </c>
    </row>
    <row r="201" spans="3:24" x14ac:dyDescent="0.35">
      <c r="C201" s="36">
        <v>45336</v>
      </c>
      <c r="D201" t="str">
        <v>PM</v>
      </c>
      <c r="E201" t="str">
        <v>February</v>
      </c>
      <c r="F201" t="str">
        <v>WED</v>
      </c>
      <c r="G201" s="31">
        <v>2119</v>
      </c>
      <c r="H201" t="str">
        <v>SINGLE</v>
      </c>
      <c r="I201">
        <v>2119</v>
      </c>
      <c r="L201">
        <v>1417</v>
      </c>
      <c r="M201" s="31">
        <f t="shared" si="11"/>
        <v>252.5</v>
      </c>
      <c r="N201">
        <f t="shared" si="12"/>
        <v>0.86769759450171824</v>
      </c>
      <c r="O201">
        <f t="shared" si="13"/>
        <v>1.1155733356991384</v>
      </c>
      <c r="P201" s="281">
        <f t="shared" si="14"/>
        <v>1499.4516367061485</v>
      </c>
      <c r="W201" s="69" t="str" cm="1">
        <f t="array" ref="W201">_xlfn.TEXTJOIN(", ",TRUE,IFERROR(_xlfn._xlws.FILTER(Table3[Holiday Name],('SELECTED DATA'!Q201&gt;=Table3[start])*('SELECTED DATA'!Q201&lt;=Table3[end])),""))</f>
        <v/>
      </c>
      <c r="X201">
        <v>207</v>
      </c>
    </row>
    <row r="202" spans="3:24" x14ac:dyDescent="0.35">
      <c r="C202" s="36">
        <v>45337</v>
      </c>
      <c r="D202" t="str">
        <v>PM</v>
      </c>
      <c r="E202" t="str">
        <v>February</v>
      </c>
      <c r="F202" t="str">
        <v>THU</v>
      </c>
      <c r="G202" s="31">
        <v>1197</v>
      </c>
      <c r="H202" t="str">
        <v>SINGLE</v>
      </c>
      <c r="I202">
        <v>1197</v>
      </c>
      <c r="L202">
        <v>1544</v>
      </c>
      <c r="M202" s="31">
        <f t="shared" si="11"/>
        <v>276</v>
      </c>
      <c r="N202">
        <f t="shared" si="12"/>
        <v>0.94845360824742264</v>
      </c>
      <c r="O202">
        <f t="shared" si="13"/>
        <v>1.6300412291543207</v>
      </c>
      <c r="P202" s="281">
        <f t="shared" si="14"/>
        <v>1727.4484526358492</v>
      </c>
      <c r="W202" s="69" t="str" cm="1">
        <f t="array" ref="W202">_xlfn.TEXTJOIN(", ",TRUE,IFERROR(_xlfn._xlws.FILTER(Table3[Holiday Name],('SELECTED DATA'!Q202&gt;=Table3[start])*('SELECTED DATA'!Q202&lt;=Table3[end])),""))</f>
        <v/>
      </c>
      <c r="X202">
        <v>1094.5</v>
      </c>
    </row>
    <row r="203" spans="3:24" x14ac:dyDescent="0.35">
      <c r="C203" s="36">
        <v>45339</v>
      </c>
      <c r="D203" t="str">
        <v>AM</v>
      </c>
      <c r="E203" t="str">
        <v>February</v>
      </c>
      <c r="F203" t="str">
        <v>SAT</v>
      </c>
      <c r="G203" s="31">
        <v>1085</v>
      </c>
      <c r="H203" t="str">
        <v>DOUBLE</v>
      </c>
      <c r="I203">
        <v>1085</v>
      </c>
      <c r="L203">
        <v>283.5</v>
      </c>
      <c r="M203" s="31">
        <f t="shared" si="11"/>
        <v>11</v>
      </c>
      <c r="N203">
        <f t="shared" si="12"/>
        <v>3.7800687285223365E-2</v>
      </c>
      <c r="O203">
        <f t="shared" si="13"/>
        <v>-1.7767986470752439</v>
      </c>
      <c r="P203" s="281">
        <f t="shared" si="14"/>
        <v>217.63869765578931</v>
      </c>
      <c r="W203" s="69" t="str" cm="1">
        <f t="array" ref="W203">_xlfn.TEXTJOIN(", ",TRUE,IFERROR(_xlfn._xlws.FILTER(Table3[Holiday Name],('SELECTED DATA'!Q203&gt;=Table3[start])*('SELECTED DATA'!Q203&lt;=Table3[end])),""))</f>
        <v/>
      </c>
      <c r="X203">
        <v>334</v>
      </c>
    </row>
    <row r="204" spans="3:24" x14ac:dyDescent="0.35">
      <c r="C204" s="36">
        <v>45339</v>
      </c>
      <c r="D204" t="str">
        <v>PM</v>
      </c>
      <c r="E204" t="str">
        <v>February</v>
      </c>
      <c r="F204" t="str">
        <v>SAT</v>
      </c>
      <c r="G204" s="31">
        <v>1526.5</v>
      </c>
      <c r="H204" t="str">
        <v>DOUBLE</v>
      </c>
      <c r="I204">
        <v>1526.5</v>
      </c>
      <c r="L204">
        <v>1739</v>
      </c>
      <c r="M204" s="31">
        <f t="shared" si="11"/>
        <v>289</v>
      </c>
      <c r="N204">
        <f t="shared" si="12"/>
        <v>0.99312714776632305</v>
      </c>
      <c r="O204">
        <f t="shared" si="13"/>
        <v>2.4638410742258015</v>
      </c>
      <c r="P204" s="281">
        <f t="shared" si="14"/>
        <v>2096.9636589633674</v>
      </c>
      <c r="W204" s="69" t="str" cm="1">
        <f t="array" ref="W204">_xlfn.TEXTJOIN(", ",TRUE,IFERROR(_xlfn._xlws.FILTER(Table3[Holiday Name],('SELECTED DATA'!Q204&gt;=Table3[start])*('SELECTED DATA'!Q204&lt;=Table3[end])),""))</f>
        <v/>
      </c>
      <c r="X204">
        <v>1044</v>
      </c>
    </row>
    <row r="205" spans="3:24" x14ac:dyDescent="0.35">
      <c r="C205" s="36">
        <v>45340</v>
      </c>
      <c r="D205" t="str">
        <v>AM</v>
      </c>
      <c r="E205" t="str">
        <v>February</v>
      </c>
      <c r="F205" t="str">
        <v>SUN</v>
      </c>
      <c r="G205" s="31">
        <v>779</v>
      </c>
      <c r="H205" t="str">
        <v>DOUBLE</v>
      </c>
      <c r="I205">
        <v>779</v>
      </c>
      <c r="L205">
        <v>1224</v>
      </c>
      <c r="M205" s="31">
        <f t="shared" si="11"/>
        <v>211</v>
      </c>
      <c r="N205">
        <f t="shared" si="12"/>
        <v>0.72508591065292094</v>
      </c>
      <c r="O205">
        <f t="shared" si="13"/>
        <v>0.59801761630985584</v>
      </c>
      <c r="P205" s="281">
        <f t="shared" si="14"/>
        <v>1270.0863884795522</v>
      </c>
      <c r="W205" s="69" t="str" cm="1">
        <f t="array" ref="W205">_xlfn.TEXTJOIN(", ",TRUE,IFERROR(_xlfn._xlws.FILTER(Table3[Holiday Name],('SELECTED DATA'!Q205&gt;=Table3[start])*('SELECTED DATA'!Q205&lt;=Table3[end])),""))</f>
        <v/>
      </c>
      <c r="X205">
        <v>980</v>
      </c>
    </row>
    <row r="206" spans="3:24" x14ac:dyDescent="0.35">
      <c r="C206" s="36">
        <v>45340</v>
      </c>
      <c r="D206" t="str">
        <v>PM</v>
      </c>
      <c r="E206" t="str">
        <v>February</v>
      </c>
      <c r="F206" t="str">
        <v>SUN</v>
      </c>
      <c r="G206" s="31">
        <v>1245</v>
      </c>
      <c r="H206" t="str">
        <v>DOUBLE</v>
      </c>
      <c r="I206">
        <v>1245</v>
      </c>
      <c r="L206">
        <v>1188.5</v>
      </c>
      <c r="M206" s="31">
        <f t="shared" si="11"/>
        <v>198</v>
      </c>
      <c r="N206">
        <f t="shared" si="12"/>
        <v>0.68041237113402064</v>
      </c>
      <c r="O206">
        <f t="shared" si="13"/>
        <v>0.46885223825071859</v>
      </c>
      <c r="P206" s="281">
        <f t="shared" si="14"/>
        <v>1212.8441479034552</v>
      </c>
      <c r="W206" s="69" t="str" cm="1">
        <f t="array" ref="W206">_xlfn.TEXTJOIN(", ",TRUE,IFERROR(_xlfn._xlws.FILTER(Table3[Holiday Name],('SELECTED DATA'!Q206&gt;=Table3[start])*('SELECTED DATA'!Q206&lt;=Table3[end])),""))</f>
        <v/>
      </c>
      <c r="X206">
        <v>1491.5</v>
      </c>
    </row>
    <row r="207" spans="3:24" x14ac:dyDescent="0.35">
      <c r="C207" s="36">
        <v>45341</v>
      </c>
      <c r="D207" t="str">
        <v>AM</v>
      </c>
      <c r="E207" t="str">
        <v>February</v>
      </c>
      <c r="F207" t="str">
        <v>MON</v>
      </c>
      <c r="G207" s="31">
        <v>566</v>
      </c>
      <c r="H207" t="str">
        <v>DOUBLE</v>
      </c>
      <c r="I207">
        <v>566</v>
      </c>
      <c r="L207">
        <v>1192.5</v>
      </c>
      <c r="M207" s="31">
        <f t="shared" si="11"/>
        <v>199</v>
      </c>
      <c r="N207">
        <f t="shared" si="12"/>
        <v>0.68384879725085912</v>
      </c>
      <c r="O207">
        <f t="shared" si="13"/>
        <v>0.47848871352192957</v>
      </c>
      <c r="P207" s="281">
        <f t="shared" si="14"/>
        <v>1217.1147461401415</v>
      </c>
      <c r="W207" s="69" t="str" cm="1">
        <f t="array" ref="W207">_xlfn.TEXTJOIN(", ",TRUE,IFERROR(_xlfn._xlws.FILTER(Table3[Holiday Name],('SELECTED DATA'!Q207&gt;=Table3[start])*('SELECTED DATA'!Q207&lt;=Table3[end])),""))</f>
        <v/>
      </c>
      <c r="X207">
        <v>1198</v>
      </c>
    </row>
    <row r="208" spans="3:24" x14ac:dyDescent="0.35">
      <c r="C208" s="36">
        <v>45341</v>
      </c>
      <c r="D208" t="str">
        <v>PM</v>
      </c>
      <c r="E208" t="str">
        <v>February</v>
      </c>
      <c r="F208" t="str">
        <v>MON</v>
      </c>
      <c r="G208" s="31">
        <v>1027.5</v>
      </c>
      <c r="H208" t="str">
        <v>DOUBLE</v>
      </c>
      <c r="I208">
        <v>1027.5</v>
      </c>
      <c r="L208">
        <v>908</v>
      </c>
      <c r="M208" s="31">
        <f t="shared" si="11"/>
        <v>118</v>
      </c>
      <c r="N208">
        <f t="shared" si="12"/>
        <v>0.40549828178694158</v>
      </c>
      <c r="O208">
        <f t="shared" si="13"/>
        <v>-0.23914059625845352</v>
      </c>
      <c r="P208" s="281">
        <f t="shared" si="14"/>
        <v>899.0828539089315</v>
      </c>
      <c r="W208" s="69" t="str" cm="1">
        <f t="array" ref="W208">_xlfn.TEXTJOIN(", ",TRUE,IFERROR(_xlfn._xlws.FILTER(Table3[Holiday Name],('SELECTED DATA'!Q208&gt;=Table3[start])*('SELECTED DATA'!Q208&lt;=Table3[end])),""))</f>
        <v/>
      </c>
      <c r="X208">
        <v>908.5</v>
      </c>
    </row>
    <row r="209" spans="3:24" x14ac:dyDescent="0.35">
      <c r="C209" s="36">
        <v>45346</v>
      </c>
      <c r="D209" t="str">
        <v>PM</v>
      </c>
      <c r="E209" t="str">
        <v>February</v>
      </c>
      <c r="F209" t="str">
        <v>SAT</v>
      </c>
      <c r="G209" s="31">
        <v>1762</v>
      </c>
      <c r="H209" t="str">
        <v>SINGLE</v>
      </c>
      <c r="I209">
        <v>1762</v>
      </c>
      <c r="L209">
        <v>1320</v>
      </c>
      <c r="M209" s="31">
        <f t="shared" si="11"/>
        <v>237</v>
      </c>
      <c r="N209">
        <f t="shared" si="12"/>
        <v>0.81443298969072164</v>
      </c>
      <c r="O209">
        <f t="shared" si="13"/>
        <v>0.89435118721371198</v>
      </c>
      <c r="P209" s="281">
        <f t="shared" si="14"/>
        <v>1401.4125829392324</v>
      </c>
      <c r="W209" s="69" t="str" cm="1">
        <f t="array" ref="W209">_xlfn.TEXTJOIN(", ",TRUE,IFERROR(_xlfn._xlws.FILTER(Table3[Holiday Name],('SELECTED DATA'!Q209&gt;=Table3[start])*('SELECTED DATA'!Q209&lt;=Table3[end])),""))</f>
        <v/>
      </c>
      <c r="X209">
        <v>513</v>
      </c>
    </row>
    <row r="210" spans="3:24" x14ac:dyDescent="0.35">
      <c r="C210" s="36">
        <v>45347</v>
      </c>
      <c r="D210" t="str">
        <v>PM</v>
      </c>
      <c r="E210" t="str">
        <v>February</v>
      </c>
      <c r="F210" t="str">
        <v>SUN</v>
      </c>
      <c r="G210" s="31">
        <v>1062</v>
      </c>
      <c r="H210" t="str">
        <v>SINGLE</v>
      </c>
      <c r="I210">
        <v>1062</v>
      </c>
      <c r="L210">
        <v>1451.5</v>
      </c>
      <c r="M210" s="31">
        <f t="shared" si="11"/>
        <v>266</v>
      </c>
      <c r="N210">
        <f t="shared" si="12"/>
        <v>0.91408934707903777</v>
      </c>
      <c r="O210">
        <f t="shared" si="13"/>
        <v>1.3663749541415036</v>
      </c>
      <c r="P210" s="281">
        <f t="shared" si="14"/>
        <v>1610.599428749767</v>
      </c>
      <c r="W210" s="69" t="str" cm="1">
        <f t="array" ref="W210">_xlfn.TEXTJOIN(", ",TRUE,IFERROR(_xlfn._xlws.FILTER(Table3[Holiday Name],('SELECTED DATA'!Q210&gt;=Table3[start])*('SELECTED DATA'!Q210&lt;=Table3[end])),""))</f>
        <v/>
      </c>
      <c r="X210">
        <v>55</v>
      </c>
    </row>
    <row r="211" spans="3:24" x14ac:dyDescent="0.35">
      <c r="C211" s="36">
        <v>45348</v>
      </c>
      <c r="D211" t="str">
        <v>AM</v>
      </c>
      <c r="E211" t="str">
        <v>February</v>
      </c>
      <c r="F211" t="str">
        <v>MON</v>
      </c>
      <c r="G211" s="31">
        <v>451.5</v>
      </c>
      <c r="H211" t="str">
        <v>DOUBLE</v>
      </c>
      <c r="I211">
        <v>451.5</v>
      </c>
      <c r="L211">
        <v>1462</v>
      </c>
      <c r="M211" s="31">
        <f t="shared" si="11"/>
        <v>268</v>
      </c>
      <c r="N211">
        <f t="shared" si="12"/>
        <v>0.92096219931271472</v>
      </c>
      <c r="O211">
        <f t="shared" si="13"/>
        <v>1.4115734266167839</v>
      </c>
      <c r="P211" s="281">
        <f t="shared" si="14"/>
        <v>1630.6300427887513</v>
      </c>
      <c r="W211" s="69" t="str" cm="1">
        <f t="array" ref="W211">_xlfn.TEXTJOIN(", ",TRUE,IFERROR(_xlfn._xlws.FILTER(Table3[Holiday Name],('SELECTED DATA'!Q211&gt;=Table3[start])*('SELECTED DATA'!Q211&lt;=Table3[end])),""))</f>
        <v/>
      </c>
      <c r="X211">
        <v>1041.5</v>
      </c>
    </row>
    <row r="212" spans="3:24" x14ac:dyDescent="0.35">
      <c r="C212" s="36">
        <v>45348</v>
      </c>
      <c r="D212" t="str">
        <v>PM</v>
      </c>
      <c r="E212" t="str">
        <v>February</v>
      </c>
      <c r="F212" t="str">
        <v>MON</v>
      </c>
      <c r="G212" s="31">
        <v>975</v>
      </c>
      <c r="H212" t="str">
        <v>DOUBLE</v>
      </c>
      <c r="I212">
        <v>975</v>
      </c>
      <c r="L212">
        <v>207</v>
      </c>
      <c r="M212" s="31">
        <f t="shared" si="11"/>
        <v>5</v>
      </c>
      <c r="N212">
        <f t="shared" si="12"/>
        <v>1.7182130584192441E-2</v>
      </c>
      <c r="O212">
        <f t="shared" si="13"/>
        <v>-2.1157713232593625</v>
      </c>
      <c r="P212" s="281">
        <f t="shared" si="14"/>
        <v>67.41612431286967</v>
      </c>
      <c r="W212" s="69" t="str" cm="1">
        <f t="array" ref="W212">_xlfn.TEXTJOIN(", ",TRUE,IFERROR(_xlfn._xlws.FILTER(Table3[Holiday Name],('SELECTED DATA'!Q212&gt;=Table3[start])*('SELECTED DATA'!Q212&lt;=Table3[end])),""))</f>
        <v/>
      </c>
      <c r="X212">
        <v>2119</v>
      </c>
    </row>
    <row r="213" spans="3:24" x14ac:dyDescent="0.35">
      <c r="C213" s="36">
        <v>45350</v>
      </c>
      <c r="D213" t="str">
        <v>PM</v>
      </c>
      <c r="E213" t="str">
        <v>February</v>
      </c>
      <c r="F213" t="str">
        <v>WED</v>
      </c>
      <c r="G213" s="31">
        <v>992</v>
      </c>
      <c r="H213" t="str">
        <v>SINGLE</v>
      </c>
      <c r="I213">
        <v>992</v>
      </c>
      <c r="L213">
        <v>1094.5</v>
      </c>
      <c r="M213" s="31">
        <f t="shared" si="11"/>
        <v>178</v>
      </c>
      <c r="N213">
        <f t="shared" si="12"/>
        <v>0.61168384879725091</v>
      </c>
      <c r="O213">
        <f t="shared" si="13"/>
        <v>0.28371042823846393</v>
      </c>
      <c r="P213" s="281">
        <f t="shared" si="14"/>
        <v>1130.7948233192517</v>
      </c>
      <c r="W213" s="69" t="str" cm="1">
        <f t="array" ref="W213">_xlfn.TEXTJOIN(", ",TRUE,IFERROR(_xlfn._xlws.FILTER(Table3[Holiday Name],('SELECTED DATA'!Q213&gt;=Table3[start])*('SELECTED DATA'!Q213&lt;=Table3[end])),""))</f>
        <v/>
      </c>
      <c r="X213">
        <v>1197</v>
      </c>
    </row>
    <row r="214" spans="3:24" x14ac:dyDescent="0.35">
      <c r="C214" s="36">
        <v>45352</v>
      </c>
      <c r="D214" t="str">
        <v>AM</v>
      </c>
      <c r="E214" t="str">
        <v>March</v>
      </c>
      <c r="F214" t="str">
        <v>FRI</v>
      </c>
      <c r="G214" s="31">
        <v>1078</v>
      </c>
      <c r="H214" t="str">
        <v>SINGLE</v>
      </c>
      <c r="I214">
        <v>1078</v>
      </c>
      <c r="L214">
        <v>334</v>
      </c>
      <c r="M214" s="31">
        <f t="shared" si="11"/>
        <v>18</v>
      </c>
      <c r="N214">
        <f t="shared" si="12"/>
        <v>6.1855670103092786E-2</v>
      </c>
      <c r="O214">
        <f t="shared" si="13"/>
        <v>-1.5393808751474112</v>
      </c>
      <c r="P214" s="281">
        <f t="shared" si="14"/>
        <v>322.85516836910767</v>
      </c>
      <c r="W214" s="69" t="str" cm="1">
        <f t="array" ref="W214">_xlfn.TEXTJOIN(", ",TRUE,IFERROR(_xlfn._xlws.FILTER(Table3[Holiday Name],('SELECTED DATA'!Q214&gt;=Table3[start])*('SELECTED DATA'!Q214&lt;=Table3[end])),""))</f>
        <v/>
      </c>
      <c r="X214">
        <v>1085</v>
      </c>
    </row>
    <row r="215" spans="3:24" x14ac:dyDescent="0.35">
      <c r="C215" s="36">
        <v>45353</v>
      </c>
      <c r="D215" t="str">
        <v>PM</v>
      </c>
      <c r="E215" t="str">
        <v>March</v>
      </c>
      <c r="F215" t="str">
        <v>SAT</v>
      </c>
      <c r="G215" s="31">
        <v>1060</v>
      </c>
      <c r="H215" t="str">
        <v>SINGLE</v>
      </c>
      <c r="I215">
        <v>1060</v>
      </c>
      <c r="L215">
        <v>1044</v>
      </c>
      <c r="M215" s="31">
        <f t="shared" si="11"/>
        <v>163</v>
      </c>
      <c r="N215">
        <f t="shared" si="12"/>
        <v>0.56013745704467355</v>
      </c>
      <c r="O215">
        <f t="shared" si="13"/>
        <v>0.15131772732797785</v>
      </c>
      <c r="P215" s="281">
        <f t="shared" si="14"/>
        <v>1072.1223295758623</v>
      </c>
      <c r="W215" s="69" t="str" cm="1">
        <f t="array" ref="W215">_xlfn.TEXTJOIN(", ",TRUE,IFERROR(_xlfn._xlws.FILTER(Table3[Holiday Name],('SELECTED DATA'!Q215&gt;=Table3[start])*('SELECTED DATA'!Q215&lt;=Table3[end])),""))</f>
        <v/>
      </c>
      <c r="X215">
        <v>1526.5</v>
      </c>
    </row>
    <row r="216" spans="3:24" x14ac:dyDescent="0.35">
      <c r="C216" s="36">
        <v>45354</v>
      </c>
      <c r="D216" t="str">
        <v>AM</v>
      </c>
      <c r="E216" t="str">
        <v>March</v>
      </c>
      <c r="F216" t="str">
        <v>SUN</v>
      </c>
      <c r="G216" s="31">
        <v>600</v>
      </c>
      <c r="H216" t="str">
        <v>DOUBLE</v>
      </c>
      <c r="I216">
        <v>600</v>
      </c>
      <c r="L216">
        <v>980</v>
      </c>
      <c r="M216" s="31">
        <f t="shared" si="11"/>
        <v>142</v>
      </c>
      <c r="N216">
        <f t="shared" si="12"/>
        <v>0.48797250859106528</v>
      </c>
      <c r="O216">
        <f t="shared" si="13"/>
        <v>-3.0153018625631852E-2</v>
      </c>
      <c r="P216" s="281">
        <f t="shared" si="14"/>
        <v>991.69991101843482</v>
      </c>
      <c r="W216" s="69" t="str" cm="1">
        <f t="array" ref="W216">_xlfn.TEXTJOIN(", ",TRUE,IFERROR(_xlfn._xlws.FILTER(Table3[Holiday Name],('SELECTED DATA'!Q216&gt;=Table3[start])*('SELECTED DATA'!Q216&lt;=Table3[end])),""))</f>
        <v/>
      </c>
      <c r="X216">
        <v>779</v>
      </c>
    </row>
    <row r="217" spans="3:24" x14ac:dyDescent="0.35">
      <c r="C217" s="36">
        <v>45354</v>
      </c>
      <c r="D217" t="str">
        <v>PM</v>
      </c>
      <c r="E217" t="str">
        <v>March</v>
      </c>
      <c r="F217" t="str">
        <v>SUN</v>
      </c>
      <c r="G217" s="31">
        <v>2022</v>
      </c>
      <c r="H217" t="str">
        <v>DOUBLE</v>
      </c>
      <c r="I217">
        <v>2022</v>
      </c>
      <c r="L217">
        <v>1491.5</v>
      </c>
      <c r="M217" s="31">
        <f t="shared" si="11"/>
        <v>270</v>
      </c>
      <c r="N217">
        <f t="shared" si="12"/>
        <v>0.92783505154639179</v>
      </c>
      <c r="O217">
        <f t="shared" si="13"/>
        <v>1.4598551165527418</v>
      </c>
      <c r="P217" s="281">
        <f t="shared" si="14"/>
        <v>1652.027046786752</v>
      </c>
      <c r="W217" s="69" t="str" cm="1">
        <f t="array" ref="W217">_xlfn.TEXTJOIN(", ",TRUE,IFERROR(_xlfn._xlws.FILTER(Table3[Holiday Name],('SELECTED DATA'!Q217&gt;=Table3[start])*('SELECTED DATA'!Q217&lt;=Table3[end])),""))</f>
        <v/>
      </c>
      <c r="X217">
        <v>1245</v>
      </c>
    </row>
    <row r="218" spans="3:24" x14ac:dyDescent="0.35">
      <c r="C218" s="36">
        <v>45355</v>
      </c>
      <c r="D218" t="str">
        <v>AM</v>
      </c>
      <c r="E218" t="str">
        <v>March</v>
      </c>
      <c r="F218" t="str">
        <v>MON</v>
      </c>
      <c r="G218" s="31">
        <v>562</v>
      </c>
      <c r="H218" t="str">
        <v>DOUBLE</v>
      </c>
      <c r="I218">
        <v>562</v>
      </c>
      <c r="L218">
        <v>1198</v>
      </c>
      <c r="M218" s="31">
        <f t="shared" si="11"/>
        <v>203.5</v>
      </c>
      <c r="N218">
        <f t="shared" si="12"/>
        <v>0.69931271477663226</v>
      </c>
      <c r="O218">
        <f t="shared" si="13"/>
        <v>0.52242483167974274</v>
      </c>
      <c r="P218" s="281">
        <f t="shared" si="14"/>
        <v>1236.5859224209703</v>
      </c>
      <c r="W218" s="69" t="str" cm="1">
        <f t="array" ref="W218">_xlfn.TEXTJOIN(", ",TRUE,IFERROR(_xlfn._xlws.FILTER(Table3[Holiday Name],('SELECTED DATA'!Q218&gt;=Table3[start])*('SELECTED DATA'!Q218&lt;=Table3[end])),""))</f>
        <v/>
      </c>
      <c r="X218">
        <v>566</v>
      </c>
    </row>
    <row r="219" spans="3:24" x14ac:dyDescent="0.35">
      <c r="C219" s="36">
        <v>45355</v>
      </c>
      <c r="D219" t="str">
        <v>PM</v>
      </c>
      <c r="E219" t="str">
        <v>March</v>
      </c>
      <c r="F219" t="str">
        <v>MON</v>
      </c>
      <c r="G219" s="31">
        <v>1687</v>
      </c>
      <c r="H219" t="str">
        <v>DOUBLE</v>
      </c>
      <c r="I219">
        <v>1687</v>
      </c>
      <c r="L219">
        <v>908.5</v>
      </c>
      <c r="M219" s="31">
        <f t="shared" si="11"/>
        <v>119</v>
      </c>
      <c r="N219">
        <f t="shared" si="12"/>
        <v>0.40893470790378006</v>
      </c>
      <c r="O219">
        <f t="shared" si="13"/>
        <v>-0.23028615813251679</v>
      </c>
      <c r="P219" s="281">
        <f t="shared" si="14"/>
        <v>903.00687662296696</v>
      </c>
      <c r="W219" s="69" t="str" cm="1">
        <f t="array" ref="W219">_xlfn.TEXTJOIN(", ",TRUE,IFERROR(_xlfn._xlws.FILTER(Table3[Holiday Name],('SELECTED DATA'!Q219&gt;=Table3[start])*('SELECTED DATA'!Q219&lt;=Table3[end])),""))</f>
        <v/>
      </c>
      <c r="X219">
        <v>1027.5</v>
      </c>
    </row>
    <row r="220" spans="3:24" x14ac:dyDescent="0.35">
      <c r="C220" s="36">
        <v>45357</v>
      </c>
      <c r="D220" t="str">
        <v>PM</v>
      </c>
      <c r="E220" t="str">
        <v>March</v>
      </c>
      <c r="F220" t="str">
        <v>WED</v>
      </c>
      <c r="G220" s="31">
        <v>1484</v>
      </c>
      <c r="H220" t="str">
        <v>SINGLE</v>
      </c>
      <c r="I220">
        <v>1484</v>
      </c>
      <c r="L220">
        <v>513</v>
      </c>
      <c r="M220" s="31">
        <f t="shared" si="11"/>
        <v>46</v>
      </c>
      <c r="N220">
        <f t="shared" si="12"/>
        <v>0.15807560137457044</v>
      </c>
      <c r="O220">
        <f t="shared" si="13"/>
        <v>-1.0023984245136595</v>
      </c>
      <c r="P220" s="281">
        <f t="shared" si="14"/>
        <v>560.8297640865926</v>
      </c>
      <c r="W220" s="69" t="str" cm="1">
        <f t="array" ref="W220">_xlfn.TEXTJOIN(", ",TRUE,IFERROR(_xlfn._xlws.FILTER(Table3[Holiday Name],('SELECTED DATA'!Q220&gt;=Table3[start])*('SELECTED DATA'!Q220&lt;=Table3[end])),""))</f>
        <v/>
      </c>
      <c r="X220">
        <v>1762</v>
      </c>
    </row>
    <row r="221" spans="3:24" x14ac:dyDescent="0.35">
      <c r="C221" s="36">
        <v>45359</v>
      </c>
      <c r="D221" t="str">
        <v>PM</v>
      </c>
      <c r="E221" t="str">
        <v>March</v>
      </c>
      <c r="F221" t="str">
        <v>FRI</v>
      </c>
      <c r="G221" s="31">
        <v>1644</v>
      </c>
      <c r="H221" t="str">
        <v>SINGLE</v>
      </c>
      <c r="I221">
        <v>1644</v>
      </c>
      <c r="L221">
        <v>55</v>
      </c>
      <c r="M221" s="31">
        <f t="shared" si="11"/>
        <v>1</v>
      </c>
      <c r="N221">
        <f t="shared" si="12"/>
        <v>3.4364261168384879E-3</v>
      </c>
      <c r="O221">
        <f t="shared" si="13"/>
        <v>-2.7029430431083195</v>
      </c>
      <c r="P221" s="281">
        <f t="shared" si="14"/>
        <v>-192.8008576068986</v>
      </c>
      <c r="W221" s="69" t="str" cm="1">
        <f t="array" ref="W221">_xlfn.TEXTJOIN(", ",TRUE,IFERROR(_xlfn._xlws.FILTER(Table3[Holiday Name],('SELECTED DATA'!Q221&gt;=Table3[start])*('SELECTED DATA'!Q221&lt;=Table3[end])),""))</f>
        <v/>
      </c>
      <c r="X221">
        <v>1062</v>
      </c>
    </row>
    <row r="222" spans="3:24" x14ac:dyDescent="0.35">
      <c r="C222" s="36">
        <v>45360</v>
      </c>
      <c r="D222" t="str">
        <v>AM</v>
      </c>
      <c r="E222" t="str">
        <v>March</v>
      </c>
      <c r="F222" t="str">
        <v>SAT</v>
      </c>
      <c r="G222" s="31">
        <v>410</v>
      </c>
      <c r="H222" t="str">
        <v>DOUBLE</v>
      </c>
      <c r="I222">
        <v>410</v>
      </c>
      <c r="L222">
        <v>1041.5</v>
      </c>
      <c r="M222" s="31">
        <f t="shared" ref="M222:M285" si="15">_xlfn.RANK.AVG(L222,_xlfn.ANCHORARRAY($L$29),1)</f>
        <v>162</v>
      </c>
      <c r="N222">
        <f t="shared" ref="N222:N285" si="16">IF(M222="","X",MIN(MAX(M222 / COUNT($M$29:$M$319), 1/(2*COUNT($M$29:$M$319))), 1-1/(2*COUNT($M$29:$M$319))))</f>
        <v>0.55670103092783507</v>
      </c>
      <c r="O222">
        <f t="shared" ref="O222:O285" si="17">IFERROR(_xlfn.NORM.S.INV(N222),"X")</f>
        <v>0.14261033072413581</v>
      </c>
      <c r="P222" s="281">
        <f t="shared" ref="P222:P285" si="18">IFERROR(O222*$B$27+$B$8,"X")</f>
        <v>1068.2634712759204</v>
      </c>
      <c r="W222" s="69" t="str" cm="1">
        <f t="array" ref="W222">_xlfn.TEXTJOIN(", ",TRUE,IFERROR(_xlfn._xlws.FILTER(Table3[Holiday Name],('SELECTED DATA'!Q222&gt;=Table3[start])*('SELECTED DATA'!Q222&lt;=Table3[end])),""))</f>
        <v/>
      </c>
      <c r="X222">
        <v>451.5</v>
      </c>
    </row>
    <row r="223" spans="3:24" x14ac:dyDescent="0.35">
      <c r="C223" s="36">
        <v>45360</v>
      </c>
      <c r="D223" t="str">
        <v>PM</v>
      </c>
      <c r="E223" t="str">
        <v>March</v>
      </c>
      <c r="F223" t="str">
        <v>SAT</v>
      </c>
      <c r="G223" s="31">
        <v>2225.5</v>
      </c>
      <c r="H223" t="str">
        <v>DOUBLE</v>
      </c>
      <c r="I223">
        <v>2225.5</v>
      </c>
      <c r="L223">
        <v>2119</v>
      </c>
      <c r="M223" s="31">
        <f t="shared" si="15"/>
        <v>300</v>
      </c>
      <c r="N223">
        <f t="shared" si="16"/>
        <v>0.99828178694158076</v>
      </c>
      <c r="O223">
        <f t="shared" si="17"/>
        <v>2.9257358252621142</v>
      </c>
      <c r="P223" s="281">
        <f t="shared" si="18"/>
        <v>2301.6616272343363</v>
      </c>
      <c r="W223" s="69" t="str" cm="1">
        <f t="array" ref="W223">_xlfn.TEXTJOIN(", ",TRUE,IFERROR(_xlfn._xlws.FILTER(Table3[Holiday Name],('SELECTED DATA'!Q223&gt;=Table3[start])*('SELECTED DATA'!Q223&lt;=Table3[end])),""))</f>
        <v/>
      </c>
      <c r="X223">
        <v>975</v>
      </c>
    </row>
    <row r="224" spans="3:24" x14ac:dyDescent="0.35">
      <c r="C224" s="36">
        <v>45361</v>
      </c>
      <c r="D224" t="str">
        <v>AM</v>
      </c>
      <c r="E224" t="str">
        <v>March</v>
      </c>
      <c r="F224" t="str">
        <v>SUN</v>
      </c>
      <c r="G224" s="31">
        <v>481</v>
      </c>
      <c r="H224" t="str">
        <v>DOUBLE</v>
      </c>
      <c r="I224">
        <v>481</v>
      </c>
      <c r="L224">
        <v>1197</v>
      </c>
      <c r="M224" s="31">
        <f t="shared" si="15"/>
        <v>202</v>
      </c>
      <c r="N224">
        <f t="shared" si="16"/>
        <v>0.69415807560137455</v>
      </c>
      <c r="O224">
        <f t="shared" si="17"/>
        <v>0.50767134289300608</v>
      </c>
      <c r="P224" s="281">
        <f t="shared" si="18"/>
        <v>1230.0476165130167</v>
      </c>
      <c r="W224" s="69" t="str" cm="1">
        <f t="array" ref="W224">_xlfn.TEXTJOIN(", ",TRUE,IFERROR(_xlfn._xlws.FILTER(Table3[Holiday Name],('SELECTED DATA'!Q224&gt;=Table3[start])*('SELECTED DATA'!Q224&lt;=Table3[end])),""))</f>
        <v/>
      </c>
      <c r="X224">
        <v>992</v>
      </c>
    </row>
    <row r="225" spans="3:24" x14ac:dyDescent="0.35">
      <c r="C225" s="36">
        <v>45361</v>
      </c>
      <c r="D225" t="str">
        <v>PM</v>
      </c>
      <c r="E225" t="str">
        <v>March</v>
      </c>
      <c r="F225" t="str">
        <v>SUN</v>
      </c>
      <c r="G225" s="31">
        <v>1184</v>
      </c>
      <c r="H225" t="str">
        <v>DOUBLE</v>
      </c>
      <c r="I225">
        <v>1184</v>
      </c>
      <c r="L225">
        <v>1085</v>
      </c>
      <c r="M225" s="31">
        <f t="shared" si="15"/>
        <v>175</v>
      </c>
      <c r="N225">
        <f t="shared" si="16"/>
        <v>0.60137457044673537</v>
      </c>
      <c r="O225">
        <f t="shared" si="17"/>
        <v>0.2569066212146966</v>
      </c>
      <c r="P225" s="281">
        <f t="shared" si="18"/>
        <v>1118.9161760140328</v>
      </c>
      <c r="W225" s="69" t="str" cm="1">
        <f t="array" ref="W225">_xlfn.TEXTJOIN(", ",TRUE,IFERROR(_xlfn._xlws.FILTER(Table3[Holiday Name],('SELECTED DATA'!Q225&gt;=Table3[start])*('SELECTED DATA'!Q225&lt;=Table3[end])),""))</f>
        <v/>
      </c>
      <c r="X225">
        <v>1078</v>
      </c>
    </row>
    <row r="226" spans="3:24" x14ac:dyDescent="0.35">
      <c r="C226" s="36">
        <v>45362</v>
      </c>
      <c r="D226" t="str">
        <v>PM</v>
      </c>
      <c r="E226" t="str">
        <v>March</v>
      </c>
      <c r="F226" t="str">
        <v>MON</v>
      </c>
      <c r="G226" s="31">
        <v>2178.5</v>
      </c>
      <c r="H226" t="str">
        <v>SINGLE</v>
      </c>
      <c r="I226">
        <v>2178.5</v>
      </c>
      <c r="L226">
        <v>1526.5</v>
      </c>
      <c r="M226" s="31">
        <f t="shared" si="15"/>
        <v>273</v>
      </c>
      <c r="N226">
        <f t="shared" si="16"/>
        <v>0.93814432989690721</v>
      </c>
      <c r="O226">
        <f t="shared" si="17"/>
        <v>1.5393808751474112</v>
      </c>
      <c r="P226" s="281">
        <f t="shared" si="18"/>
        <v>1687.2704895256293</v>
      </c>
      <c r="W226" s="69" t="str" cm="1">
        <f t="array" ref="W226">_xlfn.TEXTJOIN(", ",TRUE,IFERROR(_xlfn._xlws.FILTER(Table3[Holiday Name],('SELECTED DATA'!Q226&gt;=Table3[start])*('SELECTED DATA'!Q226&lt;=Table3[end])),""))</f>
        <v/>
      </c>
      <c r="X226">
        <v>1060</v>
      </c>
    </row>
    <row r="227" spans="3:24" x14ac:dyDescent="0.35">
      <c r="C227" s="36">
        <v>45364</v>
      </c>
      <c r="D227" t="str">
        <v>PM</v>
      </c>
      <c r="E227" t="str">
        <v>March</v>
      </c>
      <c r="F227" t="str">
        <v>WED</v>
      </c>
      <c r="G227" s="31">
        <v>1915</v>
      </c>
      <c r="H227" t="str">
        <v>SINGLE</v>
      </c>
      <c r="I227">
        <v>1915</v>
      </c>
      <c r="L227">
        <v>779</v>
      </c>
      <c r="M227" s="31">
        <f t="shared" si="15"/>
        <v>96</v>
      </c>
      <c r="N227">
        <f t="shared" si="16"/>
        <v>0.32989690721649484</v>
      </c>
      <c r="O227">
        <f t="shared" si="17"/>
        <v>-0.44019785324943045</v>
      </c>
      <c r="P227" s="281">
        <f t="shared" si="18"/>
        <v>809.98027822507947</v>
      </c>
      <c r="W227" s="69" t="str" cm="1">
        <f t="array" ref="W227">_xlfn.TEXTJOIN(", ",TRUE,IFERROR(_xlfn._xlws.FILTER(Table3[Holiday Name],('SELECTED DATA'!Q227&gt;=Table3[start])*('SELECTED DATA'!Q227&lt;=Table3[end])),""))</f>
        <v/>
      </c>
      <c r="X227">
        <v>600</v>
      </c>
    </row>
    <row r="228" spans="3:24" x14ac:dyDescent="0.35">
      <c r="C228" s="36">
        <v>45366</v>
      </c>
      <c r="D228" t="str">
        <v>PM</v>
      </c>
      <c r="E228" t="str">
        <v>March</v>
      </c>
      <c r="F228" t="str">
        <v>FRI</v>
      </c>
      <c r="G228" s="31">
        <v>1924.5</v>
      </c>
      <c r="H228" t="str">
        <v>SINGLE</v>
      </c>
      <c r="I228">
        <v>1924.5</v>
      </c>
      <c r="L228">
        <v>1245</v>
      </c>
      <c r="M228" s="31">
        <f t="shared" si="15"/>
        <v>216</v>
      </c>
      <c r="N228">
        <f t="shared" si="16"/>
        <v>0.74226804123711343</v>
      </c>
      <c r="O228">
        <f t="shared" si="17"/>
        <v>0.65035348275616589</v>
      </c>
      <c r="P228" s="281">
        <f t="shared" si="18"/>
        <v>1293.2800825088186</v>
      </c>
      <c r="W228" s="69" t="str" cm="1">
        <f t="array" ref="W228">_xlfn.TEXTJOIN(", ",TRUE,IFERROR(_xlfn._xlws.FILTER(Table3[Holiday Name],('SELECTED DATA'!Q228&gt;=Table3[start])*('SELECTED DATA'!Q228&lt;=Table3[end])),""))</f>
        <v/>
      </c>
      <c r="X228">
        <v>2022</v>
      </c>
    </row>
    <row r="229" spans="3:24" x14ac:dyDescent="0.35">
      <c r="C229" s="36">
        <v>45367</v>
      </c>
      <c r="D229" t="str">
        <v>AM</v>
      </c>
      <c r="E229" t="str">
        <v>March</v>
      </c>
      <c r="F229" t="str">
        <v>SAT</v>
      </c>
      <c r="G229" s="31">
        <v>567</v>
      </c>
      <c r="H229" t="str">
        <v>DOUBLE</v>
      </c>
      <c r="I229">
        <v>567</v>
      </c>
      <c r="L229">
        <v>566</v>
      </c>
      <c r="M229" s="31">
        <f t="shared" si="15"/>
        <v>55</v>
      </c>
      <c r="N229">
        <f t="shared" si="16"/>
        <v>0.18900343642611683</v>
      </c>
      <c r="O229">
        <f t="shared" si="17"/>
        <v>-0.88157464240967354</v>
      </c>
      <c r="P229" s="281">
        <f t="shared" si="18"/>
        <v>614.37525829281662</v>
      </c>
      <c r="W229" s="69" t="str" cm="1">
        <f t="array" ref="W229">_xlfn.TEXTJOIN(", ",TRUE,IFERROR(_xlfn._xlws.FILTER(Table3[Holiday Name],('SELECTED DATA'!Q229&gt;=Table3[start])*('SELECTED DATA'!Q229&lt;=Table3[end])),""))</f>
        <v/>
      </c>
      <c r="X229">
        <v>562</v>
      </c>
    </row>
    <row r="230" spans="3:24" x14ac:dyDescent="0.35">
      <c r="C230" s="36">
        <v>45367</v>
      </c>
      <c r="D230" t="str">
        <v>PM</v>
      </c>
      <c r="E230" t="str">
        <v>March</v>
      </c>
      <c r="F230" t="str">
        <v>SAT</v>
      </c>
      <c r="G230" s="31">
        <v>1429</v>
      </c>
      <c r="H230" t="str">
        <v>DOUBLE</v>
      </c>
      <c r="I230">
        <v>1429</v>
      </c>
      <c r="L230">
        <v>1027.5</v>
      </c>
      <c r="M230" s="31">
        <f t="shared" si="15"/>
        <v>156</v>
      </c>
      <c r="N230">
        <f t="shared" si="16"/>
        <v>0.53608247422680411</v>
      </c>
      <c r="O230">
        <f t="shared" si="17"/>
        <v>9.0569017035486976E-2</v>
      </c>
      <c r="P230" s="281">
        <f t="shared" si="18"/>
        <v>1045.2003142378335</v>
      </c>
      <c r="W230" s="69" t="str" cm="1">
        <f t="array" ref="W230">_xlfn.TEXTJOIN(", ",TRUE,IFERROR(_xlfn._xlws.FILTER(Table3[Holiday Name],('SELECTED DATA'!Q230&gt;=Table3[start])*('SELECTED DATA'!Q230&lt;=Table3[end])),""))</f>
        <v/>
      </c>
      <c r="X230">
        <v>1687</v>
      </c>
    </row>
    <row r="231" spans="3:24" x14ac:dyDescent="0.35">
      <c r="C231" s="36">
        <v>45368</v>
      </c>
      <c r="D231" t="str">
        <v>AM</v>
      </c>
      <c r="E231" t="str">
        <v>March</v>
      </c>
      <c r="F231" t="str">
        <v>SUN</v>
      </c>
      <c r="G231" s="31">
        <v>357.5</v>
      </c>
      <c r="H231" t="str">
        <v>SINGLE</v>
      </c>
      <c r="I231">
        <v>357.5</v>
      </c>
      <c r="L231">
        <v>1762</v>
      </c>
      <c r="M231" s="31">
        <f t="shared" si="15"/>
        <v>291</v>
      </c>
      <c r="N231">
        <f t="shared" si="16"/>
        <v>0.99828178694158076</v>
      </c>
      <c r="O231">
        <f t="shared" si="17"/>
        <v>2.9257358252621142</v>
      </c>
      <c r="P231" s="281">
        <f t="shared" si="18"/>
        <v>2301.6616272343363</v>
      </c>
      <c r="W231" s="69" t="str" cm="1">
        <f t="array" ref="W231">_xlfn.TEXTJOIN(", ",TRUE,IFERROR(_xlfn._xlws.FILTER(Table3[Holiday Name],('SELECTED DATA'!Q231&gt;=Table3[start])*('SELECTED DATA'!Q231&lt;=Table3[end])),""))</f>
        <v/>
      </c>
      <c r="X231">
        <v>1484</v>
      </c>
    </row>
    <row r="232" spans="3:24" x14ac:dyDescent="0.35">
      <c r="C232" s="36">
        <v>45369</v>
      </c>
      <c r="D232" t="str">
        <v>AM</v>
      </c>
      <c r="E232" t="str">
        <v>March</v>
      </c>
      <c r="F232" t="str">
        <v>MON</v>
      </c>
      <c r="G232" s="31">
        <v>578.58000000000004</v>
      </c>
      <c r="H232" t="str">
        <v>DOUBLE</v>
      </c>
      <c r="I232">
        <v>578.58000000000004</v>
      </c>
      <c r="L232">
        <v>1062</v>
      </c>
      <c r="M232" s="31">
        <f t="shared" si="15"/>
        <v>168</v>
      </c>
      <c r="N232">
        <f t="shared" si="16"/>
        <v>0.57731958762886593</v>
      </c>
      <c r="O232">
        <f t="shared" si="17"/>
        <v>0.19504103298980793</v>
      </c>
      <c r="P232" s="281">
        <f t="shared" si="18"/>
        <v>1091.4991937099246</v>
      </c>
      <c r="W232" s="69" t="str" cm="1">
        <f t="array" ref="W232">_xlfn.TEXTJOIN(", ",TRUE,IFERROR(_xlfn._xlws.FILTER(Table3[Holiday Name],('SELECTED DATA'!Q232&gt;=Table3[start])*('SELECTED DATA'!Q232&lt;=Table3[end])),""))</f>
        <v/>
      </c>
      <c r="X232">
        <v>1644</v>
      </c>
    </row>
    <row r="233" spans="3:24" x14ac:dyDescent="0.35">
      <c r="C233" s="36">
        <v>45369</v>
      </c>
      <c r="D233" t="str">
        <v>PM</v>
      </c>
      <c r="E233" t="str">
        <v>March</v>
      </c>
      <c r="F233" t="str">
        <v>MON</v>
      </c>
      <c r="G233" s="31">
        <v>1089</v>
      </c>
      <c r="H233" t="str">
        <v>DOUBLE</v>
      </c>
      <c r="I233">
        <v>1089</v>
      </c>
      <c r="L233">
        <v>451.5</v>
      </c>
      <c r="M233" s="31">
        <f t="shared" si="15"/>
        <v>36</v>
      </c>
      <c r="N233">
        <f t="shared" si="16"/>
        <v>0.12371134020618557</v>
      </c>
      <c r="O233">
        <f t="shared" si="17"/>
        <v>-1.1566321519853882</v>
      </c>
      <c r="P233" s="281">
        <f t="shared" si="18"/>
        <v>492.47797922329335</v>
      </c>
      <c r="W233" s="69" t="str" cm="1">
        <f t="array" ref="W233">_xlfn.TEXTJOIN(", ",TRUE,IFERROR(_xlfn._xlws.FILTER(Table3[Holiday Name],('SELECTED DATA'!Q233&gt;=Table3[start])*('SELECTED DATA'!Q233&lt;=Table3[end])),""))</f>
        <v/>
      </c>
      <c r="X233">
        <v>410</v>
      </c>
    </row>
    <row r="234" spans="3:24" x14ac:dyDescent="0.35">
      <c r="C234" s="36">
        <v>45371</v>
      </c>
      <c r="D234" t="str">
        <v>PM</v>
      </c>
      <c r="E234" t="str">
        <v>March</v>
      </c>
      <c r="F234" t="str">
        <v>WED</v>
      </c>
      <c r="G234" s="31">
        <v>365</v>
      </c>
      <c r="H234" t="str">
        <v>SINGLE</v>
      </c>
      <c r="I234">
        <v>365</v>
      </c>
      <c r="L234">
        <v>975</v>
      </c>
      <c r="M234" s="31">
        <f t="shared" si="15"/>
        <v>138.5</v>
      </c>
      <c r="N234">
        <f t="shared" si="16"/>
        <v>0.47594501718213056</v>
      </c>
      <c r="O234">
        <f t="shared" si="17"/>
        <v>-6.0333483712615411E-2</v>
      </c>
      <c r="P234" s="281">
        <f t="shared" si="18"/>
        <v>978.32482963697794</v>
      </c>
      <c r="W234" s="69" t="str" cm="1">
        <f t="array" ref="W234">_xlfn.TEXTJOIN(", ",TRUE,IFERROR(_xlfn._xlws.FILTER(Table3[Holiday Name],('SELECTED DATA'!Q234&gt;=Table3[start])*('SELECTED DATA'!Q234&lt;=Table3[end])),""))</f>
        <v/>
      </c>
      <c r="X234">
        <v>2225.5</v>
      </c>
    </row>
    <row r="235" spans="3:24" x14ac:dyDescent="0.35">
      <c r="C235" s="36">
        <v>45374</v>
      </c>
      <c r="D235" t="str">
        <v>PM</v>
      </c>
      <c r="E235" t="str">
        <v>March</v>
      </c>
      <c r="F235" t="str">
        <v>SAT</v>
      </c>
      <c r="G235" s="31">
        <v>1565.5</v>
      </c>
      <c r="H235" t="str">
        <v>SINGLE</v>
      </c>
      <c r="I235">
        <v>1565.5</v>
      </c>
      <c r="L235">
        <v>992</v>
      </c>
      <c r="M235" s="31">
        <f t="shared" si="15"/>
        <v>144</v>
      </c>
      <c r="N235">
        <f t="shared" si="16"/>
        <v>0.49484536082474229</v>
      </c>
      <c r="O235">
        <f t="shared" si="17"/>
        <v>-1.2921123835206039E-2</v>
      </c>
      <c r="P235" s="281">
        <f t="shared" si="18"/>
        <v>999.33657249844794</v>
      </c>
      <c r="W235" s="69" t="str" cm="1">
        <f t="array" ref="W235">_xlfn.TEXTJOIN(", ",TRUE,IFERROR(_xlfn._xlws.FILTER(Table3[Holiday Name],('SELECTED DATA'!Q235&gt;=Table3[start])*('SELECTED DATA'!Q235&lt;=Table3[end])),""))</f>
        <v/>
      </c>
      <c r="X235">
        <v>481</v>
      </c>
    </row>
    <row r="236" spans="3:24" x14ac:dyDescent="0.35">
      <c r="C236" s="36">
        <v>45375</v>
      </c>
      <c r="D236" t="str">
        <v>AM</v>
      </c>
      <c r="E236" t="str">
        <v>March</v>
      </c>
      <c r="F236" t="str">
        <v>SUN</v>
      </c>
      <c r="G236" s="31">
        <v>913</v>
      </c>
      <c r="H236" t="str">
        <v>SINGLE</v>
      </c>
      <c r="I236">
        <v>913</v>
      </c>
      <c r="L236">
        <v>1078</v>
      </c>
      <c r="M236" s="31">
        <f t="shared" si="15"/>
        <v>173</v>
      </c>
      <c r="N236">
        <f t="shared" si="16"/>
        <v>0.59450171821305842</v>
      </c>
      <c r="O236">
        <f t="shared" si="17"/>
        <v>0.23914059625845352</v>
      </c>
      <c r="P236" s="281">
        <f t="shared" si="18"/>
        <v>1111.0428039858057</v>
      </c>
      <c r="W236" s="69" t="str" cm="1">
        <f t="array" ref="W236">_xlfn.TEXTJOIN(", ",TRUE,IFERROR(_xlfn._xlws.FILTER(Table3[Holiday Name],('SELECTED DATA'!Q236&gt;=Table3[start])*('SELECTED DATA'!Q236&lt;=Table3[end])),""))</f>
        <v/>
      </c>
      <c r="X236">
        <v>1184</v>
      </c>
    </row>
    <row r="237" spans="3:24" x14ac:dyDescent="0.35">
      <c r="C237" s="36">
        <v>45376</v>
      </c>
      <c r="D237" t="str">
        <v>AM</v>
      </c>
      <c r="E237" t="str">
        <v>March</v>
      </c>
      <c r="F237" t="str">
        <v>MON</v>
      </c>
      <c r="G237" s="31">
        <v>341.5</v>
      </c>
      <c r="H237" t="str">
        <v>DOUBLE</v>
      </c>
      <c r="I237">
        <v>341.5</v>
      </c>
      <c r="L237">
        <v>1060</v>
      </c>
      <c r="M237" s="31">
        <f t="shared" si="15"/>
        <v>166</v>
      </c>
      <c r="N237">
        <f t="shared" si="16"/>
        <v>0.57044673539518898</v>
      </c>
      <c r="O237">
        <f t="shared" si="17"/>
        <v>0.17751163212543866</v>
      </c>
      <c r="P237" s="281">
        <f t="shared" si="18"/>
        <v>1083.7306864170982</v>
      </c>
      <c r="W237" s="69" t="str" cm="1">
        <f t="array" ref="W237">_xlfn.TEXTJOIN(", ",TRUE,IFERROR(_xlfn._xlws.FILTER(Table3[Holiday Name],('SELECTED DATA'!Q237&gt;=Table3[start])*('SELECTED DATA'!Q237&lt;=Table3[end])),""))</f>
        <v/>
      </c>
      <c r="X237">
        <v>2178.5</v>
      </c>
    </row>
    <row r="238" spans="3:24" x14ac:dyDescent="0.35">
      <c r="C238" s="36">
        <v>45376</v>
      </c>
      <c r="D238" t="str">
        <v>PM</v>
      </c>
      <c r="E238" t="str">
        <v>March</v>
      </c>
      <c r="F238" t="str">
        <v>MON</v>
      </c>
      <c r="G238" s="31">
        <v>1253.5</v>
      </c>
      <c r="H238" t="str">
        <v>DOUBLE</v>
      </c>
      <c r="I238">
        <v>1253.5</v>
      </c>
      <c r="L238">
        <v>600</v>
      </c>
      <c r="M238" s="31">
        <f t="shared" si="15"/>
        <v>67</v>
      </c>
      <c r="N238">
        <f t="shared" si="16"/>
        <v>0.23024054982817868</v>
      </c>
      <c r="O238">
        <f t="shared" si="17"/>
        <v>-0.73805488146063047</v>
      </c>
      <c r="P238" s="281">
        <f t="shared" si="18"/>
        <v>677.97893295482766</v>
      </c>
      <c r="W238" s="69" t="str" cm="1">
        <f t="array" ref="W238">_xlfn.TEXTJOIN(", ",TRUE,IFERROR(_xlfn._xlws.FILTER(Table3[Holiday Name],('SELECTED DATA'!Q238&gt;=Table3[start])*('SELECTED DATA'!Q238&lt;=Table3[end])),""))</f>
        <v/>
      </c>
      <c r="X238">
        <v>1915</v>
      </c>
    </row>
    <row r="239" spans="3:24" x14ac:dyDescent="0.35">
      <c r="C239" s="36">
        <v>45380</v>
      </c>
      <c r="D239" t="str">
        <v>PM</v>
      </c>
      <c r="E239" t="str">
        <v>March</v>
      </c>
      <c r="F239" t="str">
        <v>FRI</v>
      </c>
      <c r="G239" s="31">
        <v>2191.5</v>
      </c>
      <c r="H239" t="str">
        <v>SINGLE</v>
      </c>
      <c r="I239">
        <v>2191.5</v>
      </c>
      <c r="L239">
        <v>2022</v>
      </c>
      <c r="M239" s="31">
        <f t="shared" si="15"/>
        <v>298</v>
      </c>
      <c r="N239">
        <f t="shared" si="16"/>
        <v>0.99828178694158076</v>
      </c>
      <c r="O239">
        <f t="shared" si="17"/>
        <v>2.9257358252621142</v>
      </c>
      <c r="P239" s="281">
        <f t="shared" si="18"/>
        <v>2301.6616272343363</v>
      </c>
      <c r="W239" s="69" t="str" cm="1">
        <f t="array" ref="W239">_xlfn.TEXTJOIN(", ",TRUE,IFERROR(_xlfn._xlws.FILTER(Table3[Holiday Name],('SELECTED DATA'!Q239&gt;=Table3[start])*('SELECTED DATA'!Q239&lt;=Table3[end])),""))</f>
        <v/>
      </c>
      <c r="X239">
        <v>1924.5</v>
      </c>
    </row>
    <row r="240" spans="3:24" x14ac:dyDescent="0.35">
      <c r="C240" s="36">
        <v>45381</v>
      </c>
      <c r="D240" t="str">
        <v>PM</v>
      </c>
      <c r="E240" t="str">
        <v>March</v>
      </c>
      <c r="F240" t="str">
        <v>SAT</v>
      </c>
      <c r="G240" s="31">
        <v>953.5</v>
      </c>
      <c r="H240" t="str">
        <v>SINGLE</v>
      </c>
      <c r="I240">
        <v>953.5</v>
      </c>
      <c r="L240">
        <v>562</v>
      </c>
      <c r="M240" s="31">
        <f t="shared" si="15"/>
        <v>54</v>
      </c>
      <c r="N240">
        <f t="shared" si="16"/>
        <v>0.18556701030927836</v>
      </c>
      <c r="O240">
        <f t="shared" si="17"/>
        <v>-0.89435118721371198</v>
      </c>
      <c r="P240" s="281">
        <f t="shared" si="18"/>
        <v>608.71307495550457</v>
      </c>
      <c r="W240" s="69" t="str" cm="1">
        <f t="array" ref="W240">_xlfn.TEXTJOIN(", ",TRUE,IFERROR(_xlfn._xlws.FILTER(Table3[Holiday Name],('SELECTED DATA'!Q240&gt;=Table3[start])*('SELECTED DATA'!Q240&lt;=Table3[end])),""))</f>
        <v/>
      </c>
      <c r="X240">
        <v>567</v>
      </c>
    </row>
    <row r="241" spans="3:24" x14ac:dyDescent="0.35">
      <c r="C241" s="36">
        <v>45382</v>
      </c>
      <c r="D241" t="str">
        <v>AM</v>
      </c>
      <c r="E241" t="str">
        <v>March</v>
      </c>
      <c r="F241" t="str">
        <v>SUN</v>
      </c>
      <c r="G241" s="31">
        <v>815.5</v>
      </c>
      <c r="H241" t="str">
        <v>DOUBLE</v>
      </c>
      <c r="I241">
        <v>815.5</v>
      </c>
      <c r="L241">
        <v>1687</v>
      </c>
      <c r="M241" s="31">
        <f t="shared" si="15"/>
        <v>286</v>
      </c>
      <c r="N241">
        <f t="shared" si="16"/>
        <v>0.98281786941580751</v>
      </c>
      <c r="O241">
        <f t="shared" si="17"/>
        <v>2.1157713232593616</v>
      </c>
      <c r="P241" s="281">
        <f t="shared" si="18"/>
        <v>1942.7095335818672</v>
      </c>
      <c r="W241" s="69" t="str" cm="1">
        <f t="array" ref="W241">_xlfn.TEXTJOIN(", ",TRUE,IFERROR(_xlfn._xlws.FILTER(Table3[Holiday Name],('SELECTED DATA'!Q241&gt;=Table3[start])*('SELECTED DATA'!Q241&lt;=Table3[end])),""))</f>
        <v/>
      </c>
      <c r="X241">
        <v>1429</v>
      </c>
    </row>
    <row r="242" spans="3:24" x14ac:dyDescent="0.35">
      <c r="C242" s="36">
        <v>45382</v>
      </c>
      <c r="D242" t="str">
        <v>PM</v>
      </c>
      <c r="E242" t="str">
        <v>March</v>
      </c>
      <c r="F242" t="str">
        <v>SUN</v>
      </c>
      <c r="G242" s="31">
        <v>1087</v>
      </c>
      <c r="H242" t="str">
        <v>DOUBLE</v>
      </c>
      <c r="I242">
        <v>1087</v>
      </c>
      <c r="L242">
        <v>1484</v>
      </c>
      <c r="M242" s="31">
        <f t="shared" si="15"/>
        <v>269</v>
      </c>
      <c r="N242">
        <f t="shared" si="16"/>
        <v>0.92439862542955331</v>
      </c>
      <c r="O242">
        <f t="shared" si="17"/>
        <v>1.4352960631568972</v>
      </c>
      <c r="P242" s="281">
        <f t="shared" si="18"/>
        <v>1641.1432072940784</v>
      </c>
      <c r="W242" s="69" t="str" cm="1">
        <f t="array" ref="W242">_xlfn.TEXTJOIN(", ",TRUE,IFERROR(_xlfn._xlws.FILTER(Table3[Holiday Name],('SELECTED DATA'!Q242&gt;=Table3[start])*('SELECTED DATA'!Q242&lt;=Table3[end])),""))</f>
        <v/>
      </c>
      <c r="X242">
        <v>357.5</v>
      </c>
    </row>
    <row r="243" spans="3:24" x14ac:dyDescent="0.35">
      <c r="C243" s="36">
        <v>45383</v>
      </c>
      <c r="D243" t="str">
        <v>AM</v>
      </c>
      <c r="E243" t="str">
        <v>April</v>
      </c>
      <c r="F243" t="str">
        <v>MON</v>
      </c>
      <c r="G243" s="31">
        <v>770.5</v>
      </c>
      <c r="H243" t="str">
        <v>DOUBLE</v>
      </c>
      <c r="I243">
        <v>770.5</v>
      </c>
      <c r="L243">
        <v>1644</v>
      </c>
      <c r="M243" s="31">
        <f t="shared" si="15"/>
        <v>283</v>
      </c>
      <c r="N243">
        <f t="shared" si="16"/>
        <v>0.97250859106529208</v>
      </c>
      <c r="O243">
        <f t="shared" si="17"/>
        <v>1.9190119788705631</v>
      </c>
      <c r="P243" s="281">
        <f t="shared" si="18"/>
        <v>1855.511664490801</v>
      </c>
      <c r="W243" s="69" t="str" cm="1">
        <f t="array" ref="W243">_xlfn.TEXTJOIN(", ",TRUE,IFERROR(_xlfn._xlws.FILTER(Table3[Holiday Name],('SELECTED DATA'!Q243&gt;=Table3[start])*('SELECTED DATA'!Q243&lt;=Table3[end])),""))</f>
        <v/>
      </c>
      <c r="X243">
        <v>578.58000000000004</v>
      </c>
    </row>
    <row r="244" spans="3:24" x14ac:dyDescent="0.35">
      <c r="C244" s="36">
        <v>45383</v>
      </c>
      <c r="D244" t="str">
        <v>PM</v>
      </c>
      <c r="E244" t="str">
        <v>April</v>
      </c>
      <c r="F244" t="str">
        <v>MON</v>
      </c>
      <c r="G244" s="31">
        <v>858</v>
      </c>
      <c r="H244" t="str">
        <v>DOUBLE</v>
      </c>
      <c r="I244">
        <v>858</v>
      </c>
      <c r="L244">
        <v>410</v>
      </c>
      <c r="M244" s="31">
        <f t="shared" si="15"/>
        <v>31</v>
      </c>
      <c r="N244">
        <f t="shared" si="16"/>
        <v>0.10652920962199312</v>
      </c>
      <c r="O244">
        <f t="shared" si="17"/>
        <v>-1.2451995193805165</v>
      </c>
      <c r="P244" s="281">
        <f t="shared" si="18"/>
        <v>453.22756531359732</v>
      </c>
      <c r="W244" s="69" t="str" cm="1">
        <f t="array" ref="W244">_xlfn.TEXTJOIN(", ",TRUE,IFERROR(_xlfn._xlws.FILTER(Table3[Holiday Name],('SELECTED DATA'!Q244&gt;=Table3[start])*('SELECTED DATA'!Q244&lt;=Table3[end])),""))</f>
        <v/>
      </c>
      <c r="X244">
        <v>1089</v>
      </c>
    </row>
    <row r="245" spans="3:24" x14ac:dyDescent="0.35">
      <c r="C245" s="36">
        <v>45384</v>
      </c>
      <c r="D245" t="str">
        <v>PM</v>
      </c>
      <c r="E245" t="str">
        <v>April</v>
      </c>
      <c r="F245" t="str">
        <v>TUE</v>
      </c>
      <c r="G245" s="31">
        <v>1193.5</v>
      </c>
      <c r="H245" t="str">
        <v>SINGLE</v>
      </c>
      <c r="I245">
        <v>1193.5</v>
      </c>
      <c r="L245">
        <v>2225.5</v>
      </c>
      <c r="M245" s="31">
        <f t="shared" si="15"/>
        <v>303</v>
      </c>
      <c r="N245">
        <f t="shared" si="16"/>
        <v>0.99828178694158076</v>
      </c>
      <c r="O245">
        <f t="shared" si="17"/>
        <v>2.9257358252621142</v>
      </c>
      <c r="P245" s="281">
        <f t="shared" si="18"/>
        <v>2301.6616272343363</v>
      </c>
      <c r="W245" s="69" t="str" cm="1">
        <f t="array" ref="W245">_xlfn.TEXTJOIN(", ",TRUE,IFERROR(_xlfn._xlws.FILTER(Table3[Holiday Name],('SELECTED DATA'!Q245&gt;=Table3[start])*('SELECTED DATA'!Q245&lt;=Table3[end])),""))</f>
        <v/>
      </c>
      <c r="X245">
        <v>365</v>
      </c>
    </row>
    <row r="246" spans="3:24" x14ac:dyDescent="0.35">
      <c r="C246" s="36">
        <v>45385</v>
      </c>
      <c r="D246" t="str">
        <v>AM</v>
      </c>
      <c r="E246" t="str">
        <v>April</v>
      </c>
      <c r="F246" t="str">
        <v>WED</v>
      </c>
      <c r="G246" s="31">
        <v>591</v>
      </c>
      <c r="H246" t="str">
        <v>DOUBLE</v>
      </c>
      <c r="I246">
        <v>591</v>
      </c>
      <c r="L246">
        <v>481</v>
      </c>
      <c r="M246" s="31">
        <f t="shared" si="15"/>
        <v>40</v>
      </c>
      <c r="N246">
        <f t="shared" si="16"/>
        <v>0.13745704467353953</v>
      </c>
      <c r="O246">
        <f t="shared" si="17"/>
        <v>-1.091815762474214</v>
      </c>
      <c r="P246" s="281">
        <f t="shared" si="18"/>
        <v>521.20266858992795</v>
      </c>
      <c r="W246" s="69" t="str" cm="1">
        <f t="array" ref="W246">_xlfn.TEXTJOIN(", ",TRUE,IFERROR(_xlfn._xlws.FILTER(Table3[Holiday Name],('SELECTED DATA'!Q246&gt;=Table3[start])*('SELECTED DATA'!Q246&lt;=Table3[end])),""))</f>
        <v/>
      </c>
      <c r="X246">
        <v>1565.5</v>
      </c>
    </row>
    <row r="247" spans="3:24" x14ac:dyDescent="0.35">
      <c r="C247" s="36">
        <v>45385</v>
      </c>
      <c r="D247" t="str">
        <v>PM</v>
      </c>
      <c r="E247" t="str">
        <v>April</v>
      </c>
      <c r="F247" t="str">
        <v>WED</v>
      </c>
      <c r="G247" s="31">
        <v>368</v>
      </c>
      <c r="H247" t="str">
        <v>DOUBLE</v>
      </c>
      <c r="I247">
        <v>368</v>
      </c>
      <c r="L247">
        <v>1184</v>
      </c>
      <c r="M247" s="31">
        <f t="shared" si="15"/>
        <v>195.5</v>
      </c>
      <c r="N247">
        <f t="shared" si="16"/>
        <v>0.67182130584192434</v>
      </c>
      <c r="O247">
        <f t="shared" si="17"/>
        <v>0.44494792394542765</v>
      </c>
      <c r="P247" s="281">
        <f t="shared" si="18"/>
        <v>1202.2504692348293</v>
      </c>
      <c r="W247" s="69" t="str" cm="1">
        <f t="array" ref="W247">_xlfn.TEXTJOIN(", ",TRUE,IFERROR(_xlfn._xlws.FILTER(Table3[Holiday Name],('SELECTED DATA'!Q247&gt;=Table3[start])*('SELECTED DATA'!Q247&lt;=Table3[end])),""))</f>
        <v/>
      </c>
      <c r="X247">
        <v>913</v>
      </c>
    </row>
    <row r="248" spans="3:24" x14ac:dyDescent="0.35">
      <c r="C248" s="36">
        <v>45387</v>
      </c>
      <c r="D248" t="str">
        <v>PM</v>
      </c>
      <c r="E248" t="str">
        <v>April</v>
      </c>
      <c r="F248" t="str">
        <v>FRI</v>
      </c>
      <c r="G248" s="31">
        <v>1198</v>
      </c>
      <c r="H248" t="str">
        <v>SINGLE</v>
      </c>
      <c r="I248">
        <v>1198</v>
      </c>
      <c r="L248">
        <v>2178.5</v>
      </c>
      <c r="M248" s="31">
        <f t="shared" si="15"/>
        <v>301</v>
      </c>
      <c r="N248">
        <f t="shared" si="16"/>
        <v>0.99828178694158076</v>
      </c>
      <c r="O248">
        <f t="shared" si="17"/>
        <v>2.9257358252621142</v>
      </c>
      <c r="P248" s="281">
        <f t="shared" si="18"/>
        <v>2301.6616272343363</v>
      </c>
      <c r="W248" s="69" t="str" cm="1">
        <f t="array" ref="W248">_xlfn.TEXTJOIN(", ",TRUE,IFERROR(_xlfn._xlws.FILTER(Table3[Holiday Name],('SELECTED DATA'!Q248&gt;=Table3[start])*('SELECTED DATA'!Q248&lt;=Table3[end])),""))</f>
        <v/>
      </c>
      <c r="X248">
        <v>341.5</v>
      </c>
    </row>
    <row r="249" spans="3:24" x14ac:dyDescent="0.35">
      <c r="C249" s="36">
        <v>45389</v>
      </c>
      <c r="D249" t="str">
        <v>PM</v>
      </c>
      <c r="E249" t="str">
        <v>April</v>
      </c>
      <c r="F249" t="str">
        <v>SUN</v>
      </c>
      <c r="G249" s="31">
        <v>975</v>
      </c>
      <c r="H249" t="str">
        <v>SINGLE</v>
      </c>
      <c r="I249">
        <v>975</v>
      </c>
      <c r="L249">
        <v>1915</v>
      </c>
      <c r="M249" s="31">
        <f t="shared" si="15"/>
        <v>295</v>
      </c>
      <c r="N249">
        <f t="shared" si="16"/>
        <v>0.99828178694158076</v>
      </c>
      <c r="O249">
        <f t="shared" si="17"/>
        <v>2.9257358252621142</v>
      </c>
      <c r="P249" s="281">
        <f t="shared" si="18"/>
        <v>2301.6616272343363</v>
      </c>
      <c r="W249" s="69" t="str" cm="1">
        <f t="array" ref="W249">_xlfn.TEXTJOIN(", ",TRUE,IFERROR(_xlfn._xlws.FILTER(Table3[Holiday Name],('SELECTED DATA'!Q249&gt;=Table3[start])*('SELECTED DATA'!Q249&lt;=Table3[end])),""))</f>
        <v/>
      </c>
      <c r="X249">
        <v>1253.5</v>
      </c>
    </row>
    <row r="250" spans="3:24" x14ac:dyDescent="0.35">
      <c r="C250" s="36">
        <v>45390</v>
      </c>
      <c r="D250" t="str">
        <v>AM</v>
      </c>
      <c r="E250" t="str">
        <v>April</v>
      </c>
      <c r="F250" t="str">
        <v>MON</v>
      </c>
      <c r="G250" s="31">
        <v>99</v>
      </c>
      <c r="H250" t="str">
        <v>DOUBLE</v>
      </c>
      <c r="I250">
        <v>99</v>
      </c>
      <c r="L250">
        <v>1924.5</v>
      </c>
      <c r="M250" s="31">
        <f t="shared" si="15"/>
        <v>296</v>
      </c>
      <c r="N250">
        <f t="shared" si="16"/>
        <v>0.99828178694158076</v>
      </c>
      <c r="O250">
        <f t="shared" si="17"/>
        <v>2.9257358252621142</v>
      </c>
      <c r="P250" s="281">
        <f t="shared" si="18"/>
        <v>2301.6616272343363</v>
      </c>
      <c r="W250" s="69" t="str" cm="1">
        <f t="array" ref="W250">_xlfn.TEXTJOIN(", ",TRUE,IFERROR(_xlfn._xlws.FILTER(Table3[Holiday Name],('SELECTED DATA'!Q250&gt;=Table3[start])*('SELECTED DATA'!Q250&lt;=Table3[end])),""))</f>
        <v/>
      </c>
      <c r="X250">
        <v>2191.5</v>
      </c>
    </row>
    <row r="251" spans="3:24" x14ac:dyDescent="0.35">
      <c r="C251" s="36">
        <v>45390</v>
      </c>
      <c r="D251" t="str">
        <v>PM</v>
      </c>
      <c r="E251" t="str">
        <v>April</v>
      </c>
      <c r="F251" t="str">
        <v>MON</v>
      </c>
      <c r="G251" s="31">
        <v>594</v>
      </c>
      <c r="H251" t="str">
        <v>DOUBLE</v>
      </c>
      <c r="I251">
        <v>594</v>
      </c>
      <c r="L251">
        <v>567</v>
      </c>
      <c r="M251" s="31">
        <f t="shared" si="15"/>
        <v>56</v>
      </c>
      <c r="N251">
        <f t="shared" si="16"/>
        <v>0.19243986254295534</v>
      </c>
      <c r="O251">
        <f t="shared" si="17"/>
        <v>-0.86894041023160729</v>
      </c>
      <c r="P251" s="281">
        <f t="shared" si="18"/>
        <v>619.97437292166092</v>
      </c>
      <c r="W251" s="69" t="str" cm="1">
        <f t="array" ref="W251">_xlfn.TEXTJOIN(", ",TRUE,IFERROR(_xlfn._xlws.FILTER(Table3[Holiday Name],('SELECTED DATA'!Q251&gt;=Table3[start])*('SELECTED DATA'!Q251&lt;=Table3[end])),""))</f>
        <v/>
      </c>
      <c r="X251">
        <v>953.5</v>
      </c>
    </row>
    <row r="252" spans="3:24" x14ac:dyDescent="0.35">
      <c r="C252" s="36">
        <v>45392</v>
      </c>
      <c r="D252" t="str">
        <v>AM</v>
      </c>
      <c r="E252" t="str">
        <v>April</v>
      </c>
      <c r="F252" t="str">
        <v>WED</v>
      </c>
      <c r="G252" s="31">
        <v>319</v>
      </c>
      <c r="H252" t="str">
        <v>DOUBLE</v>
      </c>
      <c r="I252">
        <v>319</v>
      </c>
      <c r="L252">
        <v>1429</v>
      </c>
      <c r="M252" s="31">
        <f t="shared" si="15"/>
        <v>261</v>
      </c>
      <c r="N252">
        <f t="shared" si="16"/>
        <v>0.89690721649484539</v>
      </c>
      <c r="O252">
        <f t="shared" si="17"/>
        <v>1.264123879117715</v>
      </c>
      <c r="P252" s="281">
        <f t="shared" si="18"/>
        <v>1565.284804013435</v>
      </c>
      <c r="W252" s="69" t="str" cm="1">
        <f t="array" ref="W252">_xlfn.TEXTJOIN(", ",TRUE,IFERROR(_xlfn._xlws.FILTER(Table3[Holiday Name],('SELECTED DATA'!Q252&gt;=Table3[start])*('SELECTED DATA'!Q252&lt;=Table3[end])),""))</f>
        <v/>
      </c>
      <c r="X252">
        <v>815.5</v>
      </c>
    </row>
    <row r="253" spans="3:24" x14ac:dyDescent="0.35">
      <c r="C253" s="36">
        <v>45392</v>
      </c>
      <c r="D253" t="str">
        <v>PM</v>
      </c>
      <c r="E253" t="str">
        <v>April</v>
      </c>
      <c r="F253" t="str">
        <v>WED</v>
      </c>
      <c r="G253" s="31">
        <v>856</v>
      </c>
      <c r="H253" t="str">
        <v>DOUBLE</v>
      </c>
      <c r="I253">
        <v>856</v>
      </c>
      <c r="L253">
        <v>357.5</v>
      </c>
      <c r="M253" s="31">
        <f t="shared" si="15"/>
        <v>23</v>
      </c>
      <c r="N253">
        <f t="shared" si="16"/>
        <v>7.903780068728522E-2</v>
      </c>
      <c r="O253">
        <f t="shared" si="17"/>
        <v>-1.4115734266167841</v>
      </c>
      <c r="P253" s="281">
        <f t="shared" si="18"/>
        <v>379.49561510598562</v>
      </c>
      <c r="W253" s="69" t="str" cm="1">
        <f t="array" ref="W253">_xlfn.TEXTJOIN(", ",TRUE,IFERROR(_xlfn._xlws.FILTER(Table3[Holiday Name],('SELECTED DATA'!Q253&gt;=Table3[start])*('SELECTED DATA'!Q253&lt;=Table3[end])),""))</f>
        <v/>
      </c>
      <c r="X253">
        <v>1087</v>
      </c>
    </row>
    <row r="254" spans="3:24" x14ac:dyDescent="0.35">
      <c r="C254" s="36">
        <v>45394</v>
      </c>
      <c r="D254" t="str">
        <v>AM</v>
      </c>
      <c r="E254" t="str">
        <v>April</v>
      </c>
      <c r="F254" t="str">
        <v>FRI</v>
      </c>
      <c r="G254" s="31">
        <v>369.5</v>
      </c>
      <c r="H254" t="str">
        <v>DOUBLE</v>
      </c>
      <c r="I254">
        <v>369.5</v>
      </c>
      <c r="L254">
        <v>578.58000000000004</v>
      </c>
      <c r="M254" s="31">
        <f t="shared" si="15"/>
        <v>60</v>
      </c>
      <c r="N254">
        <f t="shared" si="16"/>
        <v>0.20618556701030927</v>
      </c>
      <c r="O254">
        <f t="shared" si="17"/>
        <v>-0.81972808807730502</v>
      </c>
      <c r="P254" s="281">
        <f t="shared" si="18"/>
        <v>641.78380534383223</v>
      </c>
      <c r="W254" s="69" t="str" cm="1">
        <f t="array" ref="W254">_xlfn.TEXTJOIN(", ",TRUE,IFERROR(_xlfn._xlws.FILTER(Table3[Holiday Name],('SELECTED DATA'!Q254&gt;=Table3[start])*('SELECTED DATA'!Q254&lt;=Table3[end])),""))</f>
        <v/>
      </c>
      <c r="X254">
        <v>770.5</v>
      </c>
    </row>
    <row r="255" spans="3:24" x14ac:dyDescent="0.35">
      <c r="C255" s="36">
        <v>45394</v>
      </c>
      <c r="D255" t="str">
        <v>PM</v>
      </c>
      <c r="E255" t="str">
        <v>April</v>
      </c>
      <c r="F255" t="str">
        <v>FRI</v>
      </c>
      <c r="G255" s="31">
        <v>1566.5</v>
      </c>
      <c r="H255" t="str">
        <v>DOUBLE</v>
      </c>
      <c r="I255">
        <v>1566.5</v>
      </c>
      <c r="L255">
        <v>1089</v>
      </c>
      <c r="M255" s="31">
        <f t="shared" si="15"/>
        <v>177</v>
      </c>
      <c r="N255">
        <f t="shared" si="16"/>
        <v>0.60824742268041232</v>
      </c>
      <c r="O255">
        <f t="shared" si="17"/>
        <v>0.27475411245874876</v>
      </c>
      <c r="P255" s="281">
        <f t="shared" si="18"/>
        <v>1126.8256514696311</v>
      </c>
      <c r="W255" s="69" t="str" cm="1">
        <f t="array" ref="W255">_xlfn.TEXTJOIN(", ",TRUE,IFERROR(_xlfn._xlws.FILTER(Table3[Holiday Name],('SELECTED DATA'!Q255&gt;=Table3[start])*('SELECTED DATA'!Q255&lt;=Table3[end])),""))</f>
        <v/>
      </c>
      <c r="X255">
        <v>858</v>
      </c>
    </row>
    <row r="256" spans="3:24" x14ac:dyDescent="0.35">
      <c r="C256" s="36">
        <v>45395</v>
      </c>
      <c r="D256" t="str">
        <v>AM</v>
      </c>
      <c r="E256" t="str">
        <v>April</v>
      </c>
      <c r="F256" t="str">
        <v>SAT</v>
      </c>
      <c r="G256" s="31">
        <v>1278.25</v>
      </c>
      <c r="H256" t="str">
        <v>DOUBLE</v>
      </c>
      <c r="I256">
        <v>1278.25</v>
      </c>
      <c r="L256">
        <v>365</v>
      </c>
      <c r="M256" s="31">
        <f t="shared" si="15"/>
        <v>24</v>
      </c>
      <c r="N256">
        <f t="shared" si="16"/>
        <v>8.247422680412371E-2</v>
      </c>
      <c r="O256">
        <f t="shared" si="17"/>
        <v>-1.3886196016161609</v>
      </c>
      <c r="P256" s="281">
        <f t="shared" si="18"/>
        <v>389.66806528242319</v>
      </c>
      <c r="W256" s="69" t="str" cm="1">
        <f t="array" ref="W256">_xlfn.TEXTJOIN(", ",TRUE,IFERROR(_xlfn._xlws.FILTER(Table3[Holiday Name],('SELECTED DATA'!Q256&gt;=Table3[start])*('SELECTED DATA'!Q256&lt;=Table3[end])),""))</f>
        <v/>
      </c>
      <c r="X256">
        <v>1193.5</v>
      </c>
    </row>
    <row r="257" spans="3:24" x14ac:dyDescent="0.35">
      <c r="C257" s="36">
        <v>45395</v>
      </c>
      <c r="D257" t="str">
        <v>PM</v>
      </c>
      <c r="E257" t="str">
        <v>April</v>
      </c>
      <c r="F257" t="str">
        <v>SAT</v>
      </c>
      <c r="G257" s="31">
        <v>1278.25</v>
      </c>
      <c r="H257" t="str">
        <v>DOUBLE</v>
      </c>
      <c r="I257">
        <v>1278.25</v>
      </c>
      <c r="L257">
        <v>1565.5</v>
      </c>
      <c r="M257" s="31">
        <f t="shared" si="15"/>
        <v>278</v>
      </c>
      <c r="N257">
        <f t="shared" si="16"/>
        <v>0.9553264604810997</v>
      </c>
      <c r="O257">
        <f t="shared" si="17"/>
        <v>1.698851967960171</v>
      </c>
      <c r="P257" s="281">
        <f t="shared" si="18"/>
        <v>1757.9433183973233</v>
      </c>
      <c r="W257" s="69" t="str" cm="1">
        <f t="array" ref="W257">_xlfn.TEXTJOIN(", ",TRUE,IFERROR(_xlfn._xlws.FILTER(Table3[Holiday Name],('SELECTED DATA'!Q257&gt;=Table3[start])*('SELECTED DATA'!Q257&lt;=Table3[end])),""))</f>
        <v/>
      </c>
      <c r="X257">
        <v>591</v>
      </c>
    </row>
    <row r="258" spans="3:24" x14ac:dyDescent="0.35">
      <c r="C258" s="36">
        <v>45396</v>
      </c>
      <c r="D258" t="str">
        <v>PM</v>
      </c>
      <c r="E258" t="str">
        <v>April</v>
      </c>
      <c r="F258" t="str">
        <v>SUN</v>
      </c>
      <c r="G258" s="31">
        <v>2054.5</v>
      </c>
      <c r="H258" t="str">
        <v>SINGLE</v>
      </c>
      <c r="I258">
        <v>2054.5</v>
      </c>
      <c r="L258">
        <v>913</v>
      </c>
      <c r="M258" s="31">
        <f t="shared" si="15"/>
        <v>121</v>
      </c>
      <c r="N258">
        <f t="shared" si="16"/>
        <v>0.41580756013745707</v>
      </c>
      <c r="O258">
        <f t="shared" si="17"/>
        <v>-0.21263057636128888</v>
      </c>
      <c r="P258" s="281">
        <f t="shared" si="18"/>
        <v>910.83130352780574</v>
      </c>
      <c r="W258" s="69" t="str" cm="1">
        <f t="array" ref="W258">_xlfn.TEXTJOIN(", ",TRUE,IFERROR(_xlfn._xlws.FILTER(Table3[Holiday Name],('SELECTED DATA'!Q258&gt;=Table3[start])*('SELECTED DATA'!Q258&lt;=Table3[end])),""))</f>
        <v/>
      </c>
      <c r="X258">
        <v>368</v>
      </c>
    </row>
    <row r="259" spans="3:24" x14ac:dyDescent="0.35">
      <c r="C259" s="36">
        <v>45398</v>
      </c>
      <c r="D259" t="str">
        <v>AM</v>
      </c>
      <c r="E259" t="str">
        <v>April</v>
      </c>
      <c r="F259" t="str">
        <v>TUE</v>
      </c>
      <c r="G259" s="31">
        <v>677</v>
      </c>
      <c r="H259" t="str">
        <v>DOUBLE</v>
      </c>
      <c r="I259">
        <v>677</v>
      </c>
      <c r="L259">
        <v>341.5</v>
      </c>
      <c r="M259" s="31">
        <f t="shared" si="15"/>
        <v>19</v>
      </c>
      <c r="N259">
        <f t="shared" si="16"/>
        <v>6.5292096219931275E-2</v>
      </c>
      <c r="O259">
        <f t="shared" si="17"/>
        <v>-1.5118021887834385</v>
      </c>
      <c r="P259" s="281">
        <f t="shared" si="18"/>
        <v>335.07721907139774</v>
      </c>
      <c r="W259" s="69" t="str" cm="1">
        <f t="array" ref="W259">_xlfn.TEXTJOIN(", ",TRUE,IFERROR(_xlfn._xlws.FILTER(Table3[Holiday Name],('SELECTED DATA'!Q259&gt;=Table3[start])*('SELECTED DATA'!Q259&lt;=Table3[end])),""))</f>
        <v/>
      </c>
      <c r="X259">
        <v>1198</v>
      </c>
    </row>
    <row r="260" spans="3:24" x14ac:dyDescent="0.35">
      <c r="C260" s="36">
        <v>45398</v>
      </c>
      <c r="D260" t="str">
        <v>PM</v>
      </c>
      <c r="E260" t="str">
        <v>April</v>
      </c>
      <c r="F260" t="str">
        <v>TUE</v>
      </c>
      <c r="G260" s="31">
        <v>677</v>
      </c>
      <c r="H260" t="str">
        <v>DOUBLE</v>
      </c>
      <c r="I260">
        <v>677</v>
      </c>
      <c r="L260">
        <v>1253.5</v>
      </c>
      <c r="M260" s="31">
        <f t="shared" si="15"/>
        <v>217</v>
      </c>
      <c r="N260">
        <f t="shared" si="16"/>
        <v>0.74570446735395191</v>
      </c>
      <c r="O260">
        <f t="shared" si="17"/>
        <v>0.66103313328766589</v>
      </c>
      <c r="P260" s="281">
        <f t="shared" si="18"/>
        <v>1298.0129848869842</v>
      </c>
      <c r="W260" s="69" t="str" cm="1">
        <f t="array" ref="W260">_xlfn.TEXTJOIN(", ",TRUE,IFERROR(_xlfn._xlws.FILTER(Table3[Holiday Name],('SELECTED DATA'!Q260&gt;=Table3[start])*('SELECTED DATA'!Q260&lt;=Table3[end])),""))</f>
        <v/>
      </c>
      <c r="X260">
        <v>975</v>
      </c>
    </row>
    <row r="261" spans="3:24" x14ac:dyDescent="0.35">
      <c r="C261" s="36">
        <v>45399</v>
      </c>
      <c r="D261" t="str">
        <v>AM</v>
      </c>
      <c r="E261" t="str">
        <v>April</v>
      </c>
      <c r="F261" t="str">
        <v>WED</v>
      </c>
      <c r="G261" s="31">
        <v>421</v>
      </c>
      <c r="H261" t="str">
        <v>DOUBLE</v>
      </c>
      <c r="I261">
        <v>421</v>
      </c>
      <c r="L261">
        <v>2191.5</v>
      </c>
      <c r="M261" s="31">
        <f t="shared" si="15"/>
        <v>302</v>
      </c>
      <c r="N261">
        <f t="shared" si="16"/>
        <v>0.99828178694158076</v>
      </c>
      <c r="O261">
        <f t="shared" si="17"/>
        <v>2.9257358252621142</v>
      </c>
      <c r="P261" s="281">
        <f t="shared" si="18"/>
        <v>2301.6616272343363</v>
      </c>
      <c r="W261" s="69" t="str" cm="1">
        <f t="array" ref="W261">_xlfn.TEXTJOIN(", ",TRUE,IFERROR(_xlfn._xlws.FILTER(Table3[Holiday Name],('SELECTED DATA'!Q261&gt;=Table3[start])*('SELECTED DATA'!Q261&lt;=Table3[end])),""))</f>
        <v/>
      </c>
      <c r="X261">
        <v>99</v>
      </c>
    </row>
    <row r="262" spans="3:24" x14ac:dyDescent="0.35">
      <c r="C262" s="36">
        <v>45399</v>
      </c>
      <c r="D262" t="str">
        <v>PM</v>
      </c>
      <c r="E262" t="str">
        <v>April</v>
      </c>
      <c r="F262" t="str">
        <v>WED</v>
      </c>
      <c r="G262" s="31">
        <v>801.5</v>
      </c>
      <c r="H262" t="str">
        <v>DOUBLE</v>
      </c>
      <c r="I262">
        <v>801.5</v>
      </c>
      <c r="L262">
        <v>953.5</v>
      </c>
      <c r="M262" s="31">
        <f t="shared" si="15"/>
        <v>132</v>
      </c>
      <c r="N262">
        <f t="shared" si="16"/>
        <v>0.45360824742268041</v>
      </c>
      <c r="O262">
        <f t="shared" si="17"/>
        <v>-0.11655021066820336</v>
      </c>
      <c r="P262" s="281">
        <f t="shared" si="18"/>
        <v>953.41125405545336</v>
      </c>
      <c r="W262" s="69" t="str" cm="1">
        <f t="array" ref="W262">_xlfn.TEXTJOIN(", ",TRUE,IFERROR(_xlfn._xlws.FILTER(Table3[Holiday Name],('SELECTED DATA'!Q262&gt;=Table3[start])*('SELECTED DATA'!Q262&lt;=Table3[end])),""))</f>
        <v/>
      </c>
      <c r="X262">
        <v>594</v>
      </c>
    </row>
    <row r="263" spans="3:24" x14ac:dyDescent="0.35">
      <c r="C263" s="36">
        <v>45400</v>
      </c>
      <c r="D263" t="str">
        <v>AM</v>
      </c>
      <c r="E263" t="str">
        <v>April</v>
      </c>
      <c r="F263" t="str">
        <v>THU</v>
      </c>
      <c r="G263" s="31">
        <v>602.5</v>
      </c>
      <c r="H263" t="str">
        <v>DOUBLE</v>
      </c>
      <c r="I263">
        <v>602.5</v>
      </c>
      <c r="L263">
        <v>815.5</v>
      </c>
      <c r="M263" s="31">
        <f t="shared" si="15"/>
        <v>102</v>
      </c>
      <c r="N263">
        <f t="shared" si="16"/>
        <v>0.35051546391752575</v>
      </c>
      <c r="O263">
        <f t="shared" si="17"/>
        <v>-0.38392919395923542</v>
      </c>
      <c r="P263" s="281">
        <f t="shared" si="18"/>
        <v>834.91686866736575</v>
      </c>
      <c r="W263" s="69" t="str" cm="1">
        <f t="array" ref="W263">_xlfn.TEXTJOIN(", ",TRUE,IFERROR(_xlfn._xlws.FILTER(Table3[Holiday Name],('SELECTED DATA'!Q263&gt;=Table3[start])*('SELECTED DATA'!Q263&lt;=Table3[end])),""))</f>
        <v/>
      </c>
      <c r="X263">
        <v>319</v>
      </c>
    </row>
    <row r="264" spans="3:24" x14ac:dyDescent="0.35">
      <c r="C264" s="36">
        <v>45400</v>
      </c>
      <c r="D264" t="str">
        <v>PM</v>
      </c>
      <c r="E264" t="str">
        <v>April</v>
      </c>
      <c r="F264" t="str">
        <v>THU</v>
      </c>
      <c r="G264" s="31">
        <v>602.5</v>
      </c>
      <c r="H264" t="str">
        <v>DOUBLE</v>
      </c>
      <c r="I264">
        <v>602.5</v>
      </c>
      <c r="L264">
        <v>1087</v>
      </c>
      <c r="M264" s="31">
        <f t="shared" si="15"/>
        <v>176</v>
      </c>
      <c r="N264">
        <f t="shared" si="16"/>
        <v>0.60481099656357384</v>
      </c>
      <c r="O264">
        <f t="shared" si="17"/>
        <v>0.26581978259120576</v>
      </c>
      <c r="P264" s="281">
        <f t="shared" si="18"/>
        <v>1122.8662231201088</v>
      </c>
      <c r="W264" s="69" t="str" cm="1">
        <f t="array" ref="W264">_xlfn.TEXTJOIN(", ",TRUE,IFERROR(_xlfn._xlws.FILTER(Table3[Holiday Name],('SELECTED DATA'!Q264&gt;=Table3[start])*('SELECTED DATA'!Q264&lt;=Table3[end])),""))</f>
        <v/>
      </c>
      <c r="X264">
        <v>856</v>
      </c>
    </row>
    <row r="265" spans="3:24" x14ac:dyDescent="0.35">
      <c r="C265" s="36">
        <v>45401</v>
      </c>
      <c r="D265" t="str">
        <v>PM</v>
      </c>
      <c r="E265" t="str">
        <v>April</v>
      </c>
      <c r="F265" t="str">
        <v>FRI</v>
      </c>
      <c r="G265" s="31">
        <v>1313.5</v>
      </c>
      <c r="H265" t="str">
        <v>SINGLE</v>
      </c>
      <c r="I265">
        <v>1313.5</v>
      </c>
      <c r="L265">
        <v>770.5</v>
      </c>
      <c r="M265" s="31">
        <f t="shared" si="15"/>
        <v>95</v>
      </c>
      <c r="N265">
        <f t="shared" si="16"/>
        <v>0.32646048109965636</v>
      </c>
      <c r="O265">
        <f t="shared" si="17"/>
        <v>-0.4497080554021784</v>
      </c>
      <c r="P265" s="281">
        <f t="shared" si="18"/>
        <v>805.76564046583667</v>
      </c>
      <c r="W265" s="69" t="str" cm="1">
        <f t="array" ref="W265">_xlfn.TEXTJOIN(", ",TRUE,IFERROR(_xlfn._xlws.FILTER(Table3[Holiday Name],('SELECTED DATA'!Q265&gt;=Table3[start])*('SELECTED DATA'!Q265&lt;=Table3[end])),""))</f>
        <v/>
      </c>
      <c r="X265">
        <v>369.5</v>
      </c>
    </row>
    <row r="266" spans="3:24" x14ac:dyDescent="0.35">
      <c r="C266" s="36">
        <v>45402</v>
      </c>
      <c r="D266" t="str">
        <v>AM</v>
      </c>
      <c r="E266" t="str">
        <v>April</v>
      </c>
      <c r="F266" t="str">
        <v>SAT</v>
      </c>
      <c r="G266" s="31">
        <v>1112</v>
      </c>
      <c r="H266" t="str">
        <v>DOUBLE</v>
      </c>
      <c r="I266">
        <v>1112</v>
      </c>
      <c r="L266">
        <v>858</v>
      </c>
      <c r="M266" s="31">
        <f t="shared" si="15"/>
        <v>112</v>
      </c>
      <c r="N266">
        <f t="shared" si="16"/>
        <v>0.38487972508591067</v>
      </c>
      <c r="O266">
        <f t="shared" si="17"/>
        <v>-0.29268956046586159</v>
      </c>
      <c r="P266" s="281">
        <f t="shared" si="18"/>
        <v>875.35155115721545</v>
      </c>
      <c r="W266" s="69" t="str" cm="1">
        <f t="array" ref="W266">_xlfn.TEXTJOIN(", ",TRUE,IFERROR(_xlfn._xlws.FILTER(Table3[Holiday Name],('SELECTED DATA'!Q266&gt;=Table3[start])*('SELECTED DATA'!Q266&lt;=Table3[end])),""))</f>
        <v/>
      </c>
      <c r="X266">
        <v>1566.5</v>
      </c>
    </row>
    <row r="267" spans="3:24" x14ac:dyDescent="0.35">
      <c r="C267" s="36">
        <v>45402</v>
      </c>
      <c r="D267" t="str">
        <v>PM</v>
      </c>
      <c r="E267" t="str">
        <v>April</v>
      </c>
      <c r="F267" t="str">
        <v>SAT</v>
      </c>
      <c r="G267" s="31">
        <v>1112</v>
      </c>
      <c r="H267" t="str">
        <v>DOUBLE</v>
      </c>
      <c r="I267">
        <v>1112</v>
      </c>
      <c r="L267">
        <v>1193.5</v>
      </c>
      <c r="M267" s="31">
        <f t="shared" si="15"/>
        <v>200</v>
      </c>
      <c r="N267">
        <f t="shared" si="16"/>
        <v>0.6872852233676976</v>
      </c>
      <c r="O267">
        <f t="shared" si="17"/>
        <v>0.4881698290014107</v>
      </c>
      <c r="P267" s="281">
        <f t="shared" si="18"/>
        <v>1221.4051275848326</v>
      </c>
      <c r="W267" s="69" t="str" cm="1">
        <f t="array" ref="W267">_xlfn.TEXTJOIN(", ",TRUE,IFERROR(_xlfn._xlws.FILTER(Table3[Holiday Name],('SELECTED DATA'!Q267&gt;=Table3[start])*('SELECTED DATA'!Q267&lt;=Table3[end])),""))</f>
        <v/>
      </c>
      <c r="X267">
        <v>1278.25</v>
      </c>
    </row>
    <row r="268" spans="3:24" x14ac:dyDescent="0.35">
      <c r="C268" s="36">
        <v>45404</v>
      </c>
      <c r="D268" t="str">
        <v>AM</v>
      </c>
      <c r="E268" t="str">
        <v>April</v>
      </c>
      <c r="F268" t="str">
        <v>MON</v>
      </c>
      <c r="G268" s="31">
        <v>240</v>
      </c>
      <c r="H268" t="str">
        <v>SINGLE</v>
      </c>
      <c r="I268">
        <v>240</v>
      </c>
      <c r="L268">
        <v>591</v>
      </c>
      <c r="M268" s="31">
        <f t="shared" si="15"/>
        <v>63</v>
      </c>
      <c r="N268">
        <f t="shared" si="16"/>
        <v>0.21649484536082475</v>
      </c>
      <c r="O268">
        <f t="shared" si="17"/>
        <v>-0.78408592997614768</v>
      </c>
      <c r="P268" s="281">
        <f t="shared" si="18"/>
        <v>657.57934606329354</v>
      </c>
      <c r="W268" s="69" t="str" cm="1">
        <f t="array" ref="W268">_xlfn.TEXTJOIN(", ",TRUE,IFERROR(_xlfn._xlws.FILTER(Table3[Holiday Name],('SELECTED DATA'!Q268&gt;=Table3[start])*('SELECTED DATA'!Q268&lt;=Table3[end])),""))</f>
        <v/>
      </c>
      <c r="X268">
        <v>1278.25</v>
      </c>
    </row>
    <row r="269" spans="3:24" x14ac:dyDescent="0.35">
      <c r="C269" s="36">
        <v>45408</v>
      </c>
      <c r="D269" t="str">
        <v>PM</v>
      </c>
      <c r="E269" t="str">
        <v>April</v>
      </c>
      <c r="F269" t="str">
        <v>FRI</v>
      </c>
      <c r="G269" s="31">
        <v>1526</v>
      </c>
      <c r="H269" t="str">
        <v>SINGLE</v>
      </c>
      <c r="I269">
        <v>1526</v>
      </c>
      <c r="L269">
        <v>368</v>
      </c>
      <c r="M269" s="31">
        <f t="shared" si="15"/>
        <v>25</v>
      </c>
      <c r="N269">
        <f t="shared" si="16"/>
        <v>8.5910652920962199E-2</v>
      </c>
      <c r="O269">
        <f t="shared" si="17"/>
        <v>-1.3663749541415036</v>
      </c>
      <c r="P269" s="281">
        <f t="shared" si="18"/>
        <v>399.52622914497022</v>
      </c>
      <c r="W269" s="69" t="str" cm="1">
        <f t="array" ref="W269">_xlfn.TEXTJOIN(", ",TRUE,IFERROR(_xlfn._xlws.FILTER(Table3[Holiday Name],('SELECTED DATA'!Q269&gt;=Table3[start])*('SELECTED DATA'!Q269&lt;=Table3[end])),""))</f>
        <v/>
      </c>
      <c r="X269">
        <v>2054.5</v>
      </c>
    </row>
    <row r="270" spans="3:24" x14ac:dyDescent="0.35">
      <c r="C270" s="36">
        <v>45409</v>
      </c>
      <c r="D270" t="str">
        <v>AM</v>
      </c>
      <c r="E270" t="str">
        <v>April</v>
      </c>
      <c r="F270" t="str">
        <v>SAT</v>
      </c>
      <c r="G270" s="31">
        <v>1427</v>
      </c>
      <c r="H270" t="str">
        <v>DOUBLE</v>
      </c>
      <c r="I270">
        <v>1427</v>
      </c>
      <c r="L270">
        <v>1198</v>
      </c>
      <c r="M270" s="31">
        <f t="shared" si="15"/>
        <v>203.5</v>
      </c>
      <c r="N270">
        <f t="shared" si="16"/>
        <v>0.69931271477663226</v>
      </c>
      <c r="O270">
        <f t="shared" si="17"/>
        <v>0.52242483167974274</v>
      </c>
      <c r="P270" s="281">
        <f t="shared" si="18"/>
        <v>1236.5859224209703</v>
      </c>
      <c r="W270" s="69" t="str" cm="1">
        <f t="array" ref="W270">_xlfn.TEXTJOIN(", ",TRUE,IFERROR(_xlfn._xlws.FILTER(Table3[Holiday Name],('SELECTED DATA'!Q270&gt;=Table3[start])*('SELECTED DATA'!Q270&lt;=Table3[end])),""))</f>
        <v/>
      </c>
      <c r="X270">
        <v>677</v>
      </c>
    </row>
    <row r="271" spans="3:24" x14ac:dyDescent="0.35">
      <c r="C271" s="36">
        <v>45409</v>
      </c>
      <c r="D271" t="str">
        <v>PM</v>
      </c>
      <c r="E271" t="str">
        <v>April</v>
      </c>
      <c r="F271" t="str">
        <v>SAT</v>
      </c>
      <c r="G271" s="31">
        <v>1427</v>
      </c>
      <c r="H271" t="str">
        <v>DOUBLE</v>
      </c>
      <c r="I271">
        <v>1427</v>
      </c>
      <c r="L271">
        <v>975</v>
      </c>
      <c r="M271" s="31">
        <f t="shared" si="15"/>
        <v>138.5</v>
      </c>
      <c r="N271">
        <f t="shared" si="16"/>
        <v>0.47594501718213056</v>
      </c>
      <c r="O271">
        <f t="shared" si="17"/>
        <v>-6.0333483712615411E-2</v>
      </c>
      <c r="P271" s="281">
        <f t="shared" si="18"/>
        <v>978.32482963697794</v>
      </c>
      <c r="W271" s="69" t="str" cm="1">
        <f t="array" ref="W271">_xlfn.TEXTJOIN(", ",TRUE,IFERROR(_xlfn._xlws.FILTER(Table3[Holiday Name],('SELECTED DATA'!Q271&gt;=Table3[start])*('SELECTED DATA'!Q271&lt;=Table3[end])),""))</f>
        <v/>
      </c>
      <c r="X271">
        <v>677</v>
      </c>
    </row>
    <row r="272" spans="3:24" x14ac:dyDescent="0.35">
      <c r="C272" s="36">
        <v>45410</v>
      </c>
      <c r="D272" t="str">
        <v>PM</v>
      </c>
      <c r="E272" t="str">
        <v>April</v>
      </c>
      <c r="F272" t="str">
        <v>SUN</v>
      </c>
      <c r="G272" s="31">
        <v>1798.5</v>
      </c>
      <c r="H272" t="str">
        <v>SINGLE</v>
      </c>
      <c r="I272">
        <v>1798.5</v>
      </c>
      <c r="L272">
        <v>99</v>
      </c>
      <c r="M272" s="31">
        <f t="shared" si="15"/>
        <v>3</v>
      </c>
      <c r="N272">
        <f t="shared" si="16"/>
        <v>1.0309278350515464E-2</v>
      </c>
      <c r="O272">
        <f t="shared" si="17"/>
        <v>-2.3148972354600725</v>
      </c>
      <c r="P272" s="281">
        <f t="shared" si="18"/>
        <v>-20.830537001504467</v>
      </c>
      <c r="W272" s="69" t="str" cm="1">
        <f t="array" ref="W272">_xlfn.TEXTJOIN(", ",TRUE,IFERROR(_xlfn._xlws.FILTER(Table3[Holiday Name],('SELECTED DATA'!Q272&gt;=Table3[start])*('SELECTED DATA'!Q272&lt;=Table3[end])),""))</f>
        <v/>
      </c>
      <c r="X272">
        <v>421</v>
      </c>
    </row>
    <row r="273" spans="3:24" x14ac:dyDescent="0.35">
      <c r="C273" s="36">
        <v>45411</v>
      </c>
      <c r="D273" t="str">
        <v>AM</v>
      </c>
      <c r="E273" t="str">
        <v>April</v>
      </c>
      <c r="F273" t="str">
        <v>MON</v>
      </c>
      <c r="G273" s="31">
        <v>538</v>
      </c>
      <c r="H273" t="str">
        <v>DOUBLE</v>
      </c>
      <c r="I273">
        <v>538</v>
      </c>
      <c r="L273">
        <v>594</v>
      </c>
      <c r="M273" s="31">
        <f t="shared" si="15"/>
        <v>66</v>
      </c>
      <c r="N273">
        <f t="shared" si="16"/>
        <v>0.22680412371134021</v>
      </c>
      <c r="O273">
        <f t="shared" si="17"/>
        <v>-0.74941311698724111</v>
      </c>
      <c r="P273" s="281">
        <f t="shared" si="18"/>
        <v>672.94530195940297</v>
      </c>
      <c r="W273" s="69" t="str" cm="1">
        <f t="array" ref="W273">_xlfn.TEXTJOIN(", ",TRUE,IFERROR(_xlfn._xlws.FILTER(Table3[Holiday Name],('SELECTED DATA'!Q273&gt;=Table3[start])*('SELECTED DATA'!Q273&lt;=Table3[end])),""))</f>
        <v/>
      </c>
      <c r="X273">
        <v>801.5</v>
      </c>
    </row>
    <row r="274" spans="3:24" x14ac:dyDescent="0.35">
      <c r="C274" s="36">
        <v>45411</v>
      </c>
      <c r="D274" t="str">
        <v>PM</v>
      </c>
      <c r="E274" t="str">
        <v>April</v>
      </c>
      <c r="F274" t="str">
        <v>MON</v>
      </c>
      <c r="G274" s="31">
        <v>766.5</v>
      </c>
      <c r="H274" t="str">
        <v>DOUBLE</v>
      </c>
      <c r="I274">
        <v>766.5</v>
      </c>
      <c r="L274">
        <v>319</v>
      </c>
      <c r="M274" s="31">
        <f t="shared" si="15"/>
        <v>16</v>
      </c>
      <c r="N274">
        <f t="shared" si="16"/>
        <v>5.4982817869415807E-2</v>
      </c>
      <c r="O274">
        <f t="shared" si="17"/>
        <v>-1.5983476165117396</v>
      </c>
      <c r="P274" s="281">
        <f t="shared" si="18"/>
        <v>296.72286847663975</v>
      </c>
      <c r="W274" s="69" t="str" cm="1">
        <f t="array" ref="W274">_xlfn.TEXTJOIN(", ",TRUE,IFERROR(_xlfn._xlws.FILTER(Table3[Holiday Name],('SELECTED DATA'!Q274&gt;=Table3[start])*('SELECTED DATA'!Q274&lt;=Table3[end])),""))</f>
        <v/>
      </c>
      <c r="X274">
        <v>602.5</v>
      </c>
    </row>
    <row r="275" spans="3:24" x14ac:dyDescent="0.35">
      <c r="C275" s="36">
        <v>45413</v>
      </c>
      <c r="D275" t="str">
        <v>AM</v>
      </c>
      <c r="E275" t="str">
        <v>May</v>
      </c>
      <c r="F275" t="str">
        <v>WED</v>
      </c>
      <c r="G275" s="31">
        <v>724</v>
      </c>
      <c r="H275" t="str">
        <v>DOUBLE</v>
      </c>
      <c r="I275">
        <v>724</v>
      </c>
      <c r="L275">
        <v>856</v>
      </c>
      <c r="M275" s="31">
        <f t="shared" si="15"/>
        <v>110</v>
      </c>
      <c r="N275">
        <f t="shared" si="16"/>
        <v>0.37800687285223367</v>
      </c>
      <c r="O275">
        <f t="shared" si="17"/>
        <v>-0.31071966571296022</v>
      </c>
      <c r="P275" s="281">
        <f t="shared" si="18"/>
        <v>867.36114662563705</v>
      </c>
      <c r="W275" s="69" t="str" cm="1">
        <f t="array" ref="W275">_xlfn.TEXTJOIN(", ",TRUE,IFERROR(_xlfn._xlws.FILTER(Table3[Holiday Name],('SELECTED DATA'!Q275&gt;=Table3[start])*('SELECTED DATA'!Q275&lt;=Table3[end])),""))</f>
        <v/>
      </c>
      <c r="X275">
        <v>602.5</v>
      </c>
    </row>
    <row r="276" spans="3:24" x14ac:dyDescent="0.35">
      <c r="C276" s="36">
        <v>45413</v>
      </c>
      <c r="D276" t="str">
        <v>PM</v>
      </c>
      <c r="E276" t="str">
        <v>May</v>
      </c>
      <c r="F276" t="str">
        <v>WED</v>
      </c>
      <c r="G276" s="31">
        <v>968.5</v>
      </c>
      <c r="H276" t="str">
        <v>DOUBLE</v>
      </c>
      <c r="I276">
        <v>968.5</v>
      </c>
      <c r="L276">
        <v>369.5</v>
      </c>
      <c r="M276" s="31">
        <f t="shared" si="15"/>
        <v>27</v>
      </c>
      <c r="N276">
        <f t="shared" si="16"/>
        <v>9.2783505154639179E-2</v>
      </c>
      <c r="O276">
        <f t="shared" si="17"/>
        <v>-1.3238074227748742</v>
      </c>
      <c r="P276" s="281">
        <f t="shared" si="18"/>
        <v>418.3908886058324</v>
      </c>
      <c r="W276" s="69" t="str" cm="1">
        <f t="array" ref="W276">_xlfn.TEXTJOIN(", ",TRUE,IFERROR(_xlfn._xlws.FILTER(Table3[Holiday Name],('SELECTED DATA'!Q276&gt;=Table3[start])*('SELECTED DATA'!Q276&lt;=Table3[end])),""))</f>
        <v/>
      </c>
      <c r="X276">
        <v>1313.5</v>
      </c>
    </row>
    <row r="277" spans="3:24" x14ac:dyDescent="0.35">
      <c r="C277" s="36">
        <v>45415</v>
      </c>
      <c r="D277" t="str">
        <v>PM</v>
      </c>
      <c r="E277" t="str">
        <v>May</v>
      </c>
      <c r="F277" t="str">
        <v>FRI</v>
      </c>
      <c r="G277" s="31">
        <v>1715.5</v>
      </c>
      <c r="H277" t="str">
        <v>SINGLE</v>
      </c>
      <c r="I277">
        <v>1715.5</v>
      </c>
      <c r="L277">
        <v>1566.5</v>
      </c>
      <c r="M277" s="31">
        <f t="shared" si="15"/>
        <v>279</v>
      </c>
      <c r="N277">
        <f t="shared" si="16"/>
        <v>0.95876288659793818</v>
      </c>
      <c r="O277">
        <f t="shared" si="17"/>
        <v>1.7365070052471263</v>
      </c>
      <c r="P277" s="281">
        <f t="shared" si="18"/>
        <v>1774.6309070969432</v>
      </c>
      <c r="W277" s="69" t="str" cm="1">
        <f t="array" ref="W277">_xlfn.TEXTJOIN(", ",TRUE,IFERROR(_xlfn._xlws.FILTER(Table3[Holiday Name],('SELECTED DATA'!Q277&gt;=Table3[start])*('SELECTED DATA'!Q277&lt;=Table3[end])),""))</f>
        <v/>
      </c>
      <c r="X277">
        <v>1112</v>
      </c>
    </row>
    <row r="278" spans="3:24" x14ac:dyDescent="0.35">
      <c r="C278" s="36">
        <v>45416</v>
      </c>
      <c r="D278" t="str">
        <v>AM</v>
      </c>
      <c r="E278" t="str">
        <v>May</v>
      </c>
      <c r="F278" t="str">
        <v>SAT</v>
      </c>
      <c r="G278" s="31">
        <v>1198.335</v>
      </c>
      <c r="H278" t="str">
        <v>DOUBLE</v>
      </c>
      <c r="I278">
        <v>1198.3399999999999</v>
      </c>
      <c r="L278">
        <v>1278.25</v>
      </c>
      <c r="M278" s="31">
        <f t="shared" si="15"/>
        <v>223.5</v>
      </c>
      <c r="N278">
        <f t="shared" si="16"/>
        <v>0.76804123711340211</v>
      </c>
      <c r="O278">
        <f t="shared" si="17"/>
        <v>0.73241136224184322</v>
      </c>
      <c r="P278" s="281">
        <f t="shared" si="18"/>
        <v>1329.6456856546781</v>
      </c>
      <c r="W278" s="69" t="str" cm="1">
        <f t="array" ref="W278">_xlfn.TEXTJOIN(", ",TRUE,IFERROR(_xlfn._xlws.FILTER(Table3[Holiday Name],('SELECTED DATA'!Q278&gt;=Table3[start])*('SELECTED DATA'!Q278&lt;=Table3[end])),""))</f>
        <v/>
      </c>
      <c r="X278">
        <v>1112</v>
      </c>
    </row>
    <row r="279" spans="3:24" x14ac:dyDescent="0.35">
      <c r="C279" s="36">
        <v>45416</v>
      </c>
      <c r="D279" t="str">
        <v>PM</v>
      </c>
      <c r="E279" t="str">
        <v>May</v>
      </c>
      <c r="F279" t="str">
        <v>SAT</v>
      </c>
      <c r="G279" s="31">
        <v>1198.335</v>
      </c>
      <c r="H279" t="str">
        <v>DOUBLE</v>
      </c>
      <c r="I279">
        <v>1198.3399999999999</v>
      </c>
      <c r="L279">
        <v>1278.25</v>
      </c>
      <c r="M279" s="31">
        <f t="shared" si="15"/>
        <v>223.5</v>
      </c>
      <c r="N279">
        <f t="shared" si="16"/>
        <v>0.76804123711340211</v>
      </c>
      <c r="O279">
        <f t="shared" si="17"/>
        <v>0.73241136224184322</v>
      </c>
      <c r="P279" s="281">
        <f t="shared" si="18"/>
        <v>1329.6456856546781</v>
      </c>
      <c r="W279" s="69" t="str" cm="1">
        <f t="array" ref="W279">_xlfn.TEXTJOIN(", ",TRUE,IFERROR(_xlfn._xlws.FILTER(Table3[Holiday Name],('SELECTED DATA'!Q279&gt;=Table3[start])*('SELECTED DATA'!Q279&lt;=Table3[end])),""))</f>
        <v/>
      </c>
      <c r="X279">
        <v>240</v>
      </c>
    </row>
    <row r="280" spans="3:24" x14ac:dyDescent="0.35">
      <c r="C280" s="36">
        <v>45417</v>
      </c>
      <c r="D280" t="str">
        <v>PM</v>
      </c>
      <c r="E280" t="str">
        <v>May</v>
      </c>
      <c r="F280" t="str">
        <v>SUN</v>
      </c>
      <c r="G280" s="31">
        <v>1314.5</v>
      </c>
      <c r="H280" t="str">
        <v>SINGLE</v>
      </c>
      <c r="I280">
        <v>1314.5</v>
      </c>
      <c r="L280">
        <v>2054.5</v>
      </c>
      <c r="M280" s="31">
        <f t="shared" si="15"/>
        <v>299</v>
      </c>
      <c r="N280">
        <f t="shared" si="16"/>
        <v>0.99828178694158076</v>
      </c>
      <c r="O280">
        <f t="shared" si="17"/>
        <v>2.9257358252621142</v>
      </c>
      <c r="P280" s="281">
        <f t="shared" si="18"/>
        <v>2301.6616272343363</v>
      </c>
      <c r="W280" s="69" t="str" cm="1">
        <f t="array" ref="W280">_xlfn.TEXTJOIN(", ",TRUE,IFERROR(_xlfn._xlws.FILTER(Table3[Holiday Name],('SELECTED DATA'!Q280&gt;=Table3[start])*('SELECTED DATA'!Q280&lt;=Table3[end])),""))</f>
        <v/>
      </c>
      <c r="X280">
        <v>1526</v>
      </c>
    </row>
    <row r="281" spans="3:24" x14ac:dyDescent="0.35">
      <c r="C281" s="36">
        <v>45418</v>
      </c>
      <c r="D281" t="str">
        <v>PM</v>
      </c>
      <c r="E281" t="str">
        <v>May</v>
      </c>
      <c r="F281" t="str">
        <v>MON</v>
      </c>
      <c r="G281" s="31">
        <v>1397.5</v>
      </c>
      <c r="H281" t="str">
        <v>SINGLE</v>
      </c>
      <c r="I281">
        <v>1397.5</v>
      </c>
      <c r="L281">
        <v>677</v>
      </c>
      <c r="M281" s="31">
        <f t="shared" si="15"/>
        <v>81.5</v>
      </c>
      <c r="N281">
        <f t="shared" si="16"/>
        <v>0.28006872852233677</v>
      </c>
      <c r="O281">
        <f t="shared" si="17"/>
        <v>-0.58263734901879438</v>
      </c>
      <c r="P281" s="281">
        <f t="shared" si="18"/>
        <v>746.85534484986169</v>
      </c>
      <c r="W281" s="69" t="str" cm="1">
        <f t="array" ref="W281">_xlfn.TEXTJOIN(", ",TRUE,IFERROR(_xlfn._xlws.FILTER(Table3[Holiday Name],('SELECTED DATA'!Q281&gt;=Table3[start])*('SELECTED DATA'!Q281&lt;=Table3[end])),""))</f>
        <v/>
      </c>
      <c r="X281">
        <v>1427</v>
      </c>
    </row>
    <row r="282" spans="3:24" x14ac:dyDescent="0.35">
      <c r="C282" s="36">
        <v>45420</v>
      </c>
      <c r="D282" t="str">
        <v>PM</v>
      </c>
      <c r="E282" t="str">
        <v>May</v>
      </c>
      <c r="F282" t="str">
        <v>WED</v>
      </c>
      <c r="G282" s="31">
        <v>570.5</v>
      </c>
      <c r="H282" t="str">
        <v>SINGLE</v>
      </c>
      <c r="I282">
        <v>570.5</v>
      </c>
      <c r="L282">
        <v>677</v>
      </c>
      <c r="M282" s="31">
        <f t="shared" si="15"/>
        <v>81.5</v>
      </c>
      <c r="N282">
        <f t="shared" si="16"/>
        <v>0.28006872852233677</v>
      </c>
      <c r="O282">
        <f t="shared" si="17"/>
        <v>-0.58263734901879438</v>
      </c>
      <c r="P282" s="281">
        <f t="shared" si="18"/>
        <v>746.85534484986169</v>
      </c>
      <c r="W282" s="69" t="str" cm="1">
        <f t="array" ref="W282">_xlfn.TEXTJOIN(", ",TRUE,IFERROR(_xlfn._xlws.FILTER(Table3[Holiday Name],('SELECTED DATA'!Q282&gt;=Table3[start])*('SELECTED DATA'!Q282&lt;=Table3[end])),""))</f>
        <v/>
      </c>
      <c r="X282">
        <v>1427</v>
      </c>
    </row>
    <row r="283" spans="3:24" x14ac:dyDescent="0.35">
      <c r="C283" s="36">
        <v>45422</v>
      </c>
      <c r="D283" t="str">
        <v>PM</v>
      </c>
      <c r="E283" t="str">
        <v>May</v>
      </c>
      <c r="F283" t="str">
        <v>FRI</v>
      </c>
      <c r="G283" s="31">
        <v>1527.5</v>
      </c>
      <c r="H283" t="str">
        <v>SINGLE</v>
      </c>
      <c r="I283">
        <v>1527.5</v>
      </c>
      <c r="L283">
        <v>421</v>
      </c>
      <c r="M283" s="31">
        <f t="shared" si="15"/>
        <v>33</v>
      </c>
      <c r="N283">
        <f t="shared" si="16"/>
        <v>0.1134020618556701</v>
      </c>
      <c r="O283">
        <f t="shared" si="17"/>
        <v>-1.2086323462636195</v>
      </c>
      <c r="P283" s="281">
        <f t="shared" si="18"/>
        <v>469.43304508068218</v>
      </c>
      <c r="W283" s="69" t="str" cm="1">
        <f t="array" ref="W283">_xlfn.TEXTJOIN(", ",TRUE,IFERROR(_xlfn._xlws.FILTER(Table3[Holiday Name],('SELECTED DATA'!Q283&gt;=Table3[start])*('SELECTED DATA'!Q283&lt;=Table3[end])),""))</f>
        <v/>
      </c>
      <c r="X283">
        <v>1798.5</v>
      </c>
    </row>
    <row r="284" spans="3:24" x14ac:dyDescent="0.35">
      <c r="C284" s="36">
        <v>45423</v>
      </c>
      <c r="D284" t="str">
        <v>AM</v>
      </c>
      <c r="E284" t="str">
        <v>May</v>
      </c>
      <c r="F284" t="str">
        <v>SAT</v>
      </c>
      <c r="G284" s="31">
        <v>1165</v>
      </c>
      <c r="H284" t="str">
        <v>DOUBLE</v>
      </c>
      <c r="I284">
        <v>1165</v>
      </c>
      <c r="L284">
        <v>801.5</v>
      </c>
      <c r="M284" s="31">
        <f t="shared" si="15"/>
        <v>99</v>
      </c>
      <c r="N284">
        <f t="shared" si="16"/>
        <v>0.34020618556701032</v>
      </c>
      <c r="O284">
        <f t="shared" si="17"/>
        <v>-0.41190047703750465</v>
      </c>
      <c r="P284" s="281">
        <f t="shared" si="18"/>
        <v>822.52083081846695</v>
      </c>
      <c r="W284" s="69" t="str" cm="1">
        <f t="array" ref="W284">_xlfn.TEXTJOIN(", ",TRUE,IFERROR(_xlfn._xlws.FILTER(Table3[Holiday Name],('SELECTED DATA'!Q284&gt;=Table3[start])*('SELECTED DATA'!Q284&lt;=Table3[end])),""))</f>
        <v/>
      </c>
      <c r="X284">
        <v>538</v>
      </c>
    </row>
    <row r="285" spans="3:24" x14ac:dyDescent="0.35">
      <c r="C285" s="36">
        <v>45423</v>
      </c>
      <c r="D285" t="str">
        <v>PM</v>
      </c>
      <c r="E285" t="str">
        <v>May</v>
      </c>
      <c r="F285" t="str">
        <v>SAT</v>
      </c>
      <c r="G285" s="31">
        <v>1165</v>
      </c>
      <c r="H285" t="str">
        <v>DOUBLE</v>
      </c>
      <c r="I285">
        <v>1165</v>
      </c>
      <c r="L285">
        <v>602.5</v>
      </c>
      <c r="M285" s="31">
        <f t="shared" si="15"/>
        <v>68.5</v>
      </c>
      <c r="N285">
        <f t="shared" si="16"/>
        <v>0.23539518900343642</v>
      </c>
      <c r="O285">
        <f t="shared" si="17"/>
        <v>-0.72119365021555004</v>
      </c>
      <c r="P285" s="281">
        <f t="shared" si="18"/>
        <v>685.45132741410907</v>
      </c>
      <c r="W285" s="69" t="str" cm="1">
        <f t="array" ref="W285">_xlfn.TEXTJOIN(", ",TRUE,IFERROR(_xlfn._xlws.FILTER(Table3[Holiday Name],('SELECTED DATA'!Q285&gt;=Table3[start])*('SELECTED DATA'!Q285&lt;=Table3[end])),""))</f>
        <v/>
      </c>
      <c r="X285">
        <v>766.5</v>
      </c>
    </row>
    <row r="286" spans="3:24" x14ac:dyDescent="0.35">
      <c r="C286" s="36">
        <v>45424</v>
      </c>
      <c r="D286" t="str">
        <v>PM</v>
      </c>
      <c r="E286" t="str">
        <v>May</v>
      </c>
      <c r="F286" t="str">
        <v>SUN</v>
      </c>
      <c r="G286" s="31">
        <v>2631.5</v>
      </c>
      <c r="H286" t="str">
        <v>SINGLE</v>
      </c>
      <c r="I286">
        <v>2631.5</v>
      </c>
      <c r="L286">
        <v>602.5</v>
      </c>
      <c r="M286" s="31">
        <f t="shared" ref="M286:M319" si="19">_xlfn.RANK.AVG(L286,_xlfn.ANCHORARRAY($L$29),1)</f>
        <v>68.5</v>
      </c>
      <c r="N286">
        <f t="shared" ref="N286:N333" si="20">IF(M286="","X",MIN(MAX(M286 / COUNT($M$29:$M$319), 1/(2*COUNT($M$29:$M$319))), 1-1/(2*COUNT($M$29:$M$319))))</f>
        <v>0.23539518900343642</v>
      </c>
      <c r="O286">
        <f t="shared" ref="O286:O333" si="21">IFERROR(_xlfn.NORM.S.INV(N286),"X")</f>
        <v>-0.72119365021555004</v>
      </c>
      <c r="P286" s="281">
        <f t="shared" ref="P286:P333" si="22">IFERROR(O286*$B$27+$B$8,"X")</f>
        <v>685.45132741410907</v>
      </c>
      <c r="W286" s="69" t="str" cm="1">
        <f t="array" ref="W286">_xlfn.TEXTJOIN(", ",TRUE,IFERROR(_xlfn._xlws.FILTER(Table3[Holiday Name],('SELECTED DATA'!Q286&gt;=Table3[start])*('SELECTED DATA'!Q286&lt;=Table3[end])),""))</f>
        <v/>
      </c>
      <c r="X286">
        <v>724</v>
      </c>
    </row>
    <row r="287" spans="3:24" x14ac:dyDescent="0.35">
      <c r="C287" s="36">
        <v>45425</v>
      </c>
      <c r="D287" t="str">
        <v>AM</v>
      </c>
      <c r="E287" t="str">
        <v>May</v>
      </c>
      <c r="F287" t="str">
        <v>MON</v>
      </c>
      <c r="G287" s="31">
        <v>390.5</v>
      </c>
      <c r="H287" t="str">
        <v>SINGLE</v>
      </c>
      <c r="I287">
        <v>390.5</v>
      </c>
      <c r="L287">
        <v>1313.5</v>
      </c>
      <c r="M287" s="31">
        <f t="shared" si="19"/>
        <v>234</v>
      </c>
      <c r="N287">
        <f t="shared" si="20"/>
        <v>0.80412371134020622</v>
      </c>
      <c r="O287">
        <f t="shared" si="21"/>
        <v>0.85644338214172222</v>
      </c>
      <c r="P287" s="281">
        <f t="shared" si="22"/>
        <v>1384.6129751012163</v>
      </c>
      <c r="W287" s="69" t="str" cm="1">
        <f t="array" ref="W287">_xlfn.TEXTJOIN(", ",TRUE,IFERROR(_xlfn._xlws.FILTER(Table3[Holiday Name],('SELECTED DATA'!Q287&gt;=Table3[start])*('SELECTED DATA'!Q287&lt;=Table3[end])),""))</f>
        <v/>
      </c>
      <c r="X287">
        <v>968.5</v>
      </c>
    </row>
    <row r="288" spans="3:24" x14ac:dyDescent="0.35">
      <c r="C288" s="36">
        <v>45427</v>
      </c>
      <c r="D288" t="str">
        <v>PM</v>
      </c>
      <c r="E288" t="str">
        <v>May</v>
      </c>
      <c r="F288" t="str">
        <v>WED</v>
      </c>
      <c r="G288" s="31">
        <v>904</v>
      </c>
      <c r="H288" t="str">
        <v>SINGLE</v>
      </c>
      <c r="I288">
        <v>904</v>
      </c>
      <c r="L288">
        <v>1112</v>
      </c>
      <c r="M288" s="31">
        <f t="shared" si="19"/>
        <v>181.5</v>
      </c>
      <c r="N288">
        <f t="shared" si="20"/>
        <v>0.62371134020618557</v>
      </c>
      <c r="O288">
        <f t="shared" si="21"/>
        <v>0.3152427890443939</v>
      </c>
      <c r="P288" s="281">
        <f t="shared" si="22"/>
        <v>1144.7690245356098</v>
      </c>
      <c r="W288" s="69" t="str" cm="1">
        <f t="array" ref="W288">_xlfn.TEXTJOIN(", ",TRUE,IFERROR(_xlfn._xlws.FILTER(Table3[Holiday Name],('SELECTED DATA'!Q288&gt;=Table3[start])*('SELECTED DATA'!Q288&lt;=Table3[end])),""))</f>
        <v/>
      </c>
      <c r="X288">
        <v>1715.5</v>
      </c>
    </row>
    <row r="289" spans="3:24" x14ac:dyDescent="0.35">
      <c r="C289" s="36">
        <v>45428</v>
      </c>
      <c r="D289" t="str">
        <v>PM</v>
      </c>
      <c r="E289" t="str">
        <v>May</v>
      </c>
      <c r="F289" t="str">
        <v>THU</v>
      </c>
      <c r="G289" s="31">
        <v>1066.5</v>
      </c>
      <c r="H289" t="str">
        <v>SINGLE</v>
      </c>
      <c r="I289">
        <v>1066.5</v>
      </c>
      <c r="L289">
        <v>1112</v>
      </c>
      <c r="M289" s="31">
        <f t="shared" si="19"/>
        <v>181.5</v>
      </c>
      <c r="N289">
        <f t="shared" si="20"/>
        <v>0.62371134020618557</v>
      </c>
      <c r="O289">
        <f t="shared" si="21"/>
        <v>0.3152427890443939</v>
      </c>
      <c r="P289" s="281">
        <f t="shared" si="22"/>
        <v>1144.7690245356098</v>
      </c>
      <c r="W289" s="69" t="str" cm="1">
        <f t="array" ref="W289">_xlfn.TEXTJOIN(", ",TRUE,IFERROR(_xlfn._xlws.FILTER(Table3[Holiday Name],('SELECTED DATA'!Q289&gt;=Table3[start])*('SELECTED DATA'!Q289&lt;=Table3[end])),""))</f>
        <v/>
      </c>
      <c r="X289">
        <v>1198.3399999999999</v>
      </c>
    </row>
    <row r="290" spans="3:24" x14ac:dyDescent="0.35">
      <c r="C290" s="36">
        <v>45430</v>
      </c>
      <c r="D290" t="str">
        <v>AM</v>
      </c>
      <c r="E290" t="str">
        <v>May</v>
      </c>
      <c r="F290" t="str">
        <v>SAT</v>
      </c>
      <c r="G290" s="31">
        <v>1385.5</v>
      </c>
      <c r="H290" t="str">
        <v>DOUBLE</v>
      </c>
      <c r="I290">
        <v>1385.5</v>
      </c>
      <c r="L290">
        <v>240</v>
      </c>
      <c r="M290" s="31">
        <f t="shared" si="19"/>
        <v>8</v>
      </c>
      <c r="N290">
        <f t="shared" si="20"/>
        <v>2.7491408934707903E-2</v>
      </c>
      <c r="O290">
        <f t="shared" si="21"/>
        <v>-1.9190119788705631</v>
      </c>
      <c r="P290" s="281">
        <f t="shared" si="22"/>
        <v>154.61399340393609</v>
      </c>
      <c r="W290" s="69" t="str" cm="1">
        <f t="array" ref="W290">_xlfn.TEXTJOIN(", ",TRUE,IFERROR(_xlfn._xlws.FILTER(Table3[Holiday Name],('SELECTED DATA'!Q290&gt;=Table3[start])*('SELECTED DATA'!Q290&lt;=Table3[end])),""))</f>
        <v/>
      </c>
      <c r="X290">
        <v>1198.3399999999999</v>
      </c>
    </row>
    <row r="291" spans="3:24" x14ac:dyDescent="0.35">
      <c r="C291" s="36">
        <v>45430</v>
      </c>
      <c r="D291" t="str">
        <v>PM</v>
      </c>
      <c r="E291" t="str">
        <v>May</v>
      </c>
      <c r="F291" t="str">
        <v>SAT</v>
      </c>
      <c r="G291" s="31">
        <v>1555</v>
      </c>
      <c r="H291" t="str">
        <v>DOUBLE</v>
      </c>
      <c r="I291">
        <v>1555</v>
      </c>
      <c r="L291">
        <v>1526</v>
      </c>
      <c r="M291" s="31">
        <f t="shared" si="19"/>
        <v>272</v>
      </c>
      <c r="N291">
        <f t="shared" si="20"/>
        <v>0.93470790378006874</v>
      </c>
      <c r="O291">
        <f t="shared" si="21"/>
        <v>1.5118021887834394</v>
      </c>
      <c r="P291" s="281">
        <f t="shared" si="22"/>
        <v>1675.0484388233397</v>
      </c>
      <c r="W291" s="69" t="str" cm="1">
        <f t="array" ref="W291">_xlfn.TEXTJOIN(", ",TRUE,IFERROR(_xlfn._xlws.FILTER(Table3[Holiday Name],('SELECTED DATA'!Q291&gt;=Table3[start])*('SELECTED DATA'!Q291&lt;=Table3[end])),""))</f>
        <v/>
      </c>
      <c r="X291">
        <v>1314.5</v>
      </c>
    </row>
    <row r="292" spans="3:24" x14ac:dyDescent="0.35">
      <c r="C292" s="36">
        <v>45431</v>
      </c>
      <c r="D292" t="str">
        <v>AM</v>
      </c>
      <c r="E292" t="str">
        <v>May</v>
      </c>
      <c r="F292" t="str">
        <v>SUN</v>
      </c>
      <c r="G292" s="31">
        <v>525</v>
      </c>
      <c r="H292" t="str">
        <v>DOUBLE</v>
      </c>
      <c r="I292">
        <v>525</v>
      </c>
      <c r="L292">
        <v>1427</v>
      </c>
      <c r="M292" s="31">
        <f t="shared" si="19"/>
        <v>259</v>
      </c>
      <c r="N292">
        <f t="shared" si="20"/>
        <v>0.89003436426116833</v>
      </c>
      <c r="O292">
        <f t="shared" si="21"/>
        <v>1.2267108945718099</v>
      </c>
      <c r="P292" s="281">
        <f t="shared" si="22"/>
        <v>1548.7044858645113</v>
      </c>
      <c r="W292" s="69" t="str" cm="1">
        <f t="array" ref="W292">_xlfn.TEXTJOIN(", ",TRUE,IFERROR(_xlfn._xlws.FILTER(Table3[Holiday Name],('SELECTED DATA'!Q292&gt;=Table3[start])*('SELECTED DATA'!Q292&lt;=Table3[end])),""))</f>
        <v/>
      </c>
      <c r="X292">
        <v>1397.5</v>
      </c>
    </row>
    <row r="293" spans="3:24" x14ac:dyDescent="0.35">
      <c r="C293" s="36">
        <v>45431</v>
      </c>
      <c r="D293" t="str">
        <v>PM</v>
      </c>
      <c r="E293" t="str">
        <v>May</v>
      </c>
      <c r="F293" t="str">
        <v>SUN</v>
      </c>
      <c r="G293" s="31">
        <v>1435</v>
      </c>
      <c r="H293" t="str">
        <v>DOUBLE</v>
      </c>
      <c r="I293">
        <v>1435</v>
      </c>
      <c r="L293">
        <v>1427</v>
      </c>
      <c r="M293" s="31">
        <f t="shared" si="19"/>
        <v>259</v>
      </c>
      <c r="N293">
        <f t="shared" si="20"/>
        <v>0.89003436426116833</v>
      </c>
      <c r="O293">
        <f t="shared" si="21"/>
        <v>1.2267108945718099</v>
      </c>
      <c r="P293" s="281">
        <f t="shared" si="22"/>
        <v>1548.7044858645113</v>
      </c>
      <c r="W293" s="69" t="str" cm="1">
        <f t="array" ref="W293">_xlfn.TEXTJOIN(", ",TRUE,IFERROR(_xlfn._xlws.FILTER(Table3[Holiday Name],('SELECTED DATA'!Q293&gt;=Table3[start])*('SELECTED DATA'!Q293&lt;=Table3[end])),""))</f>
        <v/>
      </c>
      <c r="X293">
        <v>570.5</v>
      </c>
    </row>
    <row r="294" spans="3:24" x14ac:dyDescent="0.35">
      <c r="C294" s="36">
        <v>45432</v>
      </c>
      <c r="D294" t="str">
        <v>PM</v>
      </c>
      <c r="E294" t="str">
        <v>May</v>
      </c>
      <c r="F294" t="str">
        <v>MON</v>
      </c>
      <c r="G294" s="31">
        <v>57</v>
      </c>
      <c r="H294" t="str">
        <v>SINGLE</v>
      </c>
      <c r="I294">
        <v>57</v>
      </c>
      <c r="L294">
        <v>1798.5</v>
      </c>
      <c r="M294" s="31">
        <f t="shared" si="19"/>
        <v>292</v>
      </c>
      <c r="N294">
        <f t="shared" si="20"/>
        <v>0.99828178694158076</v>
      </c>
      <c r="O294">
        <f t="shared" si="21"/>
        <v>2.9257358252621142</v>
      </c>
      <c r="P294" s="281">
        <f t="shared" si="22"/>
        <v>2301.6616272343363</v>
      </c>
      <c r="W294" s="69" t="str" cm="1">
        <f t="array" ref="W294">_xlfn.TEXTJOIN(", ",TRUE,IFERROR(_xlfn._xlws.FILTER(Table3[Holiday Name],('SELECTED DATA'!Q294&gt;=Table3[start])*('SELECTED DATA'!Q294&lt;=Table3[end])),""))</f>
        <v/>
      </c>
      <c r="X294">
        <v>1527.5</v>
      </c>
    </row>
    <row r="295" spans="3:24" x14ac:dyDescent="0.35">
      <c r="C295" s="36">
        <v>45434</v>
      </c>
      <c r="D295" t="str">
        <v>PM</v>
      </c>
      <c r="E295" t="str">
        <v>May</v>
      </c>
      <c r="F295" t="str">
        <v>WED</v>
      </c>
      <c r="G295" s="31">
        <v>1368</v>
      </c>
      <c r="H295" t="str">
        <v>SINGLE</v>
      </c>
      <c r="I295">
        <v>1368</v>
      </c>
      <c r="L295">
        <v>538</v>
      </c>
      <c r="M295" s="31">
        <f t="shared" si="19"/>
        <v>51</v>
      </c>
      <c r="N295">
        <f t="shared" si="20"/>
        <v>0.17525773195876287</v>
      </c>
      <c r="O295">
        <f t="shared" si="21"/>
        <v>-0.93358992578879885</v>
      </c>
      <c r="P295" s="281">
        <f t="shared" si="22"/>
        <v>591.32363711102789</v>
      </c>
      <c r="W295" s="69" t="str" cm="1">
        <f t="array" ref="W295">_xlfn.TEXTJOIN(", ",TRUE,IFERROR(_xlfn._xlws.FILTER(Table3[Holiday Name],('SELECTED DATA'!Q295&gt;=Table3[start])*('SELECTED DATA'!Q295&lt;=Table3[end])),""))</f>
        <v/>
      </c>
      <c r="X295">
        <v>1165</v>
      </c>
    </row>
    <row r="296" spans="3:24" x14ac:dyDescent="0.35">
      <c r="C296" s="36">
        <v>45435</v>
      </c>
      <c r="D296" t="str">
        <v>PM</v>
      </c>
      <c r="E296" t="str">
        <v>May</v>
      </c>
      <c r="F296" t="str">
        <v>THU</v>
      </c>
      <c r="G296" s="31">
        <v>1300.5</v>
      </c>
      <c r="H296" t="str">
        <v>SINGLE</v>
      </c>
      <c r="I296">
        <v>1300.5</v>
      </c>
      <c r="L296">
        <v>766.5</v>
      </c>
      <c r="M296" s="31">
        <f t="shared" si="19"/>
        <v>94</v>
      </c>
      <c r="N296">
        <f t="shared" si="20"/>
        <v>0.32302405498281789</v>
      </c>
      <c r="O296">
        <f t="shared" si="21"/>
        <v>-0.45925910661955244</v>
      </c>
      <c r="P296" s="281">
        <f t="shared" si="22"/>
        <v>801.53289962030431</v>
      </c>
      <c r="W296" s="69" t="str" cm="1">
        <f t="array" ref="W296">_xlfn.TEXTJOIN(", ",TRUE,IFERROR(_xlfn._xlws.FILTER(Table3[Holiday Name],('SELECTED DATA'!Q296&gt;=Table3[start])*('SELECTED DATA'!Q296&lt;=Table3[end])),""))</f>
        <v/>
      </c>
      <c r="X296">
        <v>1165</v>
      </c>
    </row>
    <row r="297" spans="3:24" x14ac:dyDescent="0.35">
      <c r="C297" s="36">
        <v>45436</v>
      </c>
      <c r="D297" t="str">
        <v>AM</v>
      </c>
      <c r="E297" t="str">
        <v>May</v>
      </c>
      <c r="F297" t="str">
        <v>FRI</v>
      </c>
      <c r="G297" s="31">
        <v>571</v>
      </c>
      <c r="H297" t="str">
        <v>DOUBLE</v>
      </c>
      <c r="I297">
        <v>571</v>
      </c>
      <c r="L297">
        <v>724</v>
      </c>
      <c r="M297" s="31">
        <f t="shared" si="19"/>
        <v>88</v>
      </c>
      <c r="N297">
        <f t="shared" si="20"/>
        <v>0.30240549828178692</v>
      </c>
      <c r="O297">
        <f t="shared" si="21"/>
        <v>-0.51749451542751346</v>
      </c>
      <c r="P297" s="281">
        <f t="shared" si="22"/>
        <v>775.7247044899774</v>
      </c>
      <c r="W297" s="69" t="str" cm="1">
        <f t="array" ref="W297">_xlfn.TEXTJOIN(", ",TRUE,IFERROR(_xlfn._xlws.FILTER(Table3[Holiday Name],('SELECTED DATA'!Q297&gt;=Table3[start])*('SELECTED DATA'!Q297&lt;=Table3[end])),""))</f>
        <v/>
      </c>
      <c r="X297">
        <v>2631.5</v>
      </c>
    </row>
    <row r="298" spans="3:24" x14ac:dyDescent="0.35">
      <c r="C298" s="36">
        <v>45436</v>
      </c>
      <c r="D298" t="str">
        <v>PM</v>
      </c>
      <c r="E298" t="str">
        <v>May</v>
      </c>
      <c r="F298" t="str">
        <v>FRI</v>
      </c>
      <c r="G298">
        <v>1434.5</v>
      </c>
      <c r="H298" t="str">
        <v>DOUBLE</v>
      </c>
      <c r="I298">
        <v>1434.5</v>
      </c>
      <c r="L298">
        <v>968.5</v>
      </c>
      <c r="M298" s="31">
        <f t="shared" si="19"/>
        <v>137</v>
      </c>
      <c r="N298">
        <f t="shared" si="20"/>
        <v>0.47079037800687284</v>
      </c>
      <c r="O298">
        <f t="shared" si="21"/>
        <v>-7.3283205271473056E-2</v>
      </c>
      <c r="P298" s="281">
        <f t="shared" si="22"/>
        <v>972.58589953044259</v>
      </c>
      <c r="W298" s="69" t="str" cm="1">
        <f t="array" ref="W298">_xlfn.TEXTJOIN(", ",TRUE,IFERROR(_xlfn._xlws.FILTER(Table3[Holiday Name],('SELECTED DATA'!Q298&gt;=Table3[start])*('SELECTED DATA'!Q298&lt;=Table3[end])),""))</f>
        <v/>
      </c>
      <c r="X298">
        <v>390.5</v>
      </c>
    </row>
    <row r="299" spans="3:24" x14ac:dyDescent="0.35">
      <c r="C299" s="36">
        <v>45437</v>
      </c>
      <c r="D299" t="str">
        <v>AM</v>
      </c>
      <c r="E299" t="str">
        <v>May</v>
      </c>
      <c r="F299" t="str">
        <v>SAT</v>
      </c>
      <c r="G299">
        <v>943.5</v>
      </c>
      <c r="H299" t="str">
        <v>DOUBLE</v>
      </c>
      <c r="I299">
        <v>943.5</v>
      </c>
      <c r="L299">
        <v>1715.5</v>
      </c>
      <c r="M299" s="31">
        <f t="shared" si="19"/>
        <v>288</v>
      </c>
      <c r="N299">
        <f t="shared" si="20"/>
        <v>0.98969072164948457</v>
      </c>
      <c r="O299">
        <f t="shared" si="21"/>
        <v>2.3148972354600739</v>
      </c>
      <c r="P299" s="281">
        <f t="shared" si="22"/>
        <v>2030.9561948962423</v>
      </c>
      <c r="W299" s="69" t="str" cm="1">
        <f t="array" ref="W299">_xlfn.TEXTJOIN(", ",TRUE,IFERROR(_xlfn._xlws.FILTER(Table3[Holiday Name],('SELECTED DATA'!Q299&gt;=Table3[start])*('SELECTED DATA'!Q299&lt;=Table3[end])),""))</f>
        <v/>
      </c>
      <c r="X299">
        <v>904</v>
      </c>
    </row>
    <row r="300" spans="3:24" x14ac:dyDescent="0.35">
      <c r="C300" s="36">
        <v>45437</v>
      </c>
      <c r="D300" t="str">
        <v>PM</v>
      </c>
      <c r="E300" t="str">
        <v>May</v>
      </c>
      <c r="F300" t="str">
        <v>SAT</v>
      </c>
      <c r="G300">
        <v>943.5</v>
      </c>
      <c r="H300" t="str">
        <v>DOUBLE</v>
      </c>
      <c r="I300">
        <v>943.5</v>
      </c>
      <c r="L300">
        <v>1198.3399999999999</v>
      </c>
      <c r="M300" s="31">
        <f t="shared" si="19"/>
        <v>205.5</v>
      </c>
      <c r="N300">
        <f t="shared" si="20"/>
        <v>0.70618556701030932</v>
      </c>
      <c r="O300">
        <f t="shared" si="21"/>
        <v>0.54227530374150268</v>
      </c>
      <c r="P300" s="281">
        <f t="shared" si="22"/>
        <v>1245.3830591954093</v>
      </c>
      <c r="W300" s="69" t="str" cm="1">
        <f t="array" ref="W300">_xlfn.TEXTJOIN(", ",TRUE,IFERROR(_xlfn._xlws.FILTER(Table3[Holiday Name],('SELECTED DATA'!Q300&gt;=Table3[start])*('SELECTED DATA'!Q300&lt;=Table3[end])),""))</f>
        <v/>
      </c>
      <c r="X300">
        <v>1066.5</v>
      </c>
    </row>
    <row r="301" spans="3:24" x14ac:dyDescent="0.35">
      <c r="C301" s="36">
        <v>45438</v>
      </c>
      <c r="D301" t="str">
        <v>AM</v>
      </c>
      <c r="E301" t="str">
        <v>May</v>
      </c>
      <c r="F301" t="str">
        <v>SUN</v>
      </c>
      <c r="G301">
        <v>613.5</v>
      </c>
      <c r="H301" t="str">
        <v>SINGLE</v>
      </c>
      <c r="I301">
        <v>613.5</v>
      </c>
      <c r="L301">
        <v>1198.3399999999999</v>
      </c>
      <c r="M301" s="31">
        <f t="shared" si="19"/>
        <v>205.5</v>
      </c>
      <c r="N301">
        <f t="shared" si="20"/>
        <v>0.70618556701030932</v>
      </c>
      <c r="O301">
        <f t="shared" si="21"/>
        <v>0.54227530374150268</v>
      </c>
      <c r="P301" s="281">
        <f t="shared" si="22"/>
        <v>1245.3830591954093</v>
      </c>
      <c r="W301" s="69" t="str" cm="1">
        <f t="array" ref="W301">_xlfn.TEXTJOIN(", ",TRUE,IFERROR(_xlfn._xlws.FILTER(Table3[Holiday Name],('SELECTED DATA'!Q301&gt;=Table3[start])*('SELECTED DATA'!Q301&lt;=Table3[end])),""))</f>
        <v/>
      </c>
      <c r="X301">
        <v>1385.5</v>
      </c>
    </row>
    <row r="302" spans="3:24" x14ac:dyDescent="0.35">
      <c r="C302" s="36">
        <v>45444</v>
      </c>
      <c r="D302" t="str">
        <v>AM</v>
      </c>
      <c r="E302" t="str">
        <v>June</v>
      </c>
      <c r="F302" t="str">
        <v>SAT</v>
      </c>
      <c r="G302">
        <v>872</v>
      </c>
      <c r="H302" t="str">
        <v>SINGLE</v>
      </c>
      <c r="I302">
        <v>872</v>
      </c>
      <c r="L302">
        <v>1314.5</v>
      </c>
      <c r="M302" s="31">
        <f t="shared" si="19"/>
        <v>235</v>
      </c>
      <c r="N302">
        <f t="shared" si="20"/>
        <v>0.80756013745704469</v>
      </c>
      <c r="O302">
        <f t="shared" si="21"/>
        <v>0.86894041023160729</v>
      </c>
      <c r="P302" s="281">
        <f t="shared" si="22"/>
        <v>1390.1512849730761</v>
      </c>
      <c r="W302" s="69" t="str" cm="1">
        <f t="array" ref="W302">_xlfn.TEXTJOIN(", ",TRUE,IFERROR(_xlfn._xlws.FILTER(Table3[Holiday Name],('SELECTED DATA'!Q302&gt;=Table3[start])*('SELECTED DATA'!Q302&lt;=Table3[end])),""))</f>
        <v/>
      </c>
      <c r="X302">
        <v>1555</v>
      </c>
    </row>
    <row r="303" spans="3:24" x14ac:dyDescent="0.35">
      <c r="C303" s="36">
        <v>45445</v>
      </c>
      <c r="D303" t="str">
        <v>AM</v>
      </c>
      <c r="E303" t="str">
        <v>June</v>
      </c>
      <c r="F303" t="str">
        <v>SUN</v>
      </c>
      <c r="G303">
        <v>782</v>
      </c>
      <c r="H303" t="str">
        <v>SINGLE</v>
      </c>
      <c r="I303">
        <v>782</v>
      </c>
      <c r="L303">
        <v>1397.5</v>
      </c>
      <c r="M303" s="31">
        <f t="shared" si="19"/>
        <v>249</v>
      </c>
      <c r="N303">
        <f t="shared" si="20"/>
        <v>0.85567010309278346</v>
      </c>
      <c r="O303">
        <f t="shared" si="21"/>
        <v>1.0610662513972886</v>
      </c>
      <c r="P303" s="281">
        <f t="shared" si="22"/>
        <v>1475.2957237239596</v>
      </c>
      <c r="W303" s="69" t="str" cm="1">
        <f t="array" ref="W303">_xlfn.TEXTJOIN(", ",TRUE,IFERROR(_xlfn._xlws.FILTER(Table3[Holiday Name],('SELECTED DATA'!Q303&gt;=Table3[start])*('SELECTED DATA'!Q303&lt;=Table3[end])),""))</f>
        <v/>
      </c>
      <c r="X303">
        <v>525</v>
      </c>
    </row>
    <row r="304" spans="3:24" x14ac:dyDescent="0.35">
      <c r="C304" s="36">
        <v>45446</v>
      </c>
      <c r="D304" t="str">
        <v>PM</v>
      </c>
      <c r="E304" t="str">
        <v>June</v>
      </c>
      <c r="F304" t="str">
        <v>MON</v>
      </c>
      <c r="G304">
        <v>586</v>
      </c>
      <c r="H304" t="str">
        <v>SINGLE</v>
      </c>
      <c r="I304">
        <v>586</v>
      </c>
      <c r="L304">
        <v>570.5</v>
      </c>
      <c r="M304" s="31">
        <f t="shared" si="19"/>
        <v>58</v>
      </c>
      <c r="N304">
        <f t="shared" si="20"/>
        <v>0.19931271477663232</v>
      </c>
      <c r="O304">
        <f t="shared" si="21"/>
        <v>-0.84407869957484605</v>
      </c>
      <c r="P304" s="281">
        <f t="shared" si="22"/>
        <v>630.99234107947541</v>
      </c>
      <c r="W304" s="69" t="str" cm="1">
        <f t="array" ref="W304">_xlfn.TEXTJOIN(", ",TRUE,IFERROR(_xlfn._xlws.FILTER(Table3[Holiday Name],('SELECTED DATA'!Q304&gt;=Table3[start])*('SELECTED DATA'!Q304&lt;=Table3[end])),""))</f>
        <v/>
      </c>
      <c r="X304">
        <v>1435</v>
      </c>
    </row>
    <row r="305" spans="3:24" x14ac:dyDescent="0.35">
      <c r="C305" s="36">
        <v>45448</v>
      </c>
      <c r="D305" t="str">
        <v>PM</v>
      </c>
      <c r="E305" t="str">
        <v>June</v>
      </c>
      <c r="F305" t="str">
        <v>WED</v>
      </c>
      <c r="G305">
        <v>1027</v>
      </c>
      <c r="H305" t="str">
        <v>SINGLE</v>
      </c>
      <c r="I305">
        <v>1027</v>
      </c>
      <c r="L305">
        <v>1527.5</v>
      </c>
      <c r="M305" s="31">
        <f t="shared" si="19"/>
        <v>274</v>
      </c>
      <c r="N305">
        <f t="shared" si="20"/>
        <v>0.94158075601374569</v>
      </c>
      <c r="O305">
        <f t="shared" si="21"/>
        <v>1.5681827541913638</v>
      </c>
      <c r="P305" s="281">
        <f t="shared" si="22"/>
        <v>1700.0346227171317</v>
      </c>
      <c r="W305" s="69" t="str" cm="1">
        <f t="array" ref="W305">_xlfn.TEXTJOIN(", ",TRUE,IFERROR(_xlfn._xlws.FILTER(Table3[Holiday Name],('SELECTED DATA'!Q305&gt;=Table3[start])*('SELECTED DATA'!Q305&lt;=Table3[end])),""))</f>
        <v/>
      </c>
      <c r="X305">
        <v>57</v>
      </c>
    </row>
    <row r="306" spans="3:24" x14ac:dyDescent="0.35">
      <c r="C306" s="36">
        <v>45449</v>
      </c>
      <c r="D306" t="str">
        <v>PM</v>
      </c>
      <c r="E306" t="str">
        <v>June</v>
      </c>
      <c r="F306" t="str">
        <v>THU</v>
      </c>
      <c r="G306">
        <v>1121</v>
      </c>
      <c r="H306" t="str">
        <v>SINGLE</v>
      </c>
      <c r="I306">
        <v>1121</v>
      </c>
      <c r="L306">
        <v>1165</v>
      </c>
      <c r="M306" s="31">
        <f t="shared" si="19"/>
        <v>191.5</v>
      </c>
      <c r="N306">
        <f t="shared" si="20"/>
        <v>0.65807560137457044</v>
      </c>
      <c r="O306">
        <f t="shared" si="21"/>
        <v>0.4072167542786298</v>
      </c>
      <c r="P306" s="281">
        <f t="shared" si="22"/>
        <v>1185.5291409366569</v>
      </c>
      <c r="W306" s="69" t="str" cm="1">
        <f t="array" ref="W306">_xlfn.TEXTJOIN(", ",TRUE,IFERROR(_xlfn._xlws.FILTER(Table3[Holiday Name],('SELECTED DATA'!Q306&gt;=Table3[start])*('SELECTED DATA'!Q306&lt;=Table3[end])),""))</f>
        <v/>
      </c>
      <c r="X306">
        <v>1368</v>
      </c>
    </row>
    <row r="307" spans="3:24" x14ac:dyDescent="0.35">
      <c r="C307" s="36">
        <v>45451</v>
      </c>
      <c r="D307" t="str">
        <v>AM</v>
      </c>
      <c r="E307" t="str">
        <v>June</v>
      </c>
      <c r="F307" t="str">
        <v>SAT</v>
      </c>
      <c r="G307">
        <v>1216</v>
      </c>
      <c r="H307" t="str">
        <v>DOUBLE</v>
      </c>
      <c r="I307">
        <v>1216</v>
      </c>
      <c r="L307">
        <v>1165</v>
      </c>
      <c r="M307" s="31">
        <f t="shared" si="19"/>
        <v>191.5</v>
      </c>
      <c r="N307">
        <f t="shared" si="20"/>
        <v>0.65807560137457044</v>
      </c>
      <c r="O307">
        <f t="shared" si="21"/>
        <v>0.4072167542786298</v>
      </c>
      <c r="P307" s="281">
        <f t="shared" si="22"/>
        <v>1185.5291409366569</v>
      </c>
      <c r="W307" s="69" t="str" cm="1">
        <f t="array" ref="W307">_xlfn.TEXTJOIN(", ",TRUE,IFERROR(_xlfn._xlws.FILTER(Table3[Holiday Name],('SELECTED DATA'!Q307&gt;=Table3[start])*('SELECTED DATA'!Q307&lt;=Table3[end])),""))</f>
        <v/>
      </c>
      <c r="X307">
        <v>1300.5</v>
      </c>
    </row>
    <row r="308" spans="3:24" x14ac:dyDescent="0.35">
      <c r="C308" s="36">
        <v>45451</v>
      </c>
      <c r="D308" t="str">
        <v>PM</v>
      </c>
      <c r="E308" t="str">
        <v>June</v>
      </c>
      <c r="F308" t="str">
        <v>SAT</v>
      </c>
      <c r="G308">
        <v>1351</v>
      </c>
      <c r="H308" t="str">
        <v>DOUBLE</v>
      </c>
      <c r="I308">
        <v>1351</v>
      </c>
      <c r="L308">
        <v>2631.5</v>
      </c>
      <c r="M308" s="31">
        <f t="shared" si="19"/>
        <v>304</v>
      </c>
      <c r="N308">
        <f t="shared" si="20"/>
        <v>0.99828178694158076</v>
      </c>
      <c r="O308">
        <f t="shared" si="21"/>
        <v>2.9257358252621142</v>
      </c>
      <c r="P308" s="281">
        <f t="shared" si="22"/>
        <v>2301.6616272343363</v>
      </c>
      <c r="W308" s="69" t="str" cm="1">
        <f t="array" ref="W308">_xlfn.TEXTJOIN(", ",TRUE,IFERROR(_xlfn._xlws.FILTER(Table3[Holiday Name],('SELECTED DATA'!Q308&gt;=Table3[start])*('SELECTED DATA'!Q308&lt;=Table3[end])),""))</f>
        <v/>
      </c>
      <c r="X308">
        <v>571</v>
      </c>
    </row>
    <row r="309" spans="3:24" x14ac:dyDescent="0.35">
      <c r="C309" s="36">
        <v>45452</v>
      </c>
      <c r="D309" t="str">
        <v>AM</v>
      </c>
      <c r="E309" t="str">
        <v>June</v>
      </c>
      <c r="F309" t="str">
        <v>SUN</v>
      </c>
      <c r="G309">
        <v>615.5</v>
      </c>
      <c r="H309" t="str">
        <v>DOUBLE</v>
      </c>
      <c r="I309">
        <v>615.5</v>
      </c>
      <c r="L309">
        <v>390.5</v>
      </c>
      <c r="M309" s="31">
        <f t="shared" si="19"/>
        <v>28</v>
      </c>
      <c r="N309">
        <f t="shared" si="20"/>
        <v>9.6219931271477668E-2</v>
      </c>
      <c r="O309">
        <f t="shared" si="21"/>
        <v>-1.3033952347447755</v>
      </c>
      <c r="P309" s="281">
        <f t="shared" si="22"/>
        <v>427.43696113285648</v>
      </c>
      <c r="W309" s="69" t="str" cm="1">
        <f t="array" ref="W309">_xlfn.TEXTJOIN(", ",TRUE,IFERROR(_xlfn._xlws.FILTER(Table3[Holiday Name],('SELECTED DATA'!Q309&gt;=Table3[start])*('SELECTED DATA'!Q309&lt;=Table3[end])),""))</f>
        <v/>
      </c>
      <c r="X309">
        <v>1434.5</v>
      </c>
    </row>
    <row r="310" spans="3:24" x14ac:dyDescent="0.35">
      <c r="C310" s="36">
        <v>45452</v>
      </c>
      <c r="D310" t="str">
        <v>PM</v>
      </c>
      <c r="E310" t="str">
        <v>June</v>
      </c>
      <c r="F310" t="str">
        <v>SUN</v>
      </c>
      <c r="G310">
        <v>615.5</v>
      </c>
      <c r="H310" t="str">
        <v>DOUBLE</v>
      </c>
      <c r="I310">
        <v>615.5</v>
      </c>
      <c r="L310">
        <v>904</v>
      </c>
      <c r="M310" s="31">
        <f t="shared" si="19"/>
        <v>117</v>
      </c>
      <c r="N310">
        <f t="shared" si="20"/>
        <v>0.40206185567010311</v>
      </c>
      <c r="O310">
        <f t="shared" si="21"/>
        <v>-0.24801382342514405</v>
      </c>
      <c r="P310" s="281">
        <f t="shared" si="22"/>
        <v>895.15050445279849</v>
      </c>
      <c r="W310" s="69" t="str" cm="1">
        <f t="array" ref="W310">_xlfn.TEXTJOIN(", ",TRUE,IFERROR(_xlfn._xlws.FILTER(Table3[Holiday Name],('SELECTED DATA'!Q310&gt;=Table3[start])*('SELECTED DATA'!Q310&lt;=Table3[end])),""))</f>
        <v/>
      </c>
      <c r="X310">
        <v>943.5</v>
      </c>
    </row>
    <row r="311" spans="3:24" x14ac:dyDescent="0.35">
      <c r="L311">
        <v>1066.5</v>
      </c>
      <c r="M311" s="31">
        <f t="shared" si="19"/>
        <v>170</v>
      </c>
      <c r="N311">
        <f t="shared" si="20"/>
        <v>0.58419243986254299</v>
      </c>
      <c r="O311">
        <f t="shared" si="21"/>
        <v>0.21263057636128899</v>
      </c>
      <c r="P311" s="281">
        <f t="shared" si="22"/>
        <v>1099.2943543669314</v>
      </c>
      <c r="W311" s="69" t="str" cm="1">
        <f t="array" ref="W311">_xlfn.TEXTJOIN(", ",TRUE,IFERROR(_xlfn._xlws.FILTER(Table3[Holiday Name],('SELECTED DATA'!Q311&gt;=Table3[start])*('SELECTED DATA'!Q311&lt;=Table3[end])),""))</f>
        <v/>
      </c>
      <c r="X311">
        <v>943.5</v>
      </c>
    </row>
    <row r="312" spans="3:24" x14ac:dyDescent="0.35">
      <c r="L312">
        <v>1385.5</v>
      </c>
      <c r="M312" s="31">
        <f t="shared" si="19"/>
        <v>245</v>
      </c>
      <c r="N312">
        <f t="shared" si="20"/>
        <v>0.84192439862542956</v>
      </c>
      <c r="O312">
        <f t="shared" si="21"/>
        <v>1.0023984245136595</v>
      </c>
      <c r="P312" s="281">
        <f t="shared" si="22"/>
        <v>1449.2958938081445</v>
      </c>
      <c r="W312" s="69" t="str" cm="1">
        <f t="array" ref="W312">_xlfn.TEXTJOIN(", ",TRUE,IFERROR(_xlfn._xlws.FILTER(Table3[Holiday Name],('SELECTED DATA'!Q312&gt;=Table3[start])*('SELECTED DATA'!Q312&lt;=Table3[end])),""))</f>
        <v/>
      </c>
      <c r="X312">
        <v>613.5</v>
      </c>
    </row>
    <row r="313" spans="3:24" x14ac:dyDescent="0.35">
      <c r="L313">
        <v>1555</v>
      </c>
      <c r="M313" s="31">
        <f t="shared" si="19"/>
        <v>277</v>
      </c>
      <c r="N313">
        <f t="shared" si="20"/>
        <v>0.95189003436426112</v>
      </c>
      <c r="O313">
        <f t="shared" si="21"/>
        <v>1.6634623002421642</v>
      </c>
      <c r="P313" s="281">
        <f t="shared" si="22"/>
        <v>1742.2596738800225</v>
      </c>
      <c r="W313" s="69" t="str" cm="1">
        <f t="array" ref="W313">_xlfn.TEXTJOIN(", ",TRUE,IFERROR(_xlfn._xlws.FILTER(Table3[Holiday Name],('SELECTED DATA'!Q313&gt;=Table3[start])*('SELECTED DATA'!Q313&lt;=Table3[end])),""))</f>
        <v/>
      </c>
      <c r="X313">
        <v>872</v>
      </c>
    </row>
    <row r="314" spans="3:24" x14ac:dyDescent="0.35">
      <c r="L314">
        <v>525</v>
      </c>
      <c r="M314" s="31">
        <f t="shared" si="19"/>
        <v>49</v>
      </c>
      <c r="N314">
        <f t="shared" si="20"/>
        <v>0.16838487972508592</v>
      </c>
      <c r="O314">
        <f t="shared" si="21"/>
        <v>-0.9605673349141951</v>
      </c>
      <c r="P314" s="281">
        <f t="shared" si="22"/>
        <v>579.36805453557417</v>
      </c>
      <c r="W314" s="69" t="str" cm="1">
        <f t="array" ref="W314">_xlfn.TEXTJOIN(", ",TRUE,IFERROR(_xlfn._xlws.FILTER(Table3[Holiday Name],('SELECTED DATA'!Q314&gt;=Table3[start])*('SELECTED DATA'!Q314&lt;=Table3[end])),""))</f>
        <v/>
      </c>
      <c r="X314">
        <v>782</v>
      </c>
    </row>
    <row r="315" spans="3:24" x14ac:dyDescent="0.35">
      <c r="L315">
        <v>1435</v>
      </c>
      <c r="M315" s="31">
        <f t="shared" si="19"/>
        <v>263</v>
      </c>
      <c r="N315">
        <f t="shared" si="20"/>
        <v>0.90378006872852235</v>
      </c>
      <c r="O315">
        <f t="shared" si="21"/>
        <v>1.3033952347447755</v>
      </c>
      <c r="P315" s="281">
        <f t="shared" si="22"/>
        <v>1582.6886967618807</v>
      </c>
      <c r="W315" s="69" t="str" cm="1">
        <f t="array" ref="W315">_xlfn.TEXTJOIN(", ",TRUE,IFERROR(_xlfn._xlws.FILTER(Table3[Holiday Name],('SELECTED DATA'!Q315&gt;=Table3[start])*('SELECTED DATA'!Q315&lt;=Table3[end])),""))</f>
        <v/>
      </c>
      <c r="X315">
        <v>586</v>
      </c>
    </row>
    <row r="316" spans="3:24" x14ac:dyDescent="0.35">
      <c r="L316">
        <v>57</v>
      </c>
      <c r="M316" s="31">
        <f t="shared" si="19"/>
        <v>2</v>
      </c>
      <c r="N316">
        <f t="shared" si="20"/>
        <v>6.8728522336769758E-3</v>
      </c>
      <c r="O316">
        <f t="shared" si="21"/>
        <v>-2.4638410742258001</v>
      </c>
      <c r="P316" s="281">
        <f t="shared" si="22"/>
        <v>-86.838001068629978</v>
      </c>
      <c r="W316" s="69" t="str" cm="1">
        <f t="array" ref="W316">_xlfn.TEXTJOIN(", ",TRUE,IFERROR(_xlfn._xlws.FILTER(Table3[Holiday Name],('SELECTED DATA'!Q316&gt;=Table3[start])*('SELECTED DATA'!Q316&lt;=Table3[end])),""))</f>
        <v/>
      </c>
      <c r="X316">
        <v>1027</v>
      </c>
    </row>
    <row r="317" spans="3:24" x14ac:dyDescent="0.35">
      <c r="L317">
        <v>1368</v>
      </c>
      <c r="M317" s="31">
        <f t="shared" si="19"/>
        <v>243</v>
      </c>
      <c r="N317">
        <f t="shared" si="20"/>
        <v>0.83505154639175261</v>
      </c>
      <c r="O317">
        <f t="shared" si="21"/>
        <v>0.97432155132534637</v>
      </c>
      <c r="P317" s="281">
        <f t="shared" si="22"/>
        <v>1436.853061573843</v>
      </c>
      <c r="W317" s="69" t="str" cm="1">
        <f t="array" ref="W317">_xlfn.TEXTJOIN(", ",TRUE,IFERROR(_xlfn._xlws.FILTER(Table3[Holiday Name],('SELECTED DATA'!Q317&gt;=Table3[start])*('SELECTED DATA'!Q317&lt;=Table3[end])),""))</f>
        <v/>
      </c>
      <c r="X317">
        <v>1121</v>
      </c>
    </row>
    <row r="318" spans="3:24" x14ac:dyDescent="0.35">
      <c r="L318">
        <v>1300.5</v>
      </c>
      <c r="M318" s="31">
        <f t="shared" si="19"/>
        <v>230</v>
      </c>
      <c r="N318">
        <f t="shared" si="20"/>
        <v>0.7903780068728522</v>
      </c>
      <c r="O318">
        <f t="shared" si="21"/>
        <v>0.80773354872028991</v>
      </c>
      <c r="P318" s="281">
        <f t="shared" si="22"/>
        <v>1363.0262306885249</v>
      </c>
      <c r="W318" s="69" t="str" cm="1">
        <f t="array" ref="W318">_xlfn.TEXTJOIN(", ",TRUE,IFERROR(_xlfn._xlws.FILTER(Table3[Holiday Name],('SELECTED DATA'!Q318&gt;=Table3[start])*('SELECTED DATA'!Q318&lt;=Table3[end])),""))</f>
        <v/>
      </c>
      <c r="X318">
        <v>1216</v>
      </c>
    </row>
    <row r="319" spans="3:24" x14ac:dyDescent="0.35">
      <c r="L319">
        <v>571</v>
      </c>
      <c r="M319" s="31">
        <f t="shared" si="19"/>
        <v>59</v>
      </c>
      <c r="N319">
        <f t="shared" si="20"/>
        <v>0.20274914089347079</v>
      </c>
      <c r="O319">
        <f t="shared" si="21"/>
        <v>-0.83184173728843269</v>
      </c>
      <c r="P319" s="281">
        <f t="shared" si="22"/>
        <v>636.41539754897917</v>
      </c>
      <c r="W319" s="69" t="str" cm="1">
        <f t="array" ref="W319">_xlfn.TEXTJOIN(", ",TRUE,IFERROR(_xlfn._xlws.FILTER(Table3[Holiday Name],('SELECTED DATA'!Q319&gt;=Table3[start])*('SELECTED DATA'!Q319&lt;=Table3[end])),""))</f>
        <v/>
      </c>
      <c r="X319">
        <v>1351</v>
      </c>
    </row>
    <row r="320" spans="3:24" x14ac:dyDescent="0.35">
      <c r="L320">
        <v>1434.5</v>
      </c>
      <c r="M320" s="31">
        <f>_xlfn.RANK.AVG(L320,_xlfn.ANCHORARRAY($L$29),1)</f>
        <v>262</v>
      </c>
      <c r="N320">
        <f t="shared" si="20"/>
        <v>0.90034364261168387</v>
      </c>
      <c r="O320">
        <f t="shared" si="21"/>
        <v>1.2835121239141811</v>
      </c>
      <c r="P320" s="281">
        <f t="shared" si="22"/>
        <v>1573.8770954592082</v>
      </c>
      <c r="W320" s="69" t="str" cm="1">
        <f t="array" ref="W320">_xlfn.TEXTJOIN(", ",TRUE,IFERROR(_xlfn._xlws.FILTER(Table3[Holiday Name],('SELECTED DATA'!Q320&gt;=Table3[start])*('SELECTED DATA'!Q320&lt;=Table3[end])),""))</f>
        <v/>
      </c>
      <c r="X320">
        <v>615.5</v>
      </c>
    </row>
    <row r="321" spans="12:24" x14ac:dyDescent="0.35">
      <c r="L321">
        <v>943.5</v>
      </c>
      <c r="M321" s="31">
        <f t="shared" ref="M321:M332" si="23">_xlfn.RANK.AVG(L321,_xlfn.ANCHORARRAY($L$29),1)</f>
        <v>127.5</v>
      </c>
      <c r="N321">
        <f t="shared" si="20"/>
        <v>0.43814432989690721</v>
      </c>
      <c r="O321">
        <f t="shared" si="21"/>
        <v>-0.15567569037416348</v>
      </c>
      <c r="P321" s="281">
        <f t="shared" si="22"/>
        <v>936.07200916152851</v>
      </c>
      <c r="W321" s="69" t="str" cm="1">
        <f t="array" ref="W321">_xlfn.TEXTJOIN(", ",TRUE,IFERROR(_xlfn._xlws.FILTER(Table3[Holiday Name],('SELECTED DATA'!Q321&gt;=Table3[start])*('SELECTED DATA'!Q321&lt;=Table3[end])),""))</f>
        <v/>
      </c>
      <c r="X321">
        <v>615.5</v>
      </c>
    </row>
    <row r="322" spans="12:24" x14ac:dyDescent="0.35">
      <c r="L322">
        <v>943.5</v>
      </c>
      <c r="M322" s="31">
        <f t="shared" si="23"/>
        <v>127.5</v>
      </c>
      <c r="N322">
        <f t="shared" si="20"/>
        <v>0.43814432989690721</v>
      </c>
      <c r="O322">
        <f t="shared" si="21"/>
        <v>-0.15567569037416348</v>
      </c>
      <c r="P322" s="281">
        <f t="shared" si="22"/>
        <v>936.07200916152851</v>
      </c>
      <c r="W322" s="69" t="str" cm="1">
        <f t="array" ref="W322">_xlfn.TEXTJOIN(", ",TRUE,IFERROR(_xlfn._xlws.FILTER(Table3[Holiday Name],('SELECTED DATA'!Q322&gt;=Table3[start])*('SELECTED DATA'!Q322&lt;=Table3[end])),""))</f>
        <v/>
      </c>
    </row>
    <row r="323" spans="12:24" x14ac:dyDescent="0.35">
      <c r="L323">
        <v>613.5</v>
      </c>
      <c r="M323" s="31">
        <f t="shared" si="23"/>
        <v>71</v>
      </c>
      <c r="N323">
        <f t="shared" si="20"/>
        <v>0.24398625429553264</v>
      </c>
      <c r="O323">
        <f t="shared" si="21"/>
        <v>-0.69353716874947002</v>
      </c>
      <c r="P323" s="281">
        <f t="shared" si="22"/>
        <v>697.70785458383489</v>
      </c>
      <c r="W323" s="69" t="str" cm="1">
        <f t="array" ref="W323">_xlfn.TEXTJOIN(", ",TRUE,IFERROR(_xlfn._xlws.FILTER(Table3[Holiday Name],('SELECTED DATA'!Q323&gt;=Table3[start])*('SELECTED DATA'!Q323&lt;=Table3[end])),""))</f>
        <v/>
      </c>
    </row>
    <row r="324" spans="12:24" x14ac:dyDescent="0.35">
      <c r="L324">
        <v>872</v>
      </c>
      <c r="M324" s="31">
        <f t="shared" si="23"/>
        <v>114</v>
      </c>
      <c r="N324">
        <f t="shared" si="20"/>
        <v>0.39175257731958762</v>
      </c>
      <c r="O324">
        <f t="shared" si="21"/>
        <v>-0.27475411245874887</v>
      </c>
      <c r="P324" s="281">
        <f t="shared" si="22"/>
        <v>883.30000642510595</v>
      </c>
      <c r="W324" s="69" t="str" cm="1">
        <f t="array" ref="W324">_xlfn.TEXTJOIN(", ",TRUE,IFERROR(_xlfn._xlws.FILTER(Table3[Holiday Name],('SELECTED DATA'!Q324&gt;=Table3[start])*('SELECTED DATA'!Q324&lt;=Table3[end])),""))</f>
        <v/>
      </c>
    </row>
    <row r="325" spans="12:24" x14ac:dyDescent="0.35">
      <c r="L325">
        <v>782</v>
      </c>
      <c r="M325" s="31">
        <f t="shared" si="23"/>
        <v>97</v>
      </c>
      <c r="N325">
        <f t="shared" si="20"/>
        <v>0.33333333333333331</v>
      </c>
      <c r="O325">
        <f t="shared" si="21"/>
        <v>-0.43072729929545767</v>
      </c>
      <c r="P325" s="281">
        <f t="shared" si="22"/>
        <v>814.17734508593765</v>
      </c>
      <c r="W325" s="69" t="str" cm="1">
        <f t="array" ref="W325">_xlfn.TEXTJOIN(", ",TRUE,IFERROR(_xlfn._xlws.FILTER(Table3[Holiday Name],('SELECTED DATA'!Q325&gt;=Table3[start])*('SELECTED DATA'!Q325&lt;=Table3[end])),""))</f>
        <v/>
      </c>
    </row>
    <row r="326" spans="12:24" x14ac:dyDescent="0.35">
      <c r="L326">
        <v>586</v>
      </c>
      <c r="M326" s="31">
        <f t="shared" si="23"/>
        <v>61</v>
      </c>
      <c r="N326">
        <f t="shared" si="20"/>
        <v>0.20962199312714777</v>
      </c>
      <c r="O326">
        <f t="shared" si="21"/>
        <v>-0.80773354872028991</v>
      </c>
      <c r="P326" s="281">
        <f t="shared" si="22"/>
        <v>647.09942720621211</v>
      </c>
      <c r="W326" s="69" t="str" cm="1">
        <f t="array" ref="W326">_xlfn.TEXTJOIN(", ",TRUE,IFERROR(_xlfn._xlws.FILTER(Table3[Holiday Name],('SELECTED DATA'!Q326&gt;=Table3[start])*('SELECTED DATA'!Q326&lt;=Table3[end])),""))</f>
        <v/>
      </c>
    </row>
    <row r="327" spans="12:24" x14ac:dyDescent="0.35">
      <c r="L327">
        <v>1027</v>
      </c>
      <c r="M327" s="31">
        <f t="shared" si="23"/>
        <v>155</v>
      </c>
      <c r="N327">
        <f t="shared" si="20"/>
        <v>0.53264604810996563</v>
      </c>
      <c r="O327">
        <f t="shared" si="21"/>
        <v>8.1923051277915451E-2</v>
      </c>
      <c r="P327" s="281">
        <f t="shared" si="22"/>
        <v>1041.3686802555367</v>
      </c>
      <c r="W327" s="69" t="str" cm="1">
        <f t="array" ref="W327">_xlfn.TEXTJOIN(", ",TRUE,IFERROR(_xlfn._xlws.FILTER(Table3[Holiday Name],('SELECTED DATA'!Q327&gt;=Table3[start])*('SELECTED DATA'!Q327&lt;=Table3[end])),""))</f>
        <v/>
      </c>
    </row>
    <row r="328" spans="12:24" x14ac:dyDescent="0.35">
      <c r="L328">
        <v>1121</v>
      </c>
      <c r="M328" s="31">
        <f t="shared" si="23"/>
        <v>183</v>
      </c>
      <c r="N328">
        <f t="shared" si="20"/>
        <v>0.62886597938144329</v>
      </c>
      <c r="O328">
        <f t="shared" si="21"/>
        <v>0.32885135886431638</v>
      </c>
      <c r="P328" s="281">
        <f t="shared" si="22"/>
        <v>1150.7999365279236</v>
      </c>
      <c r="W328" s="69" t="str" cm="1">
        <f t="array" ref="W328">_xlfn.TEXTJOIN(", ",TRUE,IFERROR(_xlfn._xlws.FILTER(Table3[Holiday Name],('SELECTED DATA'!Q328&gt;=Table3[start])*('SELECTED DATA'!Q328&lt;=Table3[end])),""))</f>
        <v/>
      </c>
    </row>
    <row r="329" spans="12:24" x14ac:dyDescent="0.35">
      <c r="L329">
        <v>1216</v>
      </c>
      <c r="M329" s="31">
        <f t="shared" si="23"/>
        <v>209</v>
      </c>
      <c r="N329">
        <f t="shared" si="20"/>
        <v>0.71821305841924399</v>
      </c>
      <c r="O329">
        <f t="shared" si="21"/>
        <v>0.57754124729617073</v>
      </c>
      <c r="P329" s="281">
        <f t="shared" si="22"/>
        <v>1261.0118728561033</v>
      </c>
      <c r="W329" s="69" t="str" cm="1">
        <f t="array" ref="W329">_xlfn.TEXTJOIN(", ",TRUE,IFERROR(_xlfn._xlws.FILTER(Table3[Holiday Name],('SELECTED DATA'!Q329&gt;=Table3[start])*('SELECTED DATA'!Q329&lt;=Table3[end])),""))</f>
        <v/>
      </c>
    </row>
    <row r="330" spans="12:24" x14ac:dyDescent="0.35">
      <c r="L330">
        <v>1351</v>
      </c>
      <c r="M330" s="31">
        <f t="shared" si="23"/>
        <v>241</v>
      </c>
      <c r="N330">
        <f t="shared" si="20"/>
        <v>0.82817869415807566</v>
      </c>
      <c r="O330">
        <f t="shared" si="21"/>
        <v>0.94699247843129997</v>
      </c>
      <c r="P330" s="281">
        <f t="shared" si="22"/>
        <v>1424.7416321116348</v>
      </c>
      <c r="W330" s="69" t="str" cm="1">
        <f t="array" ref="W330">_xlfn.TEXTJOIN(", ",TRUE,IFERROR(_xlfn._xlws.FILTER(Table3[Holiday Name],('SELECTED DATA'!Q330&gt;=Table3[start])*('SELECTED DATA'!Q330&lt;=Table3[end])),""))</f>
        <v/>
      </c>
    </row>
    <row r="331" spans="12:24" x14ac:dyDescent="0.35">
      <c r="L331">
        <v>615.5</v>
      </c>
      <c r="M331" s="31">
        <f t="shared" si="23"/>
        <v>72.5</v>
      </c>
      <c r="N331">
        <f t="shared" si="20"/>
        <v>0.24914089347079038</v>
      </c>
      <c r="O331">
        <f t="shared" si="21"/>
        <v>-0.67719571371688758</v>
      </c>
      <c r="P331" s="281">
        <f t="shared" si="22"/>
        <v>704.94989973861539</v>
      </c>
      <c r="W331" s="69" t="str" cm="1">
        <f t="array" ref="W331">_xlfn.TEXTJOIN(", ",TRUE,IFERROR(_xlfn._xlws.FILTER(Table3[Holiday Name],('SELECTED DATA'!Q331&gt;=Table3[start])*('SELECTED DATA'!Q331&lt;=Table3[end])),""))</f>
        <v/>
      </c>
    </row>
    <row r="332" spans="12:24" x14ac:dyDescent="0.35">
      <c r="L332">
        <v>615.5</v>
      </c>
      <c r="M332" s="31">
        <f t="shared" si="23"/>
        <v>72.5</v>
      </c>
      <c r="N332">
        <f t="shared" si="20"/>
        <v>0.24914089347079038</v>
      </c>
      <c r="O332">
        <f t="shared" si="21"/>
        <v>-0.67719571371688758</v>
      </c>
      <c r="P332" s="281">
        <f t="shared" si="22"/>
        <v>704.94989973861539</v>
      </c>
      <c r="W332" s="69" t="str" cm="1">
        <f t="array" ref="W332">_xlfn.TEXTJOIN(", ",TRUE,IFERROR(_xlfn._xlws.FILTER(Table3[Holiday Name],('SELECTED DATA'!Q332&gt;=Table3[start])*('SELECTED DATA'!Q332&lt;=Table3[end])),""))</f>
        <v/>
      </c>
    </row>
    <row r="333" spans="12:24" x14ac:dyDescent="0.35">
      <c r="N333" t="str">
        <f t="shared" si="20"/>
        <v>X</v>
      </c>
      <c r="O333" t="str">
        <f t="shared" si="21"/>
        <v>X</v>
      </c>
      <c r="P333" s="282" t="str">
        <f t="shared" si="22"/>
        <v>X</v>
      </c>
      <c r="W333" s="69" t="str" cm="1">
        <f t="array" ref="W333">_xlfn.TEXTJOIN(", ",TRUE,IFERROR(_xlfn._xlws.FILTER(Table3[Holiday Name],('SELECTED DATA'!Q333&gt;=Table3[start])*('SELECTED DATA'!Q333&lt;=Table3[end])),""))</f>
        <v/>
      </c>
    </row>
    <row r="334" spans="12:24" x14ac:dyDescent="0.35">
      <c r="P334" s="31"/>
    </row>
    <row r="335" spans="12:24" x14ac:dyDescent="0.35">
      <c r="P335" s="31"/>
    </row>
    <row r="336" spans="12:24" x14ac:dyDescent="0.35">
      <c r="P336" s="31"/>
    </row>
    <row r="337" spans="16:16" x14ac:dyDescent="0.35">
      <c r="P337" s="31"/>
    </row>
    <row r="338" spans="16:16" x14ac:dyDescent="0.35">
      <c r="P338" s="31"/>
    </row>
    <row r="339" spans="16:16" x14ac:dyDescent="0.35">
      <c r="P339" s="31"/>
    </row>
    <row r="340" spans="16:16" x14ac:dyDescent="0.35">
      <c r="P340" s="31"/>
    </row>
    <row r="341" spans="16:16" x14ac:dyDescent="0.35">
      <c r="P341" s="31"/>
    </row>
    <row r="342" spans="16:16" x14ac:dyDescent="0.35">
      <c r="P342" s="31"/>
    </row>
    <row r="343" spans="16:16" x14ac:dyDescent="0.35">
      <c r="P343" s="31"/>
    </row>
    <row r="344" spans="16:16" x14ac:dyDescent="0.35">
      <c r="P344" s="31"/>
    </row>
    <row r="345" spans="16:16" x14ac:dyDescent="0.35">
      <c r="P345" s="31"/>
    </row>
    <row r="346" spans="16:16" x14ac:dyDescent="0.35">
      <c r="P346" s="31"/>
    </row>
    <row r="347" spans="16:16" x14ac:dyDescent="0.35">
      <c r="P347" s="31"/>
    </row>
    <row r="348" spans="16:16" x14ac:dyDescent="0.35">
      <c r="P348" s="31"/>
    </row>
    <row r="349" spans="16:16" x14ac:dyDescent="0.35">
      <c r="P349" s="31"/>
    </row>
    <row r="350" spans="16:16" x14ac:dyDescent="0.35">
      <c r="P350" s="31"/>
    </row>
    <row r="351" spans="16:16" x14ac:dyDescent="0.35">
      <c r="P351" s="31"/>
    </row>
    <row r="352" spans="16:16" x14ac:dyDescent="0.35">
      <c r="P352" s="31"/>
    </row>
    <row r="353" spans="16:16" x14ac:dyDescent="0.35">
      <c r="P353" s="31"/>
    </row>
    <row r="354" spans="16:16" x14ac:dyDescent="0.35">
      <c r="P354" s="31"/>
    </row>
    <row r="355" spans="16:16" x14ac:dyDescent="0.35">
      <c r="P355" s="31"/>
    </row>
    <row r="356" spans="16:16" x14ac:dyDescent="0.35">
      <c r="P356" s="31"/>
    </row>
    <row r="357" spans="16:16" x14ac:dyDescent="0.35">
      <c r="P357" s="31"/>
    </row>
    <row r="358" spans="16:16" x14ac:dyDescent="0.35">
      <c r="P358" s="31"/>
    </row>
    <row r="359" spans="16:16" x14ac:dyDescent="0.35">
      <c r="P359" s="31"/>
    </row>
    <row r="360" spans="16:16" x14ac:dyDescent="0.35">
      <c r="P360" s="31"/>
    </row>
    <row r="361" spans="16:16" x14ac:dyDescent="0.35">
      <c r="P361" s="31"/>
    </row>
    <row r="362" spans="16:16" x14ac:dyDescent="0.35">
      <c r="P362" s="31"/>
    </row>
    <row r="363" spans="16:16" x14ac:dyDescent="0.35">
      <c r="P363" s="31"/>
    </row>
    <row r="364" spans="16:16" x14ac:dyDescent="0.35">
      <c r="P364" s="31"/>
    </row>
    <row r="365" spans="16:16" x14ac:dyDescent="0.35">
      <c r="P365" s="31"/>
    </row>
    <row r="366" spans="16:16" x14ac:dyDescent="0.35">
      <c r="P366" s="31"/>
    </row>
    <row r="367" spans="16:16" x14ac:dyDescent="0.35">
      <c r="P367" s="31"/>
    </row>
    <row r="368" spans="16:16" x14ac:dyDescent="0.35">
      <c r="P368" s="31"/>
    </row>
    <row r="369" spans="16:16" x14ac:dyDescent="0.35">
      <c r="P369" s="31"/>
    </row>
    <row r="370" spans="16:16" x14ac:dyDescent="0.35">
      <c r="P370" s="31"/>
    </row>
    <row r="371" spans="16:16" x14ac:dyDescent="0.35">
      <c r="P371" s="31"/>
    </row>
    <row r="372" spans="16:16" x14ac:dyDescent="0.35">
      <c r="P372" s="31"/>
    </row>
    <row r="373" spans="16:16" x14ac:dyDescent="0.35">
      <c r="P373" s="31"/>
    </row>
    <row r="374" spans="16:16" x14ac:dyDescent="0.35">
      <c r="P374" s="31"/>
    </row>
    <row r="375" spans="16:16" x14ac:dyDescent="0.35">
      <c r="P375" s="31"/>
    </row>
    <row r="376" spans="16:16" x14ac:dyDescent="0.35">
      <c r="P376" s="31"/>
    </row>
    <row r="377" spans="16:16" x14ac:dyDescent="0.35">
      <c r="P377" s="31"/>
    </row>
    <row r="378" spans="16:16" x14ac:dyDescent="0.35">
      <c r="P378" s="31"/>
    </row>
    <row r="379" spans="16:16" x14ac:dyDescent="0.35">
      <c r="P379" s="31"/>
    </row>
    <row r="380" spans="16:16" x14ac:dyDescent="0.35">
      <c r="P380" s="31"/>
    </row>
    <row r="381" spans="16:16" x14ac:dyDescent="0.35">
      <c r="P381" s="31"/>
    </row>
    <row r="382" spans="16:16" x14ac:dyDescent="0.35">
      <c r="P382" s="31"/>
    </row>
    <row r="383" spans="16:16" x14ac:dyDescent="0.35">
      <c r="P383" s="31"/>
    </row>
    <row r="384" spans="16:16" x14ac:dyDescent="0.35">
      <c r="P384" s="31"/>
    </row>
    <row r="385" spans="16:16" x14ac:dyDescent="0.35">
      <c r="P385" s="31"/>
    </row>
  </sheetData>
  <mergeCells count="9">
    <mergeCell ref="C3:H3"/>
    <mergeCell ref="L25:P26"/>
    <mergeCell ref="N27:O27"/>
    <mergeCell ref="Q25:V26"/>
    <mergeCell ref="A6:B6"/>
    <mergeCell ref="A12:A21"/>
    <mergeCell ref="C4:H5"/>
    <mergeCell ref="C6:H6"/>
    <mergeCell ref="I4:I6"/>
  </mergeCells>
  <pageMargins left="0.7" right="0.7" top="0.75" bottom="0.75" header="0.3" footer="0.3"/>
  <customProperties>
    <customPr name="LastActive"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TIPS</vt:lpstr>
      <vt:lpstr>$hourly</vt:lpstr>
      <vt:lpstr>HELPER COLUMNS</vt:lpstr>
      <vt:lpstr>RAW DATA</vt:lpstr>
      <vt:lpstr>DIST</vt:lpstr>
      <vt:lpstr>Holiday Calendar</vt:lpstr>
      <vt:lpstr>DROPDOWN LISTS</vt:lpstr>
      <vt:lpstr>Sheet1</vt:lpstr>
      <vt:lpstr>SELECTED DATA</vt:lpstr>
      <vt:lpstr>AxisAdjTIPS</vt:lpstr>
      <vt:lpstr>TIPS!holidays</vt:lpstr>
      <vt:lpstr>holidays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mcsweeney</dc:creator>
  <cp:lastModifiedBy>joe mcsweeney</cp:lastModifiedBy>
  <dcterms:created xsi:type="dcterms:W3CDTF">2024-06-17T13:31:45Z</dcterms:created>
  <dcterms:modified xsi:type="dcterms:W3CDTF">2024-07-16T21:01:50Z</dcterms:modified>
</cp:coreProperties>
</file>