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tables/table1.xml" ContentType="application/vnd.openxmlformats-officedocument.spreadsheetml.table+xml"/>
  <Override PartName="/xl/pivotTables/pivotTable1.xml" ContentType="application/vnd.openxmlformats-officedocument.spreadsheetml.pivotTable+xml"/>
  <Override PartName="/xl/customProperty4.bin" ContentType="application/vnd.openxmlformats-officedocument.spreadsheetml.customProperty"/>
  <Override PartName="/xl/tables/table2.xml" ContentType="application/vnd.openxmlformats-officedocument.spreadsheetml.table+xml"/>
  <Override PartName="/xl/customProperty5.bin" ContentType="application/vnd.openxmlformats-officedocument.spreadsheetml.customProperty"/>
  <Override PartName="/xl/tables/table3.xml" ContentType="application/vnd.openxmlformats-officedocument.spreadsheetml.table+xml"/>
  <Override PartName="/xl/customProperty6.bin" ContentType="application/vnd.openxmlformats-officedocument.spreadsheetml.customProperty"/>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customProperty7.bin" ContentType="application/vnd.openxmlformats-officedocument.spreadsheetml.customProperty"/>
  <Override PartName="/xl/customProperty8.bin" ContentType="application/vnd.openxmlformats-officedocument.spreadsheetml.customProperty"/>
  <Override PartName="/xl/tables/table5.xml" ContentType="application/vnd.openxmlformats-officedocument.spreadsheetml.table+xml"/>
  <Override PartName="/xl/customProperty9.bin" ContentType="application/vnd.openxmlformats-officedocument.spreadsheetml.customProperty"/>
  <Override PartName="/xl/tables/table6.xml" ContentType="application/vnd.openxmlformats-officedocument.spreadsheetml.table+xml"/>
  <Override PartName="/xl/customProperty10.bin" ContentType="application/vnd.openxmlformats-officedocument.spreadsheetml.customProperty"/>
  <Override PartName="/xl/tables/table7.xml" ContentType="application/vnd.openxmlformats-officedocument.spreadsheetml.table+xml"/>
  <Override PartName="/xl/customProperty11.bin" ContentType="application/vnd.openxmlformats-officedocument.spreadsheetml.customProperty"/>
  <Override PartName="/xl/tables/table8.xml" ContentType="application/vnd.openxmlformats-officedocument.spreadsheetml.table+xml"/>
  <Override PartName="/xl/customProperty1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codeName="ThisWorkbook" hidePivotFieldList="1" defaultThemeVersion="202300"/>
  <mc:AlternateContent xmlns:mc="http://schemas.openxmlformats.org/markup-compatibility/2006">
    <mc:Choice Requires="x15">
      <x15ac:absPath xmlns:x15ac="http://schemas.microsoft.com/office/spreadsheetml/2010/11/ac" url="C:\Dev\Excel-Projects\INCOME_REGRESSION\"/>
    </mc:Choice>
  </mc:AlternateContent>
  <xr:revisionPtr revIDLastSave="0" documentId="8_{C268055F-1D89-4F0B-9CB1-E7216F168294}" xr6:coauthVersionLast="47" xr6:coauthVersionMax="47" xr10:uidLastSave="{00000000-0000-0000-0000-000000000000}"/>
  <bookViews>
    <workbookView xWindow="-15435" yWindow="-16320" windowWidth="29040" windowHeight="16440" tabRatio="748" firstSheet="3" activeTab="6" xr2:uid="{DE03475B-C47F-4483-B30F-6CCCBE5FC82D}"/>
  </bookViews>
  <sheets>
    <sheet name="RAW_DATA_EXPLANATION" sheetId="3" r:id="rId1"/>
    <sheet name="WORKING_DATA_EXPLANATION" sheetId="6" r:id="rId2"/>
    <sheet name="RAW_DATA" sheetId="1" r:id="rId3"/>
    <sheet name="MASTER_DATA" sheetId="2" r:id="rId4"/>
    <sheet name="DATA_CAT" sheetId="21" r:id="rId5"/>
    <sheet name="DATA_BIN" sheetId="22" r:id="rId6"/>
    <sheet name="EDA_1" sheetId="7" r:id="rId7"/>
    <sheet name="ASTROS_HOME_SCHEDULE" sheetId="12" r:id="rId8"/>
    <sheet name="HOLIDAY_CALENDAR" sheetId="10" r:id="rId9"/>
    <sheet name="2023_RODEO_CALENDAR" sheetId="11" r:id="rId10"/>
    <sheet name="WEATHER_DATA" sheetId="9" r:id="rId11"/>
    <sheet name="NAMED_RANGES" sheetId="8" r:id="rId12"/>
  </sheets>
  <definedNames>
    <definedName name="_xlnm._FilterDatabase" localSheetId="7" hidden="1">ASTROS_HOME_SCHEDULE!$K$86:$L$154</definedName>
    <definedName name="ALL_SALES">_xlfn.CHOOSECOLS(_xlfn._xlws.FILTER(#REF!,#REF!&gt;0),5)</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 i="2" l="1"/>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0" i="2"/>
  <c r="AJ261"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59" i="2"/>
  <c r="AI260" i="2"/>
  <c r="AI261"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2" i="2"/>
  <c r="AI293" i="2"/>
  <c r="AI294" i="2"/>
  <c r="AI295" i="2"/>
  <c r="AI296" i="2"/>
  <c r="AI297" i="2"/>
  <c r="AI298" i="2"/>
  <c r="AI299" i="2"/>
  <c r="AI300" i="2"/>
  <c r="AI301" i="2"/>
  <c r="AI302" i="2"/>
  <c r="AI303" i="2"/>
  <c r="AI304" i="2"/>
  <c r="AI305" i="2"/>
  <c r="AI306" i="2"/>
  <c r="AI307" i="2"/>
  <c r="AI308" i="2"/>
  <c r="AI309" i="2"/>
  <c r="AI310" i="2"/>
  <c r="AI311" i="2"/>
  <c r="AI312" i="2"/>
  <c r="AG2" i="2"/>
  <c r="AH2" i="2" s="1"/>
  <c r="AG3" i="2"/>
  <c r="AH3" i="2" s="1"/>
  <c r="AG4" i="2"/>
  <c r="AH4" i="2" s="1"/>
  <c r="AG5" i="2"/>
  <c r="AH5" i="2" s="1"/>
  <c r="AG6" i="2"/>
  <c r="AH6" i="2" s="1"/>
  <c r="AG7" i="2"/>
  <c r="AH7" i="2" s="1"/>
  <c r="AG8" i="2"/>
  <c r="AH8" i="2" s="1"/>
  <c r="AG9" i="2"/>
  <c r="AH9" i="2" s="1"/>
  <c r="AG10" i="2"/>
  <c r="AH10" i="2" s="1"/>
  <c r="AG11" i="2"/>
  <c r="AH11" i="2" s="1"/>
  <c r="AG12" i="2"/>
  <c r="AH12" i="2" s="1"/>
  <c r="AG13" i="2"/>
  <c r="AH13" i="2" s="1"/>
  <c r="AG14" i="2"/>
  <c r="AH14" i="2" s="1"/>
  <c r="AG15" i="2"/>
  <c r="AH15" i="2" s="1"/>
  <c r="AG16" i="2"/>
  <c r="AH16" i="2" s="1"/>
  <c r="AG17" i="2"/>
  <c r="AH17" i="2" s="1"/>
  <c r="AG18" i="2"/>
  <c r="AH18" i="2" s="1"/>
  <c r="AG19" i="2"/>
  <c r="AH19" i="2" s="1"/>
  <c r="AG20" i="2"/>
  <c r="AH20" i="2" s="1"/>
  <c r="AG21" i="2"/>
  <c r="AH21" i="2" s="1"/>
  <c r="AG22" i="2"/>
  <c r="AH22" i="2" s="1"/>
  <c r="AG23" i="2"/>
  <c r="AH23" i="2" s="1"/>
  <c r="AG24" i="2"/>
  <c r="AH24" i="2" s="1"/>
  <c r="AG25" i="2"/>
  <c r="AH25" i="2" s="1"/>
  <c r="AG26" i="2"/>
  <c r="AH26" i="2" s="1"/>
  <c r="AG27" i="2"/>
  <c r="AH27" i="2" s="1"/>
  <c r="AG28" i="2"/>
  <c r="AH28" i="2" s="1"/>
  <c r="AG29" i="2"/>
  <c r="AH29" i="2" s="1"/>
  <c r="AG30" i="2"/>
  <c r="AH30" i="2" s="1"/>
  <c r="AG31" i="2"/>
  <c r="AH31" i="2" s="1"/>
  <c r="AG32" i="2"/>
  <c r="AH32" i="2" s="1"/>
  <c r="AG33" i="2"/>
  <c r="AH33" i="2" s="1"/>
  <c r="AG34" i="2"/>
  <c r="AH34" i="2" s="1"/>
  <c r="AG35" i="2"/>
  <c r="AH35" i="2" s="1"/>
  <c r="AG36" i="2"/>
  <c r="AH36" i="2" s="1"/>
  <c r="AG37" i="2"/>
  <c r="AH37" i="2" s="1"/>
  <c r="AG38" i="2"/>
  <c r="AH38" i="2" s="1"/>
  <c r="AG39" i="2"/>
  <c r="AH39" i="2" s="1"/>
  <c r="AG40" i="2"/>
  <c r="AH40" i="2" s="1"/>
  <c r="AG41" i="2"/>
  <c r="AH41" i="2" s="1"/>
  <c r="AG42" i="2"/>
  <c r="AH42" i="2" s="1"/>
  <c r="AG43" i="2"/>
  <c r="AH43" i="2" s="1"/>
  <c r="AG44" i="2"/>
  <c r="AH44" i="2" s="1"/>
  <c r="AG45" i="2"/>
  <c r="AH45" i="2" s="1"/>
  <c r="AG46" i="2"/>
  <c r="AH46" i="2" s="1"/>
  <c r="AG47" i="2"/>
  <c r="AH47" i="2" s="1"/>
  <c r="AG48" i="2"/>
  <c r="AH48" i="2" s="1"/>
  <c r="AG49" i="2"/>
  <c r="AH49" i="2" s="1"/>
  <c r="AG50" i="2"/>
  <c r="AH50" i="2" s="1"/>
  <c r="AG51" i="2"/>
  <c r="AH51" i="2" s="1"/>
  <c r="AG52" i="2"/>
  <c r="AH52" i="2" s="1"/>
  <c r="AG53" i="2"/>
  <c r="AH53" i="2" s="1"/>
  <c r="AG54" i="2"/>
  <c r="AH54" i="2" s="1"/>
  <c r="AG55" i="2"/>
  <c r="AH55" i="2" s="1"/>
  <c r="AG56" i="2"/>
  <c r="AH56" i="2" s="1"/>
  <c r="AG57" i="2"/>
  <c r="AH57" i="2" s="1"/>
  <c r="AG58" i="2"/>
  <c r="AH58" i="2" s="1"/>
  <c r="AG59" i="2"/>
  <c r="AH59" i="2" s="1"/>
  <c r="AG60" i="2"/>
  <c r="AH60" i="2" s="1"/>
  <c r="AG61" i="2"/>
  <c r="AH61" i="2" s="1"/>
  <c r="AG62" i="2"/>
  <c r="AH62" i="2" s="1"/>
  <c r="AG63" i="2"/>
  <c r="AH63" i="2" s="1"/>
  <c r="AG64" i="2"/>
  <c r="AH64" i="2" s="1"/>
  <c r="AG65" i="2"/>
  <c r="AH65" i="2" s="1"/>
  <c r="AG66" i="2"/>
  <c r="AH66" i="2" s="1"/>
  <c r="AG67" i="2"/>
  <c r="AH67" i="2" s="1"/>
  <c r="AG68" i="2"/>
  <c r="AH68" i="2" s="1"/>
  <c r="AG69" i="2"/>
  <c r="AH69" i="2" s="1"/>
  <c r="AG70" i="2"/>
  <c r="AH70" i="2" s="1"/>
  <c r="AG71" i="2"/>
  <c r="AH71" i="2" s="1"/>
  <c r="AG72" i="2"/>
  <c r="AH72" i="2" s="1"/>
  <c r="AG73" i="2"/>
  <c r="AH73" i="2" s="1"/>
  <c r="AG74" i="2"/>
  <c r="AH74" i="2" s="1"/>
  <c r="AG75" i="2"/>
  <c r="AH75" i="2" s="1"/>
  <c r="AG76" i="2"/>
  <c r="AH76" i="2" s="1"/>
  <c r="AG77" i="2"/>
  <c r="AH77" i="2" s="1"/>
  <c r="AG78" i="2"/>
  <c r="AH78" i="2" s="1"/>
  <c r="AG79" i="2"/>
  <c r="AH79" i="2" s="1"/>
  <c r="AG80" i="2"/>
  <c r="AH80" i="2" s="1"/>
  <c r="AG81" i="2"/>
  <c r="AH81" i="2" s="1"/>
  <c r="AG82" i="2"/>
  <c r="AH82" i="2" s="1"/>
  <c r="AG83" i="2"/>
  <c r="AH83" i="2" s="1"/>
  <c r="AG84" i="2"/>
  <c r="AH84" i="2" s="1"/>
  <c r="AG85" i="2"/>
  <c r="AH85" i="2" s="1"/>
  <c r="AG86" i="2"/>
  <c r="AH86" i="2" s="1"/>
  <c r="AG87" i="2"/>
  <c r="AH87" i="2" s="1"/>
  <c r="AG88" i="2"/>
  <c r="AH88" i="2" s="1"/>
  <c r="AG89" i="2"/>
  <c r="AH89" i="2" s="1"/>
  <c r="AG90" i="2"/>
  <c r="AH90" i="2" s="1"/>
  <c r="AG91" i="2"/>
  <c r="AH91" i="2" s="1"/>
  <c r="AG92" i="2"/>
  <c r="AH92" i="2" s="1"/>
  <c r="AG93" i="2"/>
  <c r="AH93" i="2" s="1"/>
  <c r="AG94" i="2"/>
  <c r="AH94" i="2" s="1"/>
  <c r="AG95" i="2"/>
  <c r="AH95" i="2" s="1"/>
  <c r="AG96" i="2"/>
  <c r="AH96" i="2" s="1"/>
  <c r="AG97" i="2"/>
  <c r="AH97" i="2" s="1"/>
  <c r="AG98" i="2"/>
  <c r="AH98" i="2" s="1"/>
  <c r="AG99" i="2"/>
  <c r="AH99" i="2" s="1"/>
  <c r="AG100" i="2"/>
  <c r="AH100" i="2" s="1"/>
  <c r="AG101" i="2"/>
  <c r="AH101" i="2" s="1"/>
  <c r="AG102" i="2"/>
  <c r="AH102" i="2" s="1"/>
  <c r="AG103" i="2"/>
  <c r="AH103" i="2" s="1"/>
  <c r="AG104" i="2"/>
  <c r="AH104" i="2" s="1"/>
  <c r="AG105" i="2"/>
  <c r="AH105" i="2" s="1"/>
  <c r="AG106" i="2"/>
  <c r="AH106" i="2" s="1"/>
  <c r="AG107" i="2"/>
  <c r="AH107" i="2" s="1"/>
  <c r="AG108" i="2"/>
  <c r="AH108" i="2" s="1"/>
  <c r="AG109" i="2"/>
  <c r="AH109" i="2" s="1"/>
  <c r="AG110" i="2"/>
  <c r="AH110" i="2" s="1"/>
  <c r="AG111" i="2"/>
  <c r="AH111" i="2" s="1"/>
  <c r="AG112" i="2"/>
  <c r="AH112" i="2" s="1"/>
  <c r="AG113" i="2"/>
  <c r="AH113" i="2" s="1"/>
  <c r="AG114" i="2"/>
  <c r="AH114" i="2" s="1"/>
  <c r="AG115" i="2"/>
  <c r="AH115" i="2" s="1"/>
  <c r="AG116" i="2"/>
  <c r="AH116" i="2" s="1"/>
  <c r="AG117" i="2"/>
  <c r="AH117" i="2" s="1"/>
  <c r="AG118" i="2"/>
  <c r="AH118" i="2" s="1"/>
  <c r="AG119" i="2"/>
  <c r="AH119" i="2" s="1"/>
  <c r="AG120" i="2"/>
  <c r="AH120" i="2" s="1"/>
  <c r="AG121" i="2"/>
  <c r="AH121" i="2" s="1"/>
  <c r="AG122" i="2"/>
  <c r="AH122" i="2" s="1"/>
  <c r="AG123" i="2"/>
  <c r="AH123" i="2" s="1"/>
  <c r="AG124" i="2"/>
  <c r="AH124" i="2" s="1"/>
  <c r="AG125" i="2"/>
  <c r="AH125" i="2" s="1"/>
  <c r="AG126" i="2"/>
  <c r="AH126" i="2" s="1"/>
  <c r="AG127" i="2"/>
  <c r="AH127" i="2" s="1"/>
  <c r="AG128" i="2"/>
  <c r="AH128" i="2" s="1"/>
  <c r="AG129" i="2"/>
  <c r="AH129" i="2" s="1"/>
  <c r="AG130" i="2"/>
  <c r="AH130" i="2" s="1"/>
  <c r="AG131" i="2"/>
  <c r="AH131" i="2" s="1"/>
  <c r="AG132" i="2"/>
  <c r="AH132" i="2" s="1"/>
  <c r="AG133" i="2"/>
  <c r="AH133" i="2" s="1"/>
  <c r="AG134" i="2"/>
  <c r="AH134" i="2" s="1"/>
  <c r="AG135" i="2"/>
  <c r="AH135" i="2" s="1"/>
  <c r="AG136" i="2"/>
  <c r="AH136" i="2" s="1"/>
  <c r="AG137" i="2"/>
  <c r="AH137" i="2" s="1"/>
  <c r="AG138" i="2"/>
  <c r="AH138" i="2" s="1"/>
  <c r="AG139" i="2"/>
  <c r="AH139" i="2" s="1"/>
  <c r="AG140" i="2"/>
  <c r="AH140" i="2" s="1"/>
  <c r="AG141" i="2"/>
  <c r="AH141" i="2" s="1"/>
  <c r="AG142" i="2"/>
  <c r="AH142" i="2" s="1"/>
  <c r="AG143" i="2"/>
  <c r="AH143" i="2" s="1"/>
  <c r="AG144" i="2"/>
  <c r="AH144" i="2" s="1"/>
  <c r="AG145" i="2"/>
  <c r="AH145" i="2" s="1"/>
  <c r="AG146" i="2"/>
  <c r="AH146" i="2" s="1"/>
  <c r="AG147" i="2"/>
  <c r="AH147" i="2" s="1"/>
  <c r="AG148" i="2"/>
  <c r="AH148" i="2" s="1"/>
  <c r="AG149" i="2"/>
  <c r="AH149" i="2" s="1"/>
  <c r="AG150" i="2"/>
  <c r="AH150" i="2" s="1"/>
  <c r="AG151" i="2"/>
  <c r="AH151" i="2" s="1"/>
  <c r="AG152" i="2"/>
  <c r="AH152" i="2" s="1"/>
  <c r="AG153" i="2"/>
  <c r="AH153" i="2" s="1"/>
  <c r="AG154" i="2"/>
  <c r="AH154" i="2" s="1"/>
  <c r="AG155" i="2"/>
  <c r="AH155" i="2" s="1"/>
  <c r="AG156" i="2"/>
  <c r="AH156" i="2" s="1"/>
  <c r="AG157" i="2"/>
  <c r="AH157" i="2" s="1"/>
  <c r="AG158" i="2"/>
  <c r="AH158" i="2" s="1"/>
  <c r="AG159" i="2"/>
  <c r="AH159" i="2" s="1"/>
  <c r="AG160" i="2"/>
  <c r="AH160" i="2" s="1"/>
  <c r="AG161" i="2"/>
  <c r="AH161" i="2" s="1"/>
  <c r="AG162" i="2"/>
  <c r="AH162" i="2" s="1"/>
  <c r="AG163" i="2"/>
  <c r="AH163" i="2" s="1"/>
  <c r="AG164" i="2"/>
  <c r="AH164" i="2" s="1"/>
  <c r="AG165" i="2"/>
  <c r="AH165" i="2" s="1"/>
  <c r="AG166" i="2"/>
  <c r="AH166" i="2" s="1"/>
  <c r="AG167" i="2"/>
  <c r="AH167" i="2" s="1"/>
  <c r="AG168" i="2"/>
  <c r="AH168" i="2" s="1"/>
  <c r="AG169" i="2"/>
  <c r="AH169" i="2" s="1"/>
  <c r="AG170" i="2"/>
  <c r="AH170" i="2" s="1"/>
  <c r="AG171" i="2"/>
  <c r="AH171" i="2" s="1"/>
  <c r="AG172" i="2"/>
  <c r="AH172" i="2" s="1"/>
  <c r="AG173" i="2"/>
  <c r="AH173" i="2" s="1"/>
  <c r="AG174" i="2"/>
  <c r="AH174" i="2" s="1"/>
  <c r="AG175" i="2"/>
  <c r="AH175" i="2" s="1"/>
  <c r="AG176" i="2"/>
  <c r="AH176" i="2" s="1"/>
  <c r="AG177" i="2"/>
  <c r="AH177" i="2" s="1"/>
  <c r="AG178" i="2"/>
  <c r="AH178" i="2" s="1"/>
  <c r="AG179" i="2"/>
  <c r="AH179" i="2" s="1"/>
  <c r="AG180" i="2"/>
  <c r="AH180" i="2" s="1"/>
  <c r="AG181" i="2"/>
  <c r="AH181" i="2" s="1"/>
  <c r="AG182" i="2"/>
  <c r="AH182" i="2" s="1"/>
  <c r="AG183" i="2"/>
  <c r="AH183" i="2" s="1"/>
  <c r="AG184" i="2"/>
  <c r="AH184" i="2" s="1"/>
  <c r="AG185" i="2"/>
  <c r="AH185" i="2" s="1"/>
  <c r="AG186" i="2"/>
  <c r="AH186" i="2" s="1"/>
  <c r="AG187" i="2"/>
  <c r="AH187" i="2" s="1"/>
  <c r="AG188" i="2"/>
  <c r="AH188" i="2" s="1"/>
  <c r="AG189" i="2"/>
  <c r="AH189" i="2" s="1"/>
  <c r="AG190" i="2"/>
  <c r="AH190" i="2" s="1"/>
  <c r="AG191" i="2"/>
  <c r="AH191" i="2" s="1"/>
  <c r="AG192" i="2"/>
  <c r="AH192" i="2" s="1"/>
  <c r="AG193" i="2"/>
  <c r="AH193" i="2" s="1"/>
  <c r="AG194" i="2"/>
  <c r="AH194" i="2" s="1"/>
  <c r="AG195" i="2"/>
  <c r="AH195" i="2" s="1"/>
  <c r="AG196" i="2"/>
  <c r="AH196" i="2" s="1"/>
  <c r="AG197" i="2"/>
  <c r="AH197" i="2" s="1"/>
  <c r="AG198" i="2"/>
  <c r="AH198" i="2" s="1"/>
  <c r="AG199" i="2"/>
  <c r="AH199" i="2" s="1"/>
  <c r="AG200" i="2"/>
  <c r="AH200" i="2" s="1"/>
  <c r="AG201" i="2"/>
  <c r="AH201" i="2" s="1"/>
  <c r="AG202" i="2"/>
  <c r="AH202" i="2" s="1"/>
  <c r="AG203" i="2"/>
  <c r="AH203" i="2" s="1"/>
  <c r="AG204" i="2"/>
  <c r="AH204" i="2" s="1"/>
  <c r="AG205" i="2"/>
  <c r="AH205" i="2" s="1"/>
  <c r="AG206" i="2"/>
  <c r="AH206" i="2" s="1"/>
  <c r="AG207" i="2"/>
  <c r="AH207" i="2" s="1"/>
  <c r="AG208" i="2"/>
  <c r="AH208" i="2" s="1"/>
  <c r="AG209" i="2"/>
  <c r="AH209" i="2" s="1"/>
  <c r="AG210" i="2"/>
  <c r="AH210" i="2" s="1"/>
  <c r="AG211" i="2"/>
  <c r="AH211" i="2" s="1"/>
  <c r="AG212" i="2"/>
  <c r="AH212" i="2" s="1"/>
  <c r="AG213" i="2"/>
  <c r="AH213" i="2" s="1"/>
  <c r="AG214" i="2"/>
  <c r="AH214" i="2" s="1"/>
  <c r="AG215" i="2"/>
  <c r="AH215" i="2" s="1"/>
  <c r="AG216" i="2"/>
  <c r="AH216" i="2" s="1"/>
  <c r="AG217" i="2"/>
  <c r="AH217" i="2" s="1"/>
  <c r="AG218" i="2"/>
  <c r="AH218" i="2" s="1"/>
  <c r="AG219" i="2"/>
  <c r="AH219" i="2" s="1"/>
  <c r="AG220" i="2"/>
  <c r="AH220" i="2" s="1"/>
  <c r="AG221" i="2"/>
  <c r="AH221" i="2" s="1"/>
  <c r="AG222" i="2"/>
  <c r="AH222" i="2" s="1"/>
  <c r="AG223" i="2"/>
  <c r="AH223" i="2" s="1"/>
  <c r="AG224" i="2"/>
  <c r="AH224" i="2" s="1"/>
  <c r="AG225" i="2"/>
  <c r="AH225" i="2" s="1"/>
  <c r="AG226" i="2"/>
  <c r="AH226" i="2" s="1"/>
  <c r="AG227" i="2"/>
  <c r="AH227" i="2" s="1"/>
  <c r="AG228" i="2"/>
  <c r="AH228" i="2" s="1"/>
  <c r="AG229" i="2"/>
  <c r="AH229" i="2" s="1"/>
  <c r="AG230" i="2"/>
  <c r="AH230" i="2" s="1"/>
  <c r="AG231" i="2"/>
  <c r="AH231" i="2" s="1"/>
  <c r="AG232" i="2"/>
  <c r="AH232" i="2" s="1"/>
  <c r="AG233" i="2"/>
  <c r="AH233" i="2" s="1"/>
  <c r="AG234" i="2"/>
  <c r="AH234" i="2" s="1"/>
  <c r="AG235" i="2"/>
  <c r="AH235" i="2" s="1"/>
  <c r="AG236" i="2"/>
  <c r="AH236" i="2" s="1"/>
  <c r="AG237" i="2"/>
  <c r="AH237" i="2" s="1"/>
  <c r="AG238" i="2"/>
  <c r="AH238" i="2" s="1"/>
  <c r="AG239" i="2"/>
  <c r="AH239" i="2" s="1"/>
  <c r="AG240" i="2"/>
  <c r="AH240" i="2" s="1"/>
  <c r="AG241" i="2"/>
  <c r="AH241" i="2" s="1"/>
  <c r="AG242" i="2"/>
  <c r="AH242" i="2" s="1"/>
  <c r="AG243" i="2"/>
  <c r="AH243" i="2" s="1"/>
  <c r="AG244" i="2"/>
  <c r="AH244" i="2" s="1"/>
  <c r="AG245" i="2"/>
  <c r="AH245" i="2" s="1"/>
  <c r="AG246" i="2"/>
  <c r="AH246" i="2" s="1"/>
  <c r="AG247" i="2"/>
  <c r="AH247" i="2" s="1"/>
  <c r="AG248" i="2"/>
  <c r="AH248" i="2" s="1"/>
  <c r="AG249" i="2"/>
  <c r="AH249" i="2" s="1"/>
  <c r="AG250" i="2"/>
  <c r="AH250" i="2" s="1"/>
  <c r="AG251" i="2"/>
  <c r="AH251" i="2" s="1"/>
  <c r="AG252" i="2"/>
  <c r="AH252" i="2" s="1"/>
  <c r="AG253" i="2"/>
  <c r="AH253" i="2" s="1"/>
  <c r="AG254" i="2"/>
  <c r="AH254" i="2" s="1"/>
  <c r="AG255" i="2"/>
  <c r="AH255" i="2" s="1"/>
  <c r="AG256" i="2"/>
  <c r="AH256" i="2" s="1"/>
  <c r="AG257" i="2"/>
  <c r="AH257" i="2" s="1"/>
  <c r="AG258" i="2"/>
  <c r="AH258" i="2" s="1"/>
  <c r="AG259" i="2"/>
  <c r="AH259" i="2" s="1"/>
  <c r="AG260" i="2"/>
  <c r="AH260" i="2" s="1"/>
  <c r="AG261" i="2"/>
  <c r="AH261" i="2" s="1"/>
  <c r="AG262" i="2"/>
  <c r="AH262" i="2" s="1"/>
  <c r="AG263" i="2"/>
  <c r="AH263" i="2" s="1"/>
  <c r="AG264" i="2"/>
  <c r="AH264" i="2" s="1"/>
  <c r="AG265" i="2"/>
  <c r="AH265" i="2" s="1"/>
  <c r="AG266" i="2"/>
  <c r="AH266" i="2" s="1"/>
  <c r="AG267" i="2"/>
  <c r="AH267" i="2" s="1"/>
  <c r="AG268" i="2"/>
  <c r="AH268" i="2" s="1"/>
  <c r="AG269" i="2"/>
  <c r="AH269" i="2" s="1"/>
  <c r="AG270" i="2"/>
  <c r="AH270" i="2" s="1"/>
  <c r="AG271" i="2"/>
  <c r="AH271" i="2" s="1"/>
  <c r="AG272" i="2"/>
  <c r="AH272" i="2" s="1"/>
  <c r="AG273" i="2"/>
  <c r="AH273" i="2" s="1"/>
  <c r="AG274" i="2"/>
  <c r="AH274" i="2" s="1"/>
  <c r="AG275" i="2"/>
  <c r="AH275" i="2" s="1"/>
  <c r="AG276" i="2"/>
  <c r="AH276" i="2" s="1"/>
  <c r="AG277" i="2"/>
  <c r="AH277" i="2" s="1"/>
  <c r="AG278" i="2"/>
  <c r="AH278" i="2" s="1"/>
  <c r="AG279" i="2"/>
  <c r="AH279" i="2" s="1"/>
  <c r="AG280" i="2"/>
  <c r="AH280" i="2" s="1"/>
  <c r="AG281" i="2"/>
  <c r="AH281" i="2" s="1"/>
  <c r="AG282" i="2"/>
  <c r="AH282" i="2" s="1"/>
  <c r="AG283" i="2"/>
  <c r="AH283" i="2" s="1"/>
  <c r="AG284" i="2"/>
  <c r="AH284" i="2" s="1"/>
  <c r="AG285" i="2"/>
  <c r="AH285" i="2" s="1"/>
  <c r="AG286" i="2"/>
  <c r="AH286" i="2" s="1"/>
  <c r="AG287" i="2"/>
  <c r="AH287" i="2" s="1"/>
  <c r="AG288" i="2"/>
  <c r="AH288" i="2" s="1"/>
  <c r="AG289" i="2"/>
  <c r="AH289" i="2" s="1"/>
  <c r="AG290" i="2"/>
  <c r="AH290" i="2" s="1"/>
  <c r="AG291" i="2"/>
  <c r="AH291" i="2" s="1"/>
  <c r="AG292" i="2"/>
  <c r="AH292" i="2" s="1"/>
  <c r="AG293" i="2"/>
  <c r="AH293" i="2" s="1"/>
  <c r="AG294" i="2"/>
  <c r="AH294" i="2" s="1"/>
  <c r="AG295" i="2"/>
  <c r="AH295" i="2" s="1"/>
  <c r="AG296" i="2"/>
  <c r="AH296" i="2" s="1"/>
  <c r="AG297" i="2"/>
  <c r="AH297" i="2" s="1"/>
  <c r="AG298" i="2"/>
  <c r="AH298" i="2" s="1"/>
  <c r="AG299" i="2"/>
  <c r="AH299" i="2" s="1"/>
  <c r="AG300" i="2"/>
  <c r="AH300" i="2" s="1"/>
  <c r="AG301" i="2"/>
  <c r="AH301" i="2" s="1"/>
  <c r="AG302" i="2"/>
  <c r="AH302" i="2" s="1"/>
  <c r="AG303" i="2"/>
  <c r="AH303" i="2" s="1"/>
  <c r="AG304" i="2"/>
  <c r="AH304" i="2" s="1"/>
  <c r="AG305" i="2"/>
  <c r="AH305" i="2" s="1"/>
  <c r="AG306" i="2"/>
  <c r="AH306" i="2" s="1"/>
  <c r="AG307" i="2"/>
  <c r="AH307" i="2" s="1"/>
  <c r="AG308" i="2"/>
  <c r="AH308" i="2" s="1"/>
  <c r="AG309" i="2"/>
  <c r="AH309" i="2" s="1"/>
  <c r="AG310" i="2"/>
  <c r="AH310" i="2" s="1"/>
  <c r="AG311" i="2"/>
  <c r="AH311" i="2" s="1"/>
  <c r="AG312" i="2"/>
  <c r="AH312" i="2" s="1"/>
  <c r="AE2" i="2"/>
  <c r="AF2" i="2" s="1"/>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0" i="2"/>
  <c r="AE261" i="2"/>
  <c r="AE262" i="2"/>
  <c r="AE263" i="2"/>
  <c r="AE264" i="2"/>
  <c r="AE265"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F3"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3" i="2"/>
  <c r="AF204" i="2"/>
  <c r="AF205" i="2"/>
  <c r="AF206" i="2"/>
  <c r="AF207" i="2"/>
  <c r="AF208" i="2"/>
  <c r="AF209" i="2"/>
  <c r="AF210"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248" i="2"/>
  <c r="AF249" i="2"/>
  <c r="AF250" i="2"/>
  <c r="AF251" i="2"/>
  <c r="AF252" i="2"/>
  <c r="AF253" i="2"/>
  <c r="AF254" i="2"/>
  <c r="AF255" i="2"/>
  <c r="AF256" i="2"/>
  <c r="AF257" i="2"/>
  <c r="AF258" i="2"/>
  <c r="AF259" i="2"/>
  <c r="AF260" i="2"/>
  <c r="AF261" i="2"/>
  <c r="AF262" i="2"/>
  <c r="AF263" i="2"/>
  <c r="AF264" i="2"/>
  <c r="AF265" i="2"/>
  <c r="AF266" i="2"/>
  <c r="AF267" i="2"/>
  <c r="AF268" i="2"/>
  <c r="AF269" i="2"/>
  <c r="AF270" i="2"/>
  <c r="AF271" i="2"/>
  <c r="AF272" i="2"/>
  <c r="AF273" i="2"/>
  <c r="AF274" i="2"/>
  <c r="AF275" i="2"/>
  <c r="AF276" i="2"/>
  <c r="AF277" i="2"/>
  <c r="AF278" i="2"/>
  <c r="AF279" i="2"/>
  <c r="AF280" i="2"/>
  <c r="AF281" i="2"/>
  <c r="AF282" i="2"/>
  <c r="AF283" i="2"/>
  <c r="AF284" i="2"/>
  <c r="AF285" i="2"/>
  <c r="AF286" i="2"/>
  <c r="AF287" i="2"/>
  <c r="AF288" i="2"/>
  <c r="AF289" i="2"/>
  <c r="AF290" i="2"/>
  <c r="AF291" i="2"/>
  <c r="AF292" i="2"/>
  <c r="AF293" i="2"/>
  <c r="AF294" i="2"/>
  <c r="AF295" i="2"/>
  <c r="AF296" i="2"/>
  <c r="AF297" i="2"/>
  <c r="AF298" i="2"/>
  <c r="AF299" i="2"/>
  <c r="AF300" i="2"/>
  <c r="AF301" i="2"/>
  <c r="AF302" i="2"/>
  <c r="AF303" i="2"/>
  <c r="AF304" i="2"/>
  <c r="AF305" i="2"/>
  <c r="AF306" i="2"/>
  <c r="AF307" i="2"/>
  <c r="AF308" i="2"/>
  <c r="AF309" i="2"/>
  <c r="AF310" i="2"/>
  <c r="AF311" i="2"/>
  <c r="AF31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2"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2" i="2"/>
  <c r="BH22" i="2"/>
  <c r="Q451" i="1"/>
  <c r="P451" i="1"/>
  <c r="N883" i="1"/>
  <c r="I883" i="1"/>
  <c r="H883" i="1"/>
  <c r="K883" i="1" s="1"/>
  <c r="N882" i="1"/>
  <c r="I882" i="1"/>
  <c r="H882" i="1"/>
  <c r="K882" i="1" s="1"/>
  <c r="N881" i="1"/>
  <c r="I881" i="1"/>
  <c r="H881" i="1"/>
  <c r="K881" i="1" s="1"/>
  <c r="N880" i="1"/>
  <c r="I880" i="1"/>
  <c r="H880" i="1"/>
  <c r="K880" i="1" s="1"/>
  <c r="N879" i="1"/>
  <c r="I879" i="1"/>
  <c r="H879" i="1"/>
  <c r="K879" i="1" s="1"/>
  <c r="N878" i="1"/>
  <c r="I878" i="1"/>
  <c r="H878" i="1"/>
  <c r="K878" i="1" s="1"/>
  <c r="M877" i="1"/>
  <c r="L877" i="1"/>
  <c r="N877" i="1" s="1"/>
  <c r="J877" i="1"/>
  <c r="F877" i="1"/>
  <c r="E877" i="1"/>
  <c r="H877" i="1" s="1"/>
  <c r="M876" i="1"/>
  <c r="L876" i="1"/>
  <c r="N876" i="1" s="1"/>
  <c r="J876" i="1"/>
  <c r="F876" i="1"/>
  <c r="E876" i="1"/>
  <c r="H876" i="1" s="1"/>
  <c r="N875" i="1"/>
  <c r="I875" i="1"/>
  <c r="H875" i="1"/>
  <c r="K875" i="1" s="1"/>
  <c r="N874" i="1"/>
  <c r="I874" i="1"/>
  <c r="H874" i="1"/>
  <c r="K874" i="1" s="1"/>
  <c r="N873" i="1"/>
  <c r="I873" i="1"/>
  <c r="H873" i="1"/>
  <c r="K873" i="1" s="1"/>
  <c r="N872" i="1"/>
  <c r="I872" i="1"/>
  <c r="H872" i="1"/>
  <c r="K872" i="1" s="1"/>
  <c r="N871" i="1"/>
  <c r="I871" i="1"/>
  <c r="H871" i="1"/>
  <c r="K871" i="1" s="1"/>
  <c r="N870" i="1"/>
  <c r="I870" i="1"/>
  <c r="H870" i="1"/>
  <c r="K870" i="1" s="1"/>
  <c r="N869" i="1"/>
  <c r="I869" i="1"/>
  <c r="H869" i="1"/>
  <c r="K869" i="1" s="1"/>
  <c r="N868" i="1"/>
  <c r="I868" i="1"/>
  <c r="H868" i="1"/>
  <c r="K868" i="1" s="1"/>
  <c r="N867" i="1"/>
  <c r="I867" i="1"/>
  <c r="H867" i="1"/>
  <c r="K867" i="1" s="1"/>
  <c r="N866" i="1"/>
  <c r="I866" i="1"/>
  <c r="H866" i="1"/>
  <c r="K866" i="1" s="1"/>
  <c r="N865" i="1"/>
  <c r="I865" i="1"/>
  <c r="H865" i="1"/>
  <c r="K865" i="1" s="1"/>
  <c r="N864" i="1"/>
  <c r="I864" i="1"/>
  <c r="H864" i="1"/>
  <c r="K864" i="1" s="1"/>
  <c r="N863" i="1"/>
  <c r="I863" i="1"/>
  <c r="H863" i="1"/>
  <c r="K863" i="1" s="1"/>
  <c r="N862" i="1"/>
  <c r="I862" i="1"/>
  <c r="H862" i="1"/>
  <c r="K862" i="1" s="1"/>
  <c r="N861" i="1"/>
  <c r="I861" i="1"/>
  <c r="H861" i="1"/>
  <c r="K861" i="1" s="1"/>
  <c r="N860" i="1"/>
  <c r="I860" i="1"/>
  <c r="H860" i="1"/>
  <c r="K860" i="1" s="1"/>
  <c r="N859" i="1"/>
  <c r="I859" i="1"/>
  <c r="H859" i="1"/>
  <c r="K859" i="1" s="1"/>
  <c r="N858" i="1"/>
  <c r="I858" i="1"/>
  <c r="H858" i="1"/>
  <c r="K858" i="1" s="1"/>
  <c r="N857" i="1"/>
  <c r="I857" i="1"/>
  <c r="H857" i="1"/>
  <c r="K857" i="1" s="1"/>
  <c r="N856" i="1"/>
  <c r="I856" i="1"/>
  <c r="H856" i="1"/>
  <c r="K856" i="1" s="1"/>
  <c r="N855" i="1"/>
  <c r="I855" i="1"/>
  <c r="H855" i="1"/>
  <c r="K855" i="1" s="1"/>
  <c r="N854" i="1"/>
  <c r="I854" i="1"/>
  <c r="H854" i="1"/>
  <c r="K854" i="1" s="1"/>
  <c r="N853" i="1"/>
  <c r="I853" i="1"/>
  <c r="H853" i="1"/>
  <c r="K853" i="1" s="1"/>
  <c r="N852" i="1"/>
  <c r="I852" i="1"/>
  <c r="H852" i="1"/>
  <c r="K852" i="1" s="1"/>
  <c r="N851" i="1"/>
  <c r="I851" i="1"/>
  <c r="H851" i="1"/>
  <c r="K851" i="1" s="1"/>
  <c r="N850" i="1"/>
  <c r="I850" i="1"/>
  <c r="H850" i="1"/>
  <c r="K850" i="1" s="1"/>
  <c r="N849" i="1"/>
  <c r="I849" i="1"/>
  <c r="H849" i="1"/>
  <c r="K849" i="1" s="1"/>
  <c r="N848" i="1"/>
  <c r="I848" i="1"/>
  <c r="H848" i="1"/>
  <c r="K848" i="1" s="1"/>
  <c r="N847" i="1"/>
  <c r="I847" i="1"/>
  <c r="H847" i="1"/>
  <c r="K847" i="1" s="1"/>
  <c r="N846" i="1"/>
  <c r="I846" i="1"/>
  <c r="H846" i="1"/>
  <c r="K846" i="1" s="1"/>
  <c r="N845" i="1"/>
  <c r="I845" i="1"/>
  <c r="H845" i="1"/>
  <c r="K845" i="1" s="1"/>
  <c r="N844" i="1"/>
  <c r="I844" i="1"/>
  <c r="H844" i="1"/>
  <c r="K844" i="1" s="1"/>
  <c r="N843" i="1"/>
  <c r="I843" i="1"/>
  <c r="H843" i="1"/>
  <c r="K843" i="1" s="1"/>
  <c r="N842" i="1"/>
  <c r="I842" i="1"/>
  <c r="H842" i="1"/>
  <c r="K842" i="1" s="1"/>
  <c r="N841" i="1"/>
  <c r="F841" i="1"/>
  <c r="E841" i="1"/>
  <c r="H841" i="1" s="1"/>
  <c r="N840" i="1"/>
  <c r="I840" i="1"/>
  <c r="H840" i="1"/>
  <c r="K840" i="1" s="1"/>
  <c r="N839" i="1"/>
  <c r="I839" i="1"/>
  <c r="H839" i="1"/>
  <c r="K839" i="1" s="1"/>
  <c r="N838" i="1"/>
  <c r="I838" i="1"/>
  <c r="H838" i="1"/>
  <c r="K838" i="1" s="1"/>
  <c r="N837" i="1"/>
  <c r="I837" i="1"/>
  <c r="H837" i="1"/>
  <c r="K837" i="1" s="1"/>
  <c r="N836" i="1"/>
  <c r="I836" i="1"/>
  <c r="H836" i="1"/>
  <c r="K836" i="1" s="1"/>
  <c r="N835" i="1"/>
  <c r="I835" i="1"/>
  <c r="H835" i="1"/>
  <c r="K835" i="1" s="1"/>
  <c r="N834" i="1"/>
  <c r="I834" i="1"/>
  <c r="H834" i="1"/>
  <c r="K834" i="1" s="1"/>
  <c r="N833" i="1"/>
  <c r="I833" i="1"/>
  <c r="H833" i="1"/>
  <c r="K833" i="1" s="1"/>
  <c r="N832" i="1"/>
  <c r="I832" i="1"/>
  <c r="H832" i="1"/>
  <c r="K832" i="1" s="1"/>
  <c r="N831" i="1"/>
  <c r="I831" i="1"/>
  <c r="H831" i="1"/>
  <c r="K831" i="1" s="1"/>
  <c r="N830" i="1"/>
  <c r="I830" i="1"/>
  <c r="H830" i="1"/>
  <c r="K830" i="1" s="1"/>
  <c r="N829" i="1"/>
  <c r="I829" i="1"/>
  <c r="H829" i="1"/>
  <c r="K829" i="1" s="1"/>
  <c r="N828" i="1"/>
  <c r="I828" i="1"/>
  <c r="H828" i="1"/>
  <c r="K828" i="1" s="1"/>
  <c r="N827" i="1"/>
  <c r="I827" i="1"/>
  <c r="H827" i="1"/>
  <c r="K827" i="1" s="1"/>
  <c r="N826" i="1"/>
  <c r="I826" i="1"/>
  <c r="H826" i="1"/>
  <c r="K826" i="1" s="1"/>
  <c r="N825" i="1"/>
  <c r="I825" i="1"/>
  <c r="H825" i="1"/>
  <c r="K825" i="1" s="1"/>
  <c r="N824" i="1"/>
  <c r="I824" i="1"/>
  <c r="H824" i="1"/>
  <c r="K824" i="1" s="1"/>
  <c r="N823" i="1"/>
  <c r="I823" i="1"/>
  <c r="H823" i="1"/>
  <c r="K823" i="1" s="1"/>
  <c r="N822" i="1"/>
  <c r="I822" i="1"/>
  <c r="H822" i="1"/>
  <c r="K822" i="1" s="1"/>
  <c r="N821" i="1"/>
  <c r="I821" i="1"/>
  <c r="H821" i="1"/>
  <c r="K821" i="1" s="1"/>
  <c r="N820" i="1"/>
  <c r="I820" i="1"/>
  <c r="H820" i="1"/>
  <c r="K820" i="1" s="1"/>
  <c r="N819" i="1"/>
  <c r="I819" i="1"/>
  <c r="H819" i="1"/>
  <c r="K819" i="1" s="1"/>
  <c r="N818" i="1"/>
  <c r="I818" i="1"/>
  <c r="H818" i="1"/>
  <c r="K818" i="1" s="1"/>
  <c r="N817" i="1"/>
  <c r="I817" i="1"/>
  <c r="H817" i="1"/>
  <c r="K817" i="1" s="1"/>
  <c r="N816" i="1"/>
  <c r="I816" i="1"/>
  <c r="H816" i="1"/>
  <c r="K816" i="1" s="1"/>
  <c r="N815" i="1"/>
  <c r="I815" i="1"/>
  <c r="H815" i="1"/>
  <c r="K815" i="1" s="1"/>
  <c r="N814" i="1"/>
  <c r="I814" i="1"/>
  <c r="H814" i="1"/>
  <c r="K814" i="1" s="1"/>
  <c r="N813" i="1"/>
  <c r="I813" i="1"/>
  <c r="H813" i="1"/>
  <c r="K813" i="1" s="1"/>
  <c r="N812" i="1"/>
  <c r="I812" i="1"/>
  <c r="H812" i="1"/>
  <c r="K812" i="1" s="1"/>
  <c r="N811" i="1"/>
  <c r="I811" i="1"/>
  <c r="H811" i="1"/>
  <c r="K811" i="1" s="1"/>
  <c r="N810" i="1"/>
  <c r="I810" i="1"/>
  <c r="H810" i="1"/>
  <c r="K810" i="1" s="1"/>
  <c r="N809" i="1"/>
  <c r="I809" i="1"/>
  <c r="H809" i="1"/>
  <c r="K809" i="1" s="1"/>
  <c r="N808" i="1"/>
  <c r="I808" i="1"/>
  <c r="H808" i="1"/>
  <c r="K808" i="1" s="1"/>
  <c r="N807" i="1"/>
  <c r="I807" i="1"/>
  <c r="H807" i="1"/>
  <c r="K807" i="1" s="1"/>
  <c r="N806" i="1"/>
  <c r="I806" i="1"/>
  <c r="H806" i="1"/>
  <c r="K806" i="1" s="1"/>
  <c r="N805" i="1"/>
  <c r="I805" i="1"/>
  <c r="H805" i="1"/>
  <c r="K805" i="1" s="1"/>
  <c r="N804" i="1"/>
  <c r="I804" i="1"/>
  <c r="H804" i="1"/>
  <c r="K804" i="1" s="1"/>
  <c r="N803" i="1"/>
  <c r="I803" i="1"/>
  <c r="H803" i="1"/>
  <c r="K803" i="1" s="1"/>
  <c r="N802" i="1"/>
  <c r="I802" i="1"/>
  <c r="H802" i="1"/>
  <c r="K802" i="1" s="1"/>
  <c r="N801" i="1"/>
  <c r="I801" i="1"/>
  <c r="H801" i="1"/>
  <c r="K801" i="1" s="1"/>
  <c r="N800" i="1"/>
  <c r="I800" i="1"/>
  <c r="H800" i="1"/>
  <c r="K800" i="1" s="1"/>
  <c r="N799" i="1"/>
  <c r="I799" i="1"/>
  <c r="H799" i="1"/>
  <c r="K799" i="1" s="1"/>
  <c r="N798" i="1"/>
  <c r="I798" i="1"/>
  <c r="H798" i="1"/>
  <c r="K798" i="1" s="1"/>
  <c r="N797" i="1"/>
  <c r="I797" i="1"/>
  <c r="H797" i="1"/>
  <c r="K797" i="1" s="1"/>
  <c r="N796" i="1"/>
  <c r="I796" i="1"/>
  <c r="H796" i="1"/>
  <c r="K796" i="1" s="1"/>
  <c r="M795" i="1"/>
  <c r="L795" i="1"/>
  <c r="N795" i="1" s="1"/>
  <c r="G795" i="1"/>
  <c r="F795" i="1"/>
  <c r="E795" i="1"/>
  <c r="H795" i="1" s="1"/>
  <c r="M794" i="1"/>
  <c r="L794" i="1"/>
  <c r="N794" i="1" s="1"/>
  <c r="G794" i="1"/>
  <c r="F794" i="1"/>
  <c r="E794" i="1"/>
  <c r="H794" i="1" s="1"/>
  <c r="N793" i="1"/>
  <c r="I793" i="1"/>
  <c r="H793" i="1"/>
  <c r="K793" i="1" s="1"/>
  <c r="N792" i="1"/>
  <c r="I792" i="1"/>
  <c r="H792" i="1"/>
  <c r="K792" i="1" s="1"/>
  <c r="N791" i="1"/>
  <c r="I791" i="1"/>
  <c r="H791" i="1"/>
  <c r="K791" i="1" s="1"/>
  <c r="N790" i="1"/>
  <c r="I790" i="1"/>
  <c r="H790" i="1"/>
  <c r="K790" i="1" s="1"/>
  <c r="N789" i="1"/>
  <c r="I789" i="1"/>
  <c r="H789" i="1"/>
  <c r="K789" i="1" s="1"/>
  <c r="N788" i="1"/>
  <c r="I788" i="1"/>
  <c r="H788" i="1"/>
  <c r="K788" i="1" s="1"/>
  <c r="N787" i="1"/>
  <c r="I787" i="1"/>
  <c r="H787" i="1"/>
  <c r="K787" i="1" s="1"/>
  <c r="N786" i="1"/>
  <c r="I786" i="1"/>
  <c r="H786" i="1"/>
  <c r="K786" i="1" s="1"/>
  <c r="N785" i="1"/>
  <c r="I785" i="1"/>
  <c r="H785" i="1"/>
  <c r="K785" i="1" s="1"/>
  <c r="N784" i="1"/>
  <c r="I784" i="1"/>
  <c r="H784" i="1"/>
  <c r="K784" i="1" s="1"/>
  <c r="N783" i="1"/>
  <c r="I783" i="1"/>
  <c r="H783" i="1"/>
  <c r="K783" i="1" s="1"/>
  <c r="N782" i="1"/>
  <c r="I782" i="1"/>
  <c r="H782" i="1"/>
  <c r="K782" i="1" s="1"/>
  <c r="M781" i="1"/>
  <c r="L781" i="1"/>
  <c r="N781" i="1" s="1"/>
  <c r="H781" i="1"/>
  <c r="F781" i="1"/>
  <c r="M780" i="1"/>
  <c r="L780" i="1"/>
  <c r="N780" i="1" s="1"/>
  <c r="H780" i="1"/>
  <c r="F780" i="1"/>
  <c r="N779" i="1"/>
  <c r="I779" i="1"/>
  <c r="H779" i="1"/>
  <c r="K779" i="1" s="1"/>
  <c r="N778" i="1"/>
  <c r="I778" i="1"/>
  <c r="H778" i="1"/>
  <c r="K778" i="1" s="1"/>
  <c r="N777" i="1"/>
  <c r="I777" i="1"/>
  <c r="H777" i="1"/>
  <c r="K777" i="1" s="1"/>
  <c r="N776" i="1"/>
  <c r="I776" i="1"/>
  <c r="H776" i="1"/>
  <c r="K776" i="1" s="1"/>
  <c r="N775" i="1"/>
  <c r="I775" i="1"/>
  <c r="H775" i="1"/>
  <c r="K775" i="1" s="1"/>
  <c r="N774" i="1"/>
  <c r="I774" i="1"/>
  <c r="H774" i="1"/>
  <c r="K774" i="1" s="1"/>
  <c r="N773" i="1"/>
  <c r="I773" i="1"/>
  <c r="H773" i="1"/>
  <c r="K773" i="1" s="1"/>
  <c r="N772" i="1"/>
  <c r="I772" i="1"/>
  <c r="H772" i="1"/>
  <c r="K772" i="1" s="1"/>
  <c r="N771" i="1"/>
  <c r="I771" i="1"/>
  <c r="H771" i="1"/>
  <c r="K771" i="1" s="1"/>
  <c r="N770" i="1"/>
  <c r="I770" i="1"/>
  <c r="H770" i="1"/>
  <c r="K770" i="1" s="1"/>
  <c r="N769" i="1"/>
  <c r="I769" i="1"/>
  <c r="H769" i="1"/>
  <c r="K769" i="1" s="1"/>
  <c r="N768" i="1"/>
  <c r="I768" i="1"/>
  <c r="H768" i="1"/>
  <c r="K768" i="1" s="1"/>
  <c r="N767" i="1"/>
  <c r="I767" i="1"/>
  <c r="H767" i="1"/>
  <c r="K767" i="1" s="1"/>
  <c r="N766" i="1"/>
  <c r="I766" i="1"/>
  <c r="H766" i="1"/>
  <c r="K766" i="1" s="1"/>
  <c r="N765" i="1"/>
  <c r="I765" i="1"/>
  <c r="H765" i="1"/>
  <c r="K765" i="1" s="1"/>
  <c r="N764" i="1"/>
  <c r="I764" i="1"/>
  <c r="H764" i="1"/>
  <c r="K764" i="1" s="1"/>
  <c r="N763" i="1"/>
  <c r="I763" i="1"/>
  <c r="H763" i="1"/>
  <c r="K763" i="1" s="1"/>
  <c r="N762" i="1"/>
  <c r="I762" i="1"/>
  <c r="H762" i="1"/>
  <c r="K762" i="1" s="1"/>
  <c r="N761" i="1"/>
  <c r="I761" i="1"/>
  <c r="H761" i="1"/>
  <c r="K761" i="1" s="1"/>
  <c r="N760" i="1"/>
  <c r="I760" i="1"/>
  <c r="H760" i="1"/>
  <c r="K760" i="1" s="1"/>
  <c r="N759" i="1"/>
  <c r="I759" i="1"/>
  <c r="H759" i="1"/>
  <c r="K759" i="1" s="1"/>
  <c r="N758" i="1"/>
  <c r="I758" i="1"/>
  <c r="H758" i="1"/>
  <c r="K758" i="1" s="1"/>
  <c r="N757" i="1"/>
  <c r="I757" i="1"/>
  <c r="H757" i="1"/>
  <c r="K757" i="1" s="1"/>
  <c r="N756" i="1"/>
  <c r="I756" i="1"/>
  <c r="H756" i="1"/>
  <c r="K756" i="1" s="1"/>
  <c r="N755" i="1"/>
  <c r="I755" i="1"/>
  <c r="H755" i="1"/>
  <c r="K755" i="1" s="1"/>
  <c r="N754" i="1"/>
  <c r="I754" i="1"/>
  <c r="H754" i="1"/>
  <c r="K754" i="1" s="1"/>
  <c r="N753" i="1"/>
  <c r="I753" i="1"/>
  <c r="H753" i="1"/>
  <c r="K753" i="1" s="1"/>
  <c r="N752" i="1"/>
  <c r="I752" i="1"/>
  <c r="H752" i="1"/>
  <c r="K752" i="1" s="1"/>
  <c r="N751" i="1"/>
  <c r="I751" i="1"/>
  <c r="H751" i="1"/>
  <c r="K751" i="1" s="1"/>
  <c r="N750" i="1"/>
  <c r="I750" i="1"/>
  <c r="H750" i="1"/>
  <c r="K750" i="1" s="1"/>
  <c r="N749" i="1"/>
  <c r="I749" i="1"/>
  <c r="H749" i="1"/>
  <c r="K749" i="1" s="1"/>
  <c r="N748" i="1"/>
  <c r="I748" i="1"/>
  <c r="H748" i="1"/>
  <c r="K748" i="1" s="1"/>
  <c r="R747" i="1"/>
  <c r="N747" i="1"/>
  <c r="O747" i="1" s="1"/>
  <c r="I747" i="1"/>
  <c r="H747" i="1"/>
  <c r="K747" i="1" s="1"/>
  <c r="N746" i="1"/>
  <c r="I746" i="1"/>
  <c r="H746" i="1"/>
  <c r="K746" i="1" s="1"/>
  <c r="N745" i="1"/>
  <c r="I745" i="1"/>
  <c r="H745" i="1"/>
  <c r="K745" i="1" s="1"/>
  <c r="N744" i="1"/>
  <c r="I744" i="1"/>
  <c r="H744" i="1"/>
  <c r="K744" i="1" s="1"/>
  <c r="N743" i="1"/>
  <c r="I743" i="1"/>
  <c r="H743" i="1"/>
  <c r="K743" i="1" s="1"/>
  <c r="N742" i="1"/>
  <c r="I742" i="1"/>
  <c r="H742" i="1"/>
  <c r="K742" i="1" s="1"/>
  <c r="N741" i="1"/>
  <c r="I741" i="1"/>
  <c r="H741" i="1"/>
  <c r="K741" i="1" s="1"/>
  <c r="N740" i="1"/>
  <c r="I740" i="1"/>
  <c r="H740" i="1"/>
  <c r="K740" i="1" s="1"/>
  <c r="M739" i="1"/>
  <c r="L739" i="1"/>
  <c r="N739" i="1" s="1"/>
  <c r="J739" i="1"/>
  <c r="G739" i="1"/>
  <c r="F739" i="1"/>
  <c r="E739" i="1"/>
  <c r="H739" i="1" s="1"/>
  <c r="M738" i="1"/>
  <c r="L738" i="1"/>
  <c r="N738" i="1" s="1"/>
  <c r="J738" i="1"/>
  <c r="G738" i="1"/>
  <c r="F738" i="1"/>
  <c r="E738" i="1"/>
  <c r="H738" i="1" s="1"/>
  <c r="N737" i="1"/>
  <c r="I737" i="1"/>
  <c r="H737" i="1"/>
  <c r="K737" i="1" s="1"/>
  <c r="N736" i="1"/>
  <c r="I736" i="1"/>
  <c r="H736" i="1"/>
  <c r="K736" i="1" s="1"/>
  <c r="N735" i="1"/>
  <c r="I735" i="1"/>
  <c r="H735" i="1"/>
  <c r="K735" i="1" s="1"/>
  <c r="N734" i="1"/>
  <c r="I734" i="1"/>
  <c r="H734" i="1"/>
  <c r="K734" i="1" s="1"/>
  <c r="N733" i="1"/>
  <c r="I733" i="1"/>
  <c r="H733" i="1"/>
  <c r="K733" i="1" s="1"/>
  <c r="N732" i="1"/>
  <c r="I732" i="1"/>
  <c r="H732" i="1"/>
  <c r="K732" i="1" s="1"/>
  <c r="N731" i="1"/>
  <c r="I731" i="1"/>
  <c r="H731" i="1"/>
  <c r="K731" i="1" s="1"/>
  <c r="N730" i="1"/>
  <c r="I730" i="1"/>
  <c r="H730" i="1"/>
  <c r="K730" i="1" s="1"/>
  <c r="N729" i="1"/>
  <c r="I729" i="1"/>
  <c r="H729" i="1"/>
  <c r="K729" i="1" s="1"/>
  <c r="N728" i="1"/>
  <c r="I728" i="1"/>
  <c r="H728" i="1"/>
  <c r="K728" i="1" s="1"/>
  <c r="N727" i="1"/>
  <c r="I727" i="1"/>
  <c r="H727" i="1"/>
  <c r="K727" i="1" s="1"/>
  <c r="N726" i="1"/>
  <c r="I726" i="1"/>
  <c r="H726" i="1"/>
  <c r="K726" i="1" s="1"/>
  <c r="M725" i="1"/>
  <c r="L725" i="1"/>
  <c r="N725" i="1" s="1"/>
  <c r="G725" i="1"/>
  <c r="F725" i="1"/>
  <c r="E725" i="1"/>
  <c r="H725" i="1" s="1"/>
  <c r="M724" i="1"/>
  <c r="L724" i="1"/>
  <c r="N724" i="1" s="1"/>
  <c r="G724" i="1"/>
  <c r="F724" i="1"/>
  <c r="E724" i="1"/>
  <c r="H724" i="1" s="1"/>
  <c r="N723" i="1"/>
  <c r="I723" i="1"/>
  <c r="H723" i="1"/>
  <c r="K723" i="1" s="1"/>
  <c r="N722" i="1"/>
  <c r="I722" i="1"/>
  <c r="H722" i="1"/>
  <c r="K722" i="1" s="1"/>
  <c r="N721" i="1"/>
  <c r="I721" i="1"/>
  <c r="H721" i="1"/>
  <c r="K721" i="1" s="1"/>
  <c r="N720" i="1"/>
  <c r="I720" i="1"/>
  <c r="H720" i="1"/>
  <c r="K720" i="1" s="1"/>
  <c r="N719" i="1"/>
  <c r="I719" i="1"/>
  <c r="H719" i="1"/>
  <c r="K719" i="1" s="1"/>
  <c r="N718" i="1"/>
  <c r="I718" i="1"/>
  <c r="H718" i="1"/>
  <c r="K718" i="1" s="1"/>
  <c r="N717" i="1"/>
  <c r="I717" i="1"/>
  <c r="H717" i="1"/>
  <c r="K717" i="1" s="1"/>
  <c r="N716" i="1"/>
  <c r="I716" i="1"/>
  <c r="H716" i="1"/>
  <c r="K716" i="1" s="1"/>
  <c r="N715" i="1"/>
  <c r="I715" i="1"/>
  <c r="H715" i="1"/>
  <c r="K715" i="1" s="1"/>
  <c r="N714" i="1"/>
  <c r="I714" i="1"/>
  <c r="H714" i="1"/>
  <c r="K714" i="1" s="1"/>
  <c r="N713" i="1"/>
  <c r="I713" i="1"/>
  <c r="H713" i="1"/>
  <c r="K713" i="1" s="1"/>
  <c r="N712" i="1"/>
  <c r="I712" i="1"/>
  <c r="H712" i="1"/>
  <c r="K712" i="1" s="1"/>
  <c r="N711" i="1"/>
  <c r="I711" i="1"/>
  <c r="H711" i="1"/>
  <c r="K711" i="1" s="1"/>
  <c r="N710" i="1"/>
  <c r="I710" i="1"/>
  <c r="H710" i="1"/>
  <c r="K710" i="1" s="1"/>
  <c r="N709" i="1"/>
  <c r="I709" i="1"/>
  <c r="H709" i="1"/>
  <c r="K709" i="1" s="1"/>
  <c r="N708" i="1"/>
  <c r="I708" i="1"/>
  <c r="H708" i="1"/>
  <c r="K708" i="1" s="1"/>
  <c r="N707" i="1"/>
  <c r="I707" i="1"/>
  <c r="H707" i="1"/>
  <c r="K707" i="1" s="1"/>
  <c r="N706" i="1"/>
  <c r="I706" i="1"/>
  <c r="H706" i="1"/>
  <c r="K706" i="1" s="1"/>
  <c r="N705" i="1"/>
  <c r="I705" i="1"/>
  <c r="H705" i="1"/>
  <c r="K705" i="1" s="1"/>
  <c r="N704" i="1"/>
  <c r="I704" i="1"/>
  <c r="H704" i="1"/>
  <c r="K704" i="1" s="1"/>
  <c r="N703" i="1"/>
  <c r="I703" i="1"/>
  <c r="H703" i="1"/>
  <c r="K703" i="1" s="1"/>
  <c r="N702" i="1"/>
  <c r="I702" i="1"/>
  <c r="H702" i="1"/>
  <c r="K702" i="1" s="1"/>
  <c r="N701" i="1"/>
  <c r="I701" i="1"/>
  <c r="H701" i="1"/>
  <c r="K701" i="1" s="1"/>
  <c r="N700" i="1"/>
  <c r="I700" i="1"/>
  <c r="H700" i="1"/>
  <c r="K700" i="1" s="1"/>
  <c r="N699" i="1"/>
  <c r="I699" i="1"/>
  <c r="H699" i="1"/>
  <c r="K699" i="1" s="1"/>
  <c r="R698" i="1"/>
  <c r="N698" i="1"/>
  <c r="O698" i="1" s="1"/>
  <c r="I698" i="1"/>
  <c r="H698" i="1"/>
  <c r="K698" i="1" s="1"/>
  <c r="N697" i="1"/>
  <c r="I697" i="1"/>
  <c r="H697" i="1"/>
  <c r="K697" i="1" s="1"/>
  <c r="N696" i="1"/>
  <c r="I696" i="1"/>
  <c r="H696" i="1"/>
  <c r="K696" i="1" s="1"/>
  <c r="N695" i="1"/>
  <c r="J695" i="1"/>
  <c r="G695" i="1"/>
  <c r="F695" i="1"/>
  <c r="E695" i="1"/>
  <c r="H695" i="1" s="1"/>
  <c r="L694" i="1"/>
  <c r="N694" i="1" s="1"/>
  <c r="J694" i="1"/>
  <c r="G694" i="1"/>
  <c r="F694" i="1"/>
  <c r="E694" i="1"/>
  <c r="H694" i="1" s="1"/>
  <c r="N693" i="1"/>
  <c r="I693" i="1"/>
  <c r="H693" i="1"/>
  <c r="K693" i="1" s="1"/>
  <c r="N692" i="1"/>
  <c r="I692" i="1"/>
  <c r="H692" i="1"/>
  <c r="K692" i="1" s="1"/>
  <c r="N691" i="1"/>
  <c r="I691" i="1"/>
  <c r="H691" i="1"/>
  <c r="K691" i="1" s="1"/>
  <c r="N690" i="1"/>
  <c r="I690" i="1"/>
  <c r="H690" i="1"/>
  <c r="K690" i="1" s="1"/>
  <c r="N689" i="1"/>
  <c r="I689" i="1"/>
  <c r="H689" i="1"/>
  <c r="K689" i="1" s="1"/>
  <c r="N688" i="1"/>
  <c r="I688" i="1"/>
  <c r="H688" i="1"/>
  <c r="K688" i="1" s="1"/>
  <c r="N687" i="1"/>
  <c r="I687" i="1"/>
  <c r="H687" i="1"/>
  <c r="K687" i="1" s="1"/>
  <c r="N686" i="1"/>
  <c r="I686" i="1"/>
  <c r="H686" i="1"/>
  <c r="K686" i="1" s="1"/>
  <c r="N685" i="1"/>
  <c r="I685" i="1"/>
  <c r="H685" i="1"/>
  <c r="K685" i="1" s="1"/>
  <c r="N684" i="1"/>
  <c r="I684" i="1"/>
  <c r="H684" i="1"/>
  <c r="K684" i="1" s="1"/>
  <c r="N683" i="1"/>
  <c r="I683" i="1"/>
  <c r="H683" i="1"/>
  <c r="K683" i="1" s="1"/>
  <c r="N682" i="1"/>
  <c r="I682" i="1"/>
  <c r="H682" i="1"/>
  <c r="K682" i="1" s="1"/>
  <c r="R681" i="1"/>
  <c r="N681" i="1"/>
  <c r="O681" i="1" s="1"/>
  <c r="I681" i="1"/>
  <c r="H681" i="1"/>
  <c r="K681" i="1" s="1"/>
  <c r="N680" i="1"/>
  <c r="I680" i="1"/>
  <c r="H680" i="1"/>
  <c r="K680" i="1" s="1"/>
  <c r="N679" i="1"/>
  <c r="I679" i="1"/>
  <c r="H679" i="1"/>
  <c r="K679" i="1" s="1"/>
  <c r="N678" i="1"/>
  <c r="I678" i="1"/>
  <c r="H678" i="1"/>
  <c r="K678" i="1" s="1"/>
  <c r="N677" i="1"/>
  <c r="I677" i="1"/>
  <c r="H677" i="1"/>
  <c r="K677" i="1" s="1"/>
  <c r="N676" i="1"/>
  <c r="I676" i="1"/>
  <c r="H676" i="1"/>
  <c r="K676" i="1" s="1"/>
  <c r="N675" i="1"/>
  <c r="I675" i="1"/>
  <c r="H675" i="1"/>
  <c r="K675" i="1" s="1"/>
  <c r="R674" i="1"/>
  <c r="O674" i="1"/>
  <c r="I674" i="1"/>
  <c r="H674" i="1"/>
  <c r="K674" i="1" s="1"/>
  <c r="R673" i="1"/>
  <c r="O673" i="1"/>
  <c r="I673" i="1"/>
  <c r="H673" i="1"/>
  <c r="K673" i="1" s="1"/>
  <c r="R672" i="1"/>
  <c r="O672" i="1"/>
  <c r="I672" i="1"/>
  <c r="H672" i="1"/>
  <c r="K672" i="1" s="1"/>
  <c r="R671" i="1"/>
  <c r="O671" i="1"/>
  <c r="I671" i="1"/>
  <c r="H671" i="1"/>
  <c r="K671" i="1" s="1"/>
  <c r="R670" i="1"/>
  <c r="O670" i="1"/>
  <c r="I670" i="1"/>
  <c r="H670" i="1"/>
  <c r="K670" i="1" s="1"/>
  <c r="N669" i="1"/>
  <c r="I669" i="1"/>
  <c r="H669" i="1"/>
  <c r="K669" i="1" s="1"/>
  <c r="N668" i="1"/>
  <c r="I668" i="1"/>
  <c r="H668" i="1"/>
  <c r="K668" i="1" s="1"/>
  <c r="N667" i="1"/>
  <c r="I667" i="1"/>
  <c r="H667" i="1"/>
  <c r="K667" i="1" s="1"/>
  <c r="N666" i="1"/>
  <c r="I666" i="1"/>
  <c r="H666" i="1"/>
  <c r="K666" i="1" s="1"/>
  <c r="N665" i="1"/>
  <c r="I665" i="1"/>
  <c r="H665" i="1"/>
  <c r="K665" i="1" s="1"/>
  <c r="N664" i="1"/>
  <c r="I664" i="1"/>
  <c r="H664" i="1"/>
  <c r="K664" i="1" s="1"/>
  <c r="N663" i="1"/>
  <c r="I663" i="1"/>
  <c r="H663" i="1"/>
  <c r="K663" i="1" s="1"/>
  <c r="N662" i="1"/>
  <c r="I662" i="1"/>
  <c r="H662" i="1"/>
  <c r="K662" i="1" s="1"/>
  <c r="N661" i="1"/>
  <c r="I661" i="1"/>
  <c r="H661" i="1"/>
  <c r="K661" i="1" s="1"/>
  <c r="N660" i="1"/>
  <c r="I660" i="1"/>
  <c r="K660" i="1" s="1"/>
  <c r="N659" i="1"/>
  <c r="I659" i="1"/>
  <c r="H659" i="1"/>
  <c r="K659" i="1" s="1"/>
  <c r="N658" i="1"/>
  <c r="I658" i="1"/>
  <c r="H658" i="1"/>
  <c r="K658" i="1" s="1"/>
  <c r="N657" i="1"/>
  <c r="I657" i="1"/>
  <c r="H657" i="1"/>
  <c r="K657" i="1" s="1"/>
  <c r="N656" i="1"/>
  <c r="I656" i="1"/>
  <c r="H656" i="1"/>
  <c r="K656" i="1" s="1"/>
  <c r="N655" i="1"/>
  <c r="I655" i="1"/>
  <c r="H655" i="1"/>
  <c r="K655" i="1" s="1"/>
  <c r="N654" i="1"/>
  <c r="I654" i="1"/>
  <c r="H654" i="1"/>
  <c r="K654" i="1" s="1"/>
  <c r="M653" i="1"/>
  <c r="L653" i="1"/>
  <c r="N653" i="1" s="1"/>
  <c r="J653" i="1"/>
  <c r="G653" i="1"/>
  <c r="F653" i="1"/>
  <c r="E653" i="1"/>
  <c r="H653" i="1" s="1"/>
  <c r="M652" i="1"/>
  <c r="L652" i="1"/>
  <c r="N652" i="1" s="1"/>
  <c r="J652" i="1"/>
  <c r="G652" i="1"/>
  <c r="F652" i="1"/>
  <c r="E652" i="1"/>
  <c r="H652" i="1" s="1"/>
  <c r="N651" i="1"/>
  <c r="I651" i="1"/>
  <c r="H651" i="1"/>
  <c r="K651" i="1" s="1"/>
  <c r="N650" i="1"/>
  <c r="I650" i="1"/>
  <c r="H650" i="1"/>
  <c r="K650" i="1" s="1"/>
  <c r="N649" i="1"/>
  <c r="I649" i="1"/>
  <c r="H649" i="1"/>
  <c r="K649" i="1" s="1"/>
  <c r="N648" i="1"/>
  <c r="I648" i="1"/>
  <c r="H648" i="1"/>
  <c r="K648" i="1" s="1"/>
  <c r="N647" i="1"/>
  <c r="I647" i="1"/>
  <c r="H647" i="1"/>
  <c r="K647" i="1" s="1"/>
  <c r="N646" i="1"/>
  <c r="I646" i="1"/>
  <c r="H646" i="1"/>
  <c r="K646" i="1" s="1"/>
  <c r="N645" i="1"/>
  <c r="I645" i="1"/>
  <c r="H645" i="1"/>
  <c r="K645" i="1" s="1"/>
  <c r="N644" i="1"/>
  <c r="I644" i="1"/>
  <c r="H644" i="1"/>
  <c r="K644" i="1" s="1"/>
  <c r="N643" i="1"/>
  <c r="I643" i="1"/>
  <c r="H643" i="1"/>
  <c r="K643" i="1" s="1"/>
  <c r="N642" i="1"/>
  <c r="I642" i="1"/>
  <c r="H642" i="1"/>
  <c r="K642" i="1" s="1"/>
  <c r="N641" i="1"/>
  <c r="I641" i="1"/>
  <c r="H641" i="1"/>
  <c r="K641" i="1" s="1"/>
  <c r="N640" i="1"/>
  <c r="I640" i="1"/>
  <c r="H640" i="1"/>
  <c r="K640" i="1" s="1"/>
  <c r="N639" i="1"/>
  <c r="G639" i="1"/>
  <c r="F639" i="1"/>
  <c r="E639" i="1"/>
  <c r="H639" i="1" s="1"/>
  <c r="N638" i="1"/>
  <c r="G638" i="1"/>
  <c r="F638" i="1"/>
  <c r="E638" i="1"/>
  <c r="H638" i="1" s="1"/>
  <c r="N637" i="1"/>
  <c r="I637" i="1"/>
  <c r="H637" i="1"/>
  <c r="K637" i="1" s="1"/>
  <c r="N636" i="1"/>
  <c r="I636" i="1"/>
  <c r="H636" i="1"/>
  <c r="K636" i="1" s="1"/>
  <c r="N635" i="1"/>
  <c r="I635" i="1"/>
  <c r="H635" i="1"/>
  <c r="K635" i="1" s="1"/>
  <c r="N634" i="1"/>
  <c r="I634" i="1"/>
  <c r="H634" i="1"/>
  <c r="K634" i="1" s="1"/>
  <c r="N633" i="1"/>
  <c r="I633" i="1"/>
  <c r="H633" i="1"/>
  <c r="K633" i="1" s="1"/>
  <c r="N632" i="1"/>
  <c r="I632" i="1"/>
  <c r="H632" i="1"/>
  <c r="K632" i="1" s="1"/>
  <c r="N631" i="1"/>
  <c r="I631" i="1"/>
  <c r="H631" i="1"/>
  <c r="K631" i="1" s="1"/>
  <c r="N630" i="1"/>
  <c r="I630" i="1"/>
  <c r="H630" i="1"/>
  <c r="K630" i="1" s="1"/>
  <c r="N629" i="1"/>
  <c r="I629" i="1"/>
  <c r="H629" i="1"/>
  <c r="K629" i="1" s="1"/>
  <c r="N628" i="1"/>
  <c r="I628" i="1"/>
  <c r="H628" i="1"/>
  <c r="K628" i="1" s="1"/>
  <c r="N627" i="1"/>
  <c r="I627" i="1"/>
  <c r="H627" i="1"/>
  <c r="K627" i="1" s="1"/>
  <c r="N626" i="1"/>
  <c r="I626" i="1"/>
  <c r="H626" i="1"/>
  <c r="K626" i="1" s="1"/>
  <c r="M625" i="1"/>
  <c r="N625" i="1" s="1"/>
  <c r="J625" i="1"/>
  <c r="G625" i="1"/>
  <c r="F625" i="1"/>
  <c r="E625" i="1"/>
  <c r="H625" i="1" s="1"/>
  <c r="M624" i="1"/>
  <c r="N624" i="1" s="1"/>
  <c r="J624" i="1"/>
  <c r="G624" i="1"/>
  <c r="F624" i="1"/>
  <c r="E624" i="1"/>
  <c r="H624" i="1" s="1"/>
  <c r="N623" i="1"/>
  <c r="I623" i="1"/>
  <c r="H623" i="1"/>
  <c r="K623" i="1" s="1"/>
  <c r="N622" i="1"/>
  <c r="I622" i="1"/>
  <c r="H622" i="1"/>
  <c r="K622" i="1" s="1"/>
  <c r="M621" i="1"/>
  <c r="N621" i="1" s="1"/>
  <c r="G621" i="1"/>
  <c r="F621" i="1"/>
  <c r="E621" i="1"/>
  <c r="H621" i="1" s="1"/>
  <c r="M620" i="1"/>
  <c r="N620" i="1" s="1"/>
  <c r="J620" i="1"/>
  <c r="G620" i="1"/>
  <c r="F620" i="1"/>
  <c r="E620" i="1"/>
  <c r="H620" i="1" s="1"/>
  <c r="N619" i="1"/>
  <c r="I619" i="1"/>
  <c r="H619" i="1"/>
  <c r="K619" i="1" s="1"/>
  <c r="N618" i="1"/>
  <c r="I618" i="1"/>
  <c r="H618" i="1"/>
  <c r="K618" i="1" s="1"/>
  <c r="M617" i="1"/>
  <c r="L617" i="1"/>
  <c r="N617" i="1" s="1"/>
  <c r="G617" i="1"/>
  <c r="F617" i="1"/>
  <c r="E617" i="1"/>
  <c r="H617" i="1" s="1"/>
  <c r="M616" i="1"/>
  <c r="L616" i="1"/>
  <c r="N616" i="1" s="1"/>
  <c r="G616" i="1"/>
  <c r="F616" i="1"/>
  <c r="E616" i="1"/>
  <c r="H616" i="1" s="1"/>
  <c r="N615" i="1"/>
  <c r="I615" i="1"/>
  <c r="H615" i="1"/>
  <c r="K615" i="1" s="1"/>
  <c r="N614" i="1"/>
  <c r="I614" i="1"/>
  <c r="H614" i="1"/>
  <c r="K614" i="1" s="1"/>
  <c r="N613" i="1"/>
  <c r="I613" i="1"/>
  <c r="H613" i="1"/>
  <c r="K613" i="1" s="1"/>
  <c r="N612" i="1"/>
  <c r="I612" i="1"/>
  <c r="H612" i="1"/>
  <c r="K612" i="1" s="1"/>
  <c r="N611" i="1"/>
  <c r="J611" i="1"/>
  <c r="G611" i="1"/>
  <c r="F611" i="1"/>
  <c r="E611" i="1"/>
  <c r="H611" i="1" s="1"/>
  <c r="N610" i="1"/>
  <c r="J610" i="1"/>
  <c r="G610" i="1"/>
  <c r="F610" i="1"/>
  <c r="E610" i="1"/>
  <c r="H610" i="1" s="1"/>
  <c r="N609" i="1"/>
  <c r="I609" i="1"/>
  <c r="H609" i="1"/>
  <c r="K609" i="1" s="1"/>
  <c r="N608" i="1"/>
  <c r="I608" i="1"/>
  <c r="H608" i="1"/>
  <c r="K608" i="1" s="1"/>
  <c r="N607" i="1"/>
  <c r="I607" i="1"/>
  <c r="H607" i="1"/>
  <c r="K607" i="1" s="1"/>
  <c r="N606" i="1"/>
  <c r="I606" i="1"/>
  <c r="H606" i="1"/>
  <c r="K606" i="1" s="1"/>
  <c r="N605" i="1"/>
  <c r="I605" i="1"/>
  <c r="H605" i="1"/>
  <c r="K605" i="1" s="1"/>
  <c r="N604" i="1"/>
  <c r="I604" i="1"/>
  <c r="H604" i="1"/>
  <c r="K604" i="1" s="1"/>
  <c r="N603" i="1"/>
  <c r="I603" i="1"/>
  <c r="H603" i="1"/>
  <c r="K603" i="1" s="1"/>
  <c r="N602" i="1"/>
  <c r="I602" i="1"/>
  <c r="H602" i="1"/>
  <c r="K602" i="1" s="1"/>
  <c r="N601" i="1"/>
  <c r="I601" i="1"/>
  <c r="H601" i="1"/>
  <c r="K601" i="1" s="1"/>
  <c r="N600" i="1"/>
  <c r="I600" i="1"/>
  <c r="H600" i="1"/>
  <c r="K600" i="1" s="1"/>
  <c r="N599" i="1"/>
  <c r="I599" i="1"/>
  <c r="H599" i="1"/>
  <c r="K599" i="1" s="1"/>
  <c r="N598" i="1"/>
  <c r="I598" i="1"/>
  <c r="H598" i="1"/>
  <c r="K598" i="1" s="1"/>
  <c r="N597" i="1"/>
  <c r="I597" i="1"/>
  <c r="H597" i="1"/>
  <c r="K597" i="1" s="1"/>
  <c r="N596" i="1"/>
  <c r="I596" i="1"/>
  <c r="H596" i="1"/>
  <c r="K596" i="1" s="1"/>
  <c r="N595" i="1"/>
  <c r="I595" i="1"/>
  <c r="H595" i="1"/>
  <c r="K595" i="1" s="1"/>
  <c r="N594" i="1"/>
  <c r="I594" i="1"/>
  <c r="H594" i="1"/>
  <c r="K594" i="1" s="1"/>
  <c r="N593" i="1"/>
  <c r="I593" i="1"/>
  <c r="H593" i="1"/>
  <c r="K593" i="1" s="1"/>
  <c r="N592" i="1"/>
  <c r="I592" i="1"/>
  <c r="H592" i="1"/>
  <c r="K592" i="1" s="1"/>
  <c r="N591" i="1"/>
  <c r="I591" i="1"/>
  <c r="H591" i="1"/>
  <c r="K591" i="1" s="1"/>
  <c r="N590" i="1"/>
  <c r="I590" i="1"/>
  <c r="H590" i="1"/>
  <c r="K590" i="1" s="1"/>
  <c r="N589" i="1"/>
  <c r="I589" i="1"/>
  <c r="H589" i="1"/>
  <c r="K589" i="1" s="1"/>
  <c r="N588" i="1"/>
  <c r="I588" i="1"/>
  <c r="H588" i="1"/>
  <c r="K588" i="1" s="1"/>
  <c r="N587" i="1"/>
  <c r="I587" i="1"/>
  <c r="H587" i="1"/>
  <c r="K587" i="1" s="1"/>
  <c r="N586" i="1"/>
  <c r="F586" i="1"/>
  <c r="E586" i="1"/>
  <c r="H586" i="1" s="1"/>
  <c r="N585" i="1"/>
  <c r="I585" i="1"/>
  <c r="H585" i="1"/>
  <c r="K585" i="1" s="1"/>
  <c r="N584" i="1"/>
  <c r="I584" i="1"/>
  <c r="H584" i="1"/>
  <c r="K584" i="1" s="1"/>
  <c r="N583" i="1"/>
  <c r="I583" i="1"/>
  <c r="H583" i="1"/>
  <c r="K583" i="1" s="1"/>
  <c r="N582" i="1"/>
  <c r="I582" i="1"/>
  <c r="H582" i="1"/>
  <c r="K582" i="1" s="1"/>
  <c r="N581" i="1"/>
  <c r="I581" i="1"/>
  <c r="H581" i="1"/>
  <c r="K581" i="1" s="1"/>
  <c r="N580" i="1"/>
  <c r="I580" i="1"/>
  <c r="H580" i="1"/>
  <c r="K580" i="1" s="1"/>
  <c r="N579" i="1"/>
  <c r="I579" i="1"/>
  <c r="H579" i="1"/>
  <c r="K579" i="1" s="1"/>
  <c r="N578" i="1"/>
  <c r="I578" i="1"/>
  <c r="H578" i="1"/>
  <c r="K578" i="1" s="1"/>
  <c r="N577" i="1"/>
  <c r="I577" i="1"/>
  <c r="H577" i="1"/>
  <c r="K577" i="1" s="1"/>
  <c r="N576" i="1"/>
  <c r="I576" i="1"/>
  <c r="H576" i="1"/>
  <c r="K576" i="1" s="1"/>
  <c r="N575" i="1"/>
  <c r="I575" i="1"/>
  <c r="H575" i="1"/>
  <c r="K575" i="1" s="1"/>
  <c r="N574" i="1"/>
  <c r="I574" i="1"/>
  <c r="H574" i="1"/>
  <c r="K574" i="1" s="1"/>
  <c r="N573" i="1"/>
  <c r="I573" i="1"/>
  <c r="H573" i="1"/>
  <c r="K573" i="1" s="1"/>
  <c r="N572" i="1"/>
  <c r="I572" i="1"/>
  <c r="H572" i="1"/>
  <c r="K572" i="1" s="1"/>
  <c r="N571" i="1"/>
  <c r="I571" i="1"/>
  <c r="H571" i="1"/>
  <c r="K571" i="1" s="1"/>
  <c r="N570" i="1"/>
  <c r="I570" i="1"/>
  <c r="H570" i="1"/>
  <c r="K570" i="1" s="1"/>
  <c r="N569" i="1"/>
  <c r="I569" i="1"/>
  <c r="H569" i="1"/>
  <c r="K569" i="1" s="1"/>
  <c r="N568" i="1"/>
  <c r="I568" i="1"/>
  <c r="H568" i="1"/>
  <c r="K568" i="1" s="1"/>
  <c r="N567" i="1"/>
  <c r="I567" i="1"/>
  <c r="H567" i="1"/>
  <c r="K567" i="1" s="1"/>
  <c r="N566" i="1"/>
  <c r="I566" i="1"/>
  <c r="H566" i="1"/>
  <c r="K566" i="1" s="1"/>
  <c r="N565" i="1"/>
  <c r="I565" i="1"/>
  <c r="H565" i="1"/>
  <c r="K565" i="1" s="1"/>
  <c r="N564" i="1"/>
  <c r="I564" i="1"/>
  <c r="H564" i="1"/>
  <c r="K564" i="1" s="1"/>
  <c r="N563" i="1"/>
  <c r="I563" i="1"/>
  <c r="H563" i="1"/>
  <c r="K563" i="1" s="1"/>
  <c r="N562" i="1"/>
  <c r="I562" i="1"/>
  <c r="H562" i="1"/>
  <c r="K562" i="1" s="1"/>
  <c r="N561" i="1"/>
  <c r="I561" i="1"/>
  <c r="H561" i="1"/>
  <c r="K561" i="1" s="1"/>
  <c r="N560" i="1"/>
  <c r="I560" i="1"/>
  <c r="H560" i="1"/>
  <c r="K560" i="1" s="1"/>
  <c r="N559" i="1"/>
  <c r="I559" i="1"/>
  <c r="H559" i="1"/>
  <c r="K559" i="1" s="1"/>
  <c r="N558" i="1"/>
  <c r="I558" i="1"/>
  <c r="H558" i="1"/>
  <c r="K558" i="1" s="1"/>
  <c r="N557" i="1"/>
  <c r="I557" i="1"/>
  <c r="H557" i="1"/>
  <c r="K557" i="1" s="1"/>
  <c r="N556" i="1"/>
  <c r="I556" i="1"/>
  <c r="H556" i="1"/>
  <c r="K556" i="1" s="1"/>
  <c r="N555" i="1"/>
  <c r="I555" i="1"/>
  <c r="H555" i="1"/>
  <c r="K555" i="1" s="1"/>
  <c r="N554" i="1"/>
  <c r="I554" i="1"/>
  <c r="H554" i="1"/>
  <c r="K554" i="1" s="1"/>
  <c r="N553" i="1"/>
  <c r="I553" i="1"/>
  <c r="H553" i="1"/>
  <c r="K553" i="1" s="1"/>
  <c r="N552" i="1"/>
  <c r="I552" i="1"/>
  <c r="H552" i="1"/>
  <c r="K552" i="1" s="1"/>
  <c r="N551" i="1"/>
  <c r="I551" i="1"/>
  <c r="H551" i="1"/>
  <c r="K551" i="1" s="1"/>
  <c r="N550" i="1"/>
  <c r="I550" i="1"/>
  <c r="H550" i="1"/>
  <c r="K550" i="1" s="1"/>
  <c r="N549" i="1"/>
  <c r="F549" i="1"/>
  <c r="E549" i="1"/>
  <c r="H549" i="1" s="1"/>
  <c r="N548" i="1"/>
  <c r="I548" i="1"/>
  <c r="H548" i="1"/>
  <c r="K548" i="1" s="1"/>
  <c r="N547" i="1"/>
  <c r="I547" i="1"/>
  <c r="H547" i="1"/>
  <c r="K547" i="1" s="1"/>
  <c r="N546" i="1"/>
  <c r="I546" i="1"/>
  <c r="H546" i="1"/>
  <c r="K546" i="1" s="1"/>
  <c r="N545" i="1"/>
  <c r="I545" i="1"/>
  <c r="H545" i="1"/>
  <c r="K545" i="1" s="1"/>
  <c r="N544" i="1"/>
  <c r="I544" i="1"/>
  <c r="H544" i="1"/>
  <c r="K544" i="1" s="1"/>
  <c r="N543" i="1"/>
  <c r="I543" i="1"/>
  <c r="H543" i="1"/>
  <c r="K543" i="1" s="1"/>
  <c r="N542" i="1"/>
  <c r="I542" i="1"/>
  <c r="H542" i="1"/>
  <c r="K542" i="1" s="1"/>
  <c r="N541" i="1"/>
  <c r="I541" i="1"/>
  <c r="H541" i="1"/>
  <c r="K541" i="1" s="1"/>
  <c r="N540" i="1"/>
  <c r="I540" i="1"/>
  <c r="H540" i="1"/>
  <c r="K540" i="1" s="1"/>
  <c r="N539" i="1"/>
  <c r="I539" i="1"/>
  <c r="H539" i="1"/>
  <c r="K539" i="1" s="1"/>
  <c r="N538" i="1"/>
  <c r="I538" i="1"/>
  <c r="H538" i="1"/>
  <c r="K538" i="1" s="1"/>
  <c r="N537" i="1"/>
  <c r="I537" i="1"/>
  <c r="H537" i="1"/>
  <c r="K537" i="1" s="1"/>
  <c r="N536" i="1"/>
  <c r="I536" i="1"/>
  <c r="H536" i="1"/>
  <c r="K536" i="1" s="1"/>
  <c r="N535" i="1"/>
  <c r="I535" i="1"/>
  <c r="H535" i="1"/>
  <c r="K535" i="1" s="1"/>
  <c r="N534" i="1"/>
  <c r="I534" i="1"/>
  <c r="H534" i="1"/>
  <c r="K534" i="1" s="1"/>
  <c r="N533" i="1"/>
  <c r="I533" i="1"/>
  <c r="H533" i="1"/>
  <c r="K533" i="1" s="1"/>
  <c r="N532" i="1"/>
  <c r="I532" i="1"/>
  <c r="H532" i="1"/>
  <c r="K532" i="1" s="1"/>
  <c r="N531" i="1"/>
  <c r="I531" i="1"/>
  <c r="H531" i="1"/>
  <c r="K531" i="1" s="1"/>
  <c r="N530" i="1"/>
  <c r="I530" i="1"/>
  <c r="H530" i="1"/>
  <c r="K530" i="1" s="1"/>
  <c r="N529" i="1"/>
  <c r="I529" i="1"/>
  <c r="H529" i="1"/>
  <c r="K529" i="1" s="1"/>
  <c r="N528" i="1"/>
  <c r="I528" i="1"/>
  <c r="H528" i="1"/>
  <c r="K528" i="1" s="1"/>
  <c r="N527" i="1"/>
  <c r="I527" i="1"/>
  <c r="H527" i="1"/>
  <c r="K527" i="1" s="1"/>
  <c r="N526" i="1"/>
  <c r="I526" i="1"/>
  <c r="H526" i="1"/>
  <c r="K526" i="1" s="1"/>
  <c r="N525" i="1"/>
  <c r="I525" i="1"/>
  <c r="H525" i="1"/>
  <c r="K525" i="1" s="1"/>
  <c r="N524" i="1"/>
  <c r="I524" i="1"/>
  <c r="H524" i="1"/>
  <c r="K524" i="1" s="1"/>
  <c r="N523" i="1"/>
  <c r="I523" i="1"/>
  <c r="H523" i="1"/>
  <c r="K523" i="1" s="1"/>
  <c r="N522" i="1"/>
  <c r="I522" i="1"/>
  <c r="H522" i="1"/>
  <c r="K522" i="1" s="1"/>
  <c r="N521" i="1"/>
  <c r="I521" i="1"/>
  <c r="H521" i="1"/>
  <c r="K521" i="1" s="1"/>
  <c r="N520" i="1"/>
  <c r="I520" i="1"/>
  <c r="H520" i="1"/>
  <c r="K520" i="1" s="1"/>
  <c r="N519" i="1"/>
  <c r="I519" i="1"/>
  <c r="H519" i="1"/>
  <c r="K519" i="1" s="1"/>
  <c r="N518" i="1"/>
  <c r="I518" i="1"/>
  <c r="H518" i="1"/>
  <c r="K518" i="1" s="1"/>
  <c r="N517" i="1"/>
  <c r="I517" i="1"/>
  <c r="H517" i="1"/>
  <c r="K517" i="1" s="1"/>
  <c r="N516" i="1"/>
  <c r="I516" i="1"/>
  <c r="H516" i="1"/>
  <c r="K516" i="1" s="1"/>
  <c r="N515" i="1"/>
  <c r="I515" i="1"/>
  <c r="H515" i="1"/>
  <c r="K515" i="1" s="1"/>
  <c r="N514" i="1"/>
  <c r="I514" i="1"/>
  <c r="H514" i="1"/>
  <c r="K514" i="1" s="1"/>
  <c r="N513" i="1"/>
  <c r="I513" i="1"/>
  <c r="H513" i="1"/>
  <c r="K513" i="1" s="1"/>
  <c r="N512" i="1"/>
  <c r="I512" i="1"/>
  <c r="H512" i="1"/>
  <c r="K512" i="1" s="1"/>
  <c r="N511" i="1"/>
  <c r="I511" i="1"/>
  <c r="H511" i="1"/>
  <c r="K511" i="1" s="1"/>
  <c r="N510" i="1"/>
  <c r="I510" i="1"/>
  <c r="H510" i="1"/>
  <c r="K510" i="1" s="1"/>
  <c r="N509" i="1"/>
  <c r="I509" i="1"/>
  <c r="N508" i="1"/>
  <c r="I508" i="1"/>
  <c r="H508" i="1"/>
  <c r="K508" i="1" s="1"/>
  <c r="N507" i="1"/>
  <c r="I507" i="1"/>
  <c r="H507" i="1"/>
  <c r="K507" i="1" s="1"/>
  <c r="N506" i="1"/>
  <c r="I506" i="1"/>
  <c r="H506" i="1"/>
  <c r="K506" i="1" s="1"/>
  <c r="N505" i="1"/>
  <c r="I505" i="1"/>
  <c r="H505" i="1"/>
  <c r="K505" i="1" s="1"/>
  <c r="N504" i="1"/>
  <c r="I504" i="1"/>
  <c r="H504" i="1"/>
  <c r="K504" i="1" s="1"/>
  <c r="N503" i="1"/>
  <c r="I503" i="1"/>
  <c r="H503" i="1"/>
  <c r="K503" i="1" s="1"/>
  <c r="N502" i="1"/>
  <c r="I502" i="1"/>
  <c r="H502" i="1"/>
  <c r="K502" i="1" s="1"/>
  <c r="N501" i="1"/>
  <c r="I501" i="1"/>
  <c r="H501" i="1"/>
  <c r="K501" i="1" s="1"/>
  <c r="N500" i="1"/>
  <c r="I500" i="1"/>
  <c r="H500" i="1"/>
  <c r="K500" i="1" s="1"/>
  <c r="N499" i="1"/>
  <c r="I499" i="1"/>
  <c r="H499" i="1"/>
  <c r="K499" i="1" s="1"/>
  <c r="N498" i="1"/>
  <c r="I498" i="1"/>
  <c r="H498" i="1"/>
  <c r="K498" i="1" s="1"/>
  <c r="N497" i="1"/>
  <c r="I497" i="1"/>
  <c r="H497" i="1"/>
  <c r="K497" i="1" s="1"/>
  <c r="N496" i="1"/>
  <c r="I496" i="1"/>
  <c r="H496" i="1"/>
  <c r="K496" i="1" s="1"/>
  <c r="N495" i="1"/>
  <c r="I495" i="1"/>
  <c r="H495" i="1"/>
  <c r="K495" i="1" s="1"/>
  <c r="N494" i="1"/>
  <c r="I494" i="1"/>
  <c r="H494" i="1"/>
  <c r="K494" i="1" s="1"/>
  <c r="N493" i="1"/>
  <c r="I493" i="1"/>
  <c r="H493" i="1"/>
  <c r="K493" i="1" s="1"/>
  <c r="N492" i="1"/>
  <c r="I492" i="1"/>
  <c r="H492" i="1"/>
  <c r="K492" i="1" s="1"/>
  <c r="N491" i="1"/>
  <c r="I491" i="1"/>
  <c r="H491" i="1"/>
  <c r="K491" i="1" s="1"/>
  <c r="N490" i="1"/>
  <c r="I490" i="1"/>
  <c r="H490" i="1"/>
  <c r="K490" i="1" s="1"/>
  <c r="N489" i="1"/>
  <c r="I489" i="1"/>
  <c r="H489" i="1"/>
  <c r="K489" i="1" s="1"/>
  <c r="N488" i="1"/>
  <c r="I488" i="1"/>
  <c r="H488" i="1"/>
  <c r="K488" i="1" s="1"/>
  <c r="N487" i="1"/>
  <c r="I487" i="1"/>
  <c r="H487" i="1"/>
  <c r="K487" i="1" s="1"/>
  <c r="N486" i="1"/>
  <c r="I486" i="1"/>
  <c r="H486" i="1"/>
  <c r="K486" i="1" s="1"/>
  <c r="N485" i="1"/>
  <c r="I485" i="1"/>
  <c r="H485" i="1"/>
  <c r="K485" i="1" s="1"/>
  <c r="N484" i="1"/>
  <c r="I484" i="1"/>
  <c r="H484" i="1"/>
  <c r="K484" i="1" s="1"/>
  <c r="N483" i="1"/>
  <c r="I483" i="1"/>
  <c r="H483" i="1"/>
  <c r="K483" i="1" s="1"/>
  <c r="N482" i="1"/>
  <c r="I482" i="1"/>
  <c r="H482" i="1"/>
  <c r="K482" i="1" s="1"/>
  <c r="N481" i="1"/>
  <c r="I481" i="1"/>
  <c r="H481" i="1"/>
  <c r="K481" i="1" s="1"/>
  <c r="N480" i="1"/>
  <c r="I480" i="1"/>
  <c r="H480" i="1"/>
  <c r="K480" i="1" s="1"/>
  <c r="N479" i="1"/>
  <c r="I479" i="1"/>
  <c r="H479" i="1"/>
  <c r="K479" i="1" s="1"/>
  <c r="N478" i="1"/>
  <c r="I478" i="1"/>
  <c r="H478" i="1"/>
  <c r="K478" i="1" s="1"/>
  <c r="N477" i="1"/>
  <c r="I477" i="1"/>
  <c r="H477" i="1"/>
  <c r="K477" i="1" s="1"/>
  <c r="N476" i="1"/>
  <c r="I476" i="1"/>
  <c r="H476" i="1"/>
  <c r="K476" i="1" s="1"/>
  <c r="N475" i="1"/>
  <c r="I475" i="1"/>
  <c r="H475" i="1"/>
  <c r="K475" i="1" s="1"/>
  <c r="N474" i="1"/>
  <c r="I474" i="1"/>
  <c r="H474" i="1"/>
  <c r="K474" i="1" s="1"/>
  <c r="N473" i="1"/>
  <c r="I473" i="1"/>
  <c r="H473" i="1"/>
  <c r="K473" i="1" s="1"/>
  <c r="N472" i="1"/>
  <c r="I472" i="1"/>
  <c r="H472" i="1"/>
  <c r="K472" i="1" s="1"/>
  <c r="N471" i="1"/>
  <c r="I471" i="1"/>
  <c r="H471" i="1"/>
  <c r="K471" i="1" s="1"/>
  <c r="N470" i="1"/>
  <c r="I470" i="1"/>
  <c r="H470" i="1"/>
  <c r="K470" i="1" s="1"/>
  <c r="N469" i="1"/>
  <c r="I469" i="1"/>
  <c r="H469" i="1"/>
  <c r="K469" i="1" s="1"/>
  <c r="N468" i="1"/>
  <c r="I468" i="1"/>
  <c r="H468" i="1"/>
  <c r="K468" i="1" s="1"/>
  <c r="N467" i="1"/>
  <c r="I467" i="1"/>
  <c r="H467" i="1"/>
  <c r="K467" i="1" s="1"/>
  <c r="N466" i="1"/>
  <c r="I466" i="1"/>
  <c r="H466" i="1"/>
  <c r="K466" i="1" s="1"/>
  <c r="N465" i="1"/>
  <c r="I465" i="1"/>
  <c r="H465" i="1"/>
  <c r="K465" i="1" s="1"/>
  <c r="N464" i="1"/>
  <c r="I464" i="1"/>
  <c r="H464" i="1"/>
  <c r="N463" i="1"/>
  <c r="I463" i="1"/>
  <c r="H463" i="1"/>
  <c r="K463" i="1" s="1"/>
  <c r="N462" i="1"/>
  <c r="I462" i="1"/>
  <c r="H462" i="1"/>
  <c r="K462" i="1" s="1"/>
  <c r="N461" i="1"/>
  <c r="I461" i="1"/>
  <c r="H461" i="1"/>
  <c r="K461" i="1" s="1"/>
  <c r="N460" i="1"/>
  <c r="I460" i="1"/>
  <c r="H460" i="1"/>
  <c r="K460" i="1" s="1"/>
  <c r="N459" i="1"/>
  <c r="I459" i="1"/>
  <c r="H459" i="1"/>
  <c r="K459" i="1" s="1"/>
  <c r="N458" i="1"/>
  <c r="I458" i="1"/>
  <c r="H458" i="1"/>
  <c r="K458" i="1" s="1"/>
  <c r="N457" i="1"/>
  <c r="I457" i="1"/>
  <c r="H457" i="1"/>
  <c r="K457" i="1" s="1"/>
  <c r="N456" i="1"/>
  <c r="I456" i="1"/>
  <c r="H456" i="1"/>
  <c r="K456" i="1" s="1"/>
  <c r="N455" i="1"/>
  <c r="I455" i="1"/>
  <c r="H455" i="1"/>
  <c r="K455" i="1" s="1"/>
  <c r="N454" i="1"/>
  <c r="I454" i="1"/>
  <c r="H454" i="1"/>
  <c r="K454" i="1" s="1"/>
  <c r="N453" i="1"/>
  <c r="I453" i="1"/>
  <c r="H453" i="1"/>
  <c r="K453" i="1" s="1"/>
  <c r="N452" i="1"/>
  <c r="I452" i="1"/>
  <c r="H452" i="1"/>
  <c r="K452" i="1" s="1"/>
  <c r="N451" i="1"/>
  <c r="I451" i="1"/>
  <c r="H451" i="1"/>
  <c r="K451" i="1" s="1"/>
  <c r="N450" i="1"/>
  <c r="I450" i="1"/>
  <c r="H450" i="1"/>
  <c r="K450" i="1" s="1"/>
  <c r="N449" i="1"/>
  <c r="I449" i="1"/>
  <c r="H449" i="1"/>
  <c r="K449" i="1" s="1"/>
  <c r="N448" i="1"/>
  <c r="I448" i="1"/>
  <c r="H448" i="1"/>
  <c r="K448" i="1" s="1"/>
  <c r="N447" i="1"/>
  <c r="I447" i="1"/>
  <c r="H447" i="1"/>
  <c r="K447" i="1" s="1"/>
  <c r="N446" i="1"/>
  <c r="I446" i="1"/>
  <c r="H446" i="1"/>
  <c r="K446" i="1" s="1"/>
  <c r="N445" i="1"/>
  <c r="I445" i="1"/>
  <c r="H445" i="1"/>
  <c r="K445" i="1" s="1"/>
  <c r="N444" i="1"/>
  <c r="I444" i="1"/>
  <c r="H444" i="1"/>
  <c r="K444" i="1" s="1"/>
  <c r="N443" i="1"/>
  <c r="I443" i="1"/>
  <c r="H443" i="1"/>
  <c r="K443" i="1" s="1"/>
  <c r="N442" i="1"/>
  <c r="I442" i="1"/>
  <c r="H442" i="1"/>
  <c r="K442" i="1" s="1"/>
  <c r="N441" i="1"/>
  <c r="I441" i="1"/>
  <c r="H441" i="1"/>
  <c r="K441" i="1" s="1"/>
  <c r="N440" i="1"/>
  <c r="I440" i="1"/>
  <c r="H440" i="1"/>
  <c r="K440" i="1" s="1"/>
  <c r="N439" i="1"/>
  <c r="I439" i="1"/>
  <c r="H439" i="1"/>
  <c r="K439" i="1" s="1"/>
  <c r="N438" i="1"/>
  <c r="I438" i="1"/>
  <c r="H438" i="1"/>
  <c r="K438" i="1" s="1"/>
  <c r="R437" i="1"/>
  <c r="N437" i="1"/>
  <c r="O437" i="1" s="1"/>
  <c r="I437" i="1"/>
  <c r="H437" i="1"/>
  <c r="K437" i="1" s="1"/>
  <c r="N436" i="1"/>
  <c r="I436" i="1"/>
  <c r="H436" i="1"/>
  <c r="K436" i="1" s="1"/>
  <c r="N435" i="1"/>
  <c r="I435" i="1"/>
  <c r="H435" i="1"/>
  <c r="K435" i="1" s="1"/>
  <c r="N434" i="1"/>
  <c r="I434" i="1"/>
  <c r="H434" i="1"/>
  <c r="K434" i="1" s="1"/>
  <c r="N433" i="1"/>
  <c r="I433" i="1"/>
  <c r="H433" i="1"/>
  <c r="K433" i="1" s="1"/>
  <c r="R432" i="1"/>
  <c r="N432" i="1"/>
  <c r="O432" i="1" s="1"/>
  <c r="I432" i="1"/>
  <c r="H432" i="1"/>
  <c r="K432" i="1" s="1"/>
  <c r="N431" i="1"/>
  <c r="I431" i="1"/>
  <c r="H431" i="1"/>
  <c r="K431" i="1" s="1"/>
  <c r="N430" i="1"/>
  <c r="I430" i="1"/>
  <c r="H430" i="1"/>
  <c r="K430" i="1" s="1"/>
  <c r="R429" i="1"/>
  <c r="N429" i="1"/>
  <c r="O429" i="1" s="1"/>
  <c r="I429" i="1"/>
  <c r="H429" i="1"/>
  <c r="K429" i="1" s="1"/>
  <c r="N428" i="1"/>
  <c r="I428" i="1"/>
  <c r="H428" i="1"/>
  <c r="K428" i="1" s="1"/>
  <c r="N427" i="1"/>
  <c r="I427" i="1"/>
  <c r="H427" i="1"/>
  <c r="K427" i="1" s="1"/>
  <c r="R426" i="1"/>
  <c r="N426" i="1"/>
  <c r="O426" i="1" s="1"/>
  <c r="I426" i="1"/>
  <c r="H426" i="1"/>
  <c r="K426" i="1" s="1"/>
  <c r="R425" i="1"/>
  <c r="N425" i="1"/>
  <c r="O425" i="1" s="1"/>
  <c r="I425" i="1"/>
  <c r="H425" i="1"/>
  <c r="K425" i="1" s="1"/>
  <c r="R424" i="1"/>
  <c r="N424" i="1"/>
  <c r="O424" i="1" s="1"/>
  <c r="I424" i="1"/>
  <c r="H424" i="1"/>
  <c r="K424" i="1" s="1"/>
  <c r="R423" i="1"/>
  <c r="N423" i="1"/>
  <c r="O423" i="1" s="1"/>
  <c r="I423" i="1"/>
  <c r="H423" i="1"/>
  <c r="K423" i="1" s="1"/>
  <c r="R422" i="1"/>
  <c r="N422" i="1"/>
  <c r="O422" i="1" s="1"/>
  <c r="I422" i="1"/>
  <c r="H422" i="1"/>
  <c r="K422" i="1" s="1"/>
  <c r="R421" i="1"/>
  <c r="N421" i="1"/>
  <c r="O421" i="1" s="1"/>
  <c r="I421" i="1"/>
  <c r="H421" i="1"/>
  <c r="K421" i="1" s="1"/>
  <c r="N420" i="1"/>
  <c r="I420" i="1"/>
  <c r="H420" i="1"/>
  <c r="K420" i="1" s="1"/>
  <c r="R419" i="1"/>
  <c r="N419" i="1"/>
  <c r="O419" i="1" s="1"/>
  <c r="I419" i="1"/>
  <c r="H419" i="1"/>
  <c r="K419" i="1" s="1"/>
  <c r="R418" i="1"/>
  <c r="N418" i="1"/>
  <c r="O418" i="1" s="1"/>
  <c r="I418" i="1"/>
  <c r="H418" i="1"/>
  <c r="K418" i="1" s="1"/>
  <c r="N417" i="1"/>
  <c r="I417" i="1"/>
  <c r="H417" i="1"/>
  <c r="K417" i="1" s="1"/>
  <c r="R416" i="1"/>
  <c r="N416" i="1"/>
  <c r="O416" i="1" s="1"/>
  <c r="I416" i="1"/>
  <c r="H416" i="1"/>
  <c r="K416" i="1" s="1"/>
  <c r="N415" i="1"/>
  <c r="I415" i="1"/>
  <c r="H415" i="1"/>
  <c r="K415" i="1" s="1"/>
  <c r="R414" i="1"/>
  <c r="N414" i="1"/>
  <c r="O414" i="1" s="1"/>
  <c r="I414" i="1"/>
  <c r="H414" i="1"/>
  <c r="K414" i="1" s="1"/>
  <c r="R413" i="1"/>
  <c r="N413" i="1"/>
  <c r="O413" i="1" s="1"/>
  <c r="I413" i="1"/>
  <c r="H413" i="1"/>
  <c r="K413" i="1" s="1"/>
  <c r="N412" i="1"/>
  <c r="I412" i="1"/>
  <c r="H412" i="1"/>
  <c r="K412" i="1" s="1"/>
  <c r="R411" i="1"/>
  <c r="N411" i="1"/>
  <c r="O411" i="1" s="1"/>
  <c r="I411" i="1"/>
  <c r="H411" i="1"/>
  <c r="K411" i="1" s="1"/>
  <c r="R410" i="1"/>
  <c r="N410" i="1"/>
  <c r="O410" i="1" s="1"/>
  <c r="I410" i="1"/>
  <c r="H410" i="1"/>
  <c r="K410" i="1" s="1"/>
  <c r="R409" i="1"/>
  <c r="N409" i="1"/>
  <c r="O409" i="1" s="1"/>
  <c r="I409" i="1"/>
  <c r="H409" i="1"/>
  <c r="K409" i="1" s="1"/>
  <c r="R408" i="1"/>
  <c r="N408" i="1"/>
  <c r="O408" i="1" s="1"/>
  <c r="I408" i="1"/>
  <c r="H408" i="1"/>
  <c r="K408" i="1" s="1"/>
  <c r="N407" i="1"/>
  <c r="I407" i="1"/>
  <c r="H407" i="1"/>
  <c r="K407" i="1" s="1"/>
  <c r="R406" i="1"/>
  <c r="N406" i="1"/>
  <c r="O406" i="1" s="1"/>
  <c r="I406" i="1"/>
  <c r="H406" i="1"/>
  <c r="K406" i="1" s="1"/>
  <c r="N405" i="1"/>
  <c r="I405" i="1"/>
  <c r="H405" i="1"/>
  <c r="K405" i="1" s="1"/>
  <c r="R404" i="1"/>
  <c r="N404" i="1"/>
  <c r="O404" i="1" s="1"/>
  <c r="I404" i="1"/>
  <c r="H404" i="1"/>
  <c r="K404" i="1" s="1"/>
  <c r="R403" i="1"/>
  <c r="N403" i="1"/>
  <c r="O403" i="1" s="1"/>
  <c r="I403" i="1"/>
  <c r="H403" i="1"/>
  <c r="K403" i="1" s="1"/>
  <c r="N402" i="1"/>
  <c r="I402" i="1"/>
  <c r="H402" i="1"/>
  <c r="K402" i="1" s="1"/>
  <c r="R401" i="1"/>
  <c r="N401" i="1"/>
  <c r="O401" i="1" s="1"/>
  <c r="I401" i="1"/>
  <c r="H401" i="1"/>
  <c r="K401" i="1" s="1"/>
  <c r="N400" i="1"/>
  <c r="I400" i="1"/>
  <c r="H400" i="1"/>
  <c r="K400" i="1" s="1"/>
  <c r="N399" i="1"/>
  <c r="I399" i="1"/>
  <c r="H399" i="1"/>
  <c r="K399" i="1" s="1"/>
  <c r="N398" i="1"/>
  <c r="I398" i="1"/>
  <c r="H398" i="1"/>
  <c r="K398" i="1" s="1"/>
  <c r="R397" i="1"/>
  <c r="N397" i="1"/>
  <c r="O397" i="1" s="1"/>
  <c r="I397" i="1"/>
  <c r="H397" i="1"/>
  <c r="K397" i="1" s="1"/>
  <c r="N396" i="1"/>
  <c r="I396" i="1"/>
  <c r="H396" i="1"/>
  <c r="K396" i="1" s="1"/>
  <c r="R395" i="1"/>
  <c r="N395" i="1"/>
  <c r="O395" i="1" s="1"/>
  <c r="I395" i="1"/>
  <c r="H395" i="1"/>
  <c r="K395" i="1" s="1"/>
  <c r="R394" i="1"/>
  <c r="N394" i="1"/>
  <c r="O394" i="1" s="1"/>
  <c r="I394" i="1"/>
  <c r="H394" i="1"/>
  <c r="K394" i="1" s="1"/>
  <c r="R393" i="1"/>
  <c r="N393" i="1"/>
  <c r="O393" i="1" s="1"/>
  <c r="I393" i="1"/>
  <c r="H393" i="1"/>
  <c r="K393" i="1" s="1"/>
  <c r="R392" i="1"/>
  <c r="N392" i="1"/>
  <c r="O392" i="1" s="1"/>
  <c r="I392" i="1"/>
  <c r="H392" i="1"/>
  <c r="K392" i="1" s="1"/>
  <c r="N391" i="1"/>
  <c r="I391" i="1"/>
  <c r="H391" i="1"/>
  <c r="K391" i="1" s="1"/>
  <c r="R390" i="1"/>
  <c r="N390" i="1"/>
  <c r="O390" i="1" s="1"/>
  <c r="I390" i="1"/>
  <c r="H390" i="1"/>
  <c r="K390" i="1" s="1"/>
  <c r="N389" i="1"/>
  <c r="I389" i="1"/>
  <c r="H389" i="1"/>
  <c r="K389" i="1" s="1"/>
  <c r="R388" i="1"/>
  <c r="N388" i="1"/>
  <c r="O388" i="1" s="1"/>
  <c r="I388" i="1"/>
  <c r="H388" i="1"/>
  <c r="K388" i="1" s="1"/>
  <c r="R387" i="1"/>
  <c r="N387" i="1"/>
  <c r="O387" i="1" s="1"/>
  <c r="I387" i="1"/>
  <c r="H387" i="1"/>
  <c r="K387" i="1" s="1"/>
  <c r="R386" i="1"/>
  <c r="N386" i="1"/>
  <c r="O386" i="1" s="1"/>
  <c r="I386" i="1"/>
  <c r="H386" i="1"/>
  <c r="K386" i="1" s="1"/>
  <c r="N385" i="1"/>
  <c r="I385" i="1"/>
  <c r="H385" i="1"/>
  <c r="K385" i="1" s="1"/>
  <c r="R384" i="1"/>
  <c r="N384" i="1"/>
  <c r="O384" i="1" s="1"/>
  <c r="I384" i="1"/>
  <c r="H384" i="1"/>
  <c r="K384" i="1" s="1"/>
  <c r="R383" i="1"/>
  <c r="N383" i="1"/>
  <c r="O383" i="1" s="1"/>
  <c r="I383" i="1"/>
  <c r="H383" i="1"/>
  <c r="K383" i="1" s="1"/>
  <c r="R382" i="1"/>
  <c r="N382" i="1"/>
  <c r="O382" i="1" s="1"/>
  <c r="I382" i="1"/>
  <c r="H382" i="1"/>
  <c r="K382" i="1" s="1"/>
  <c r="N381" i="1"/>
  <c r="I381" i="1"/>
  <c r="H381" i="1"/>
  <c r="K381" i="1" s="1"/>
  <c r="N380" i="1"/>
  <c r="I380" i="1"/>
  <c r="H380" i="1"/>
  <c r="K380" i="1" s="1"/>
  <c r="R379" i="1"/>
  <c r="N379" i="1"/>
  <c r="O379" i="1" s="1"/>
  <c r="I379" i="1"/>
  <c r="H379" i="1"/>
  <c r="K379" i="1" s="1"/>
  <c r="R378" i="1"/>
  <c r="N378" i="1"/>
  <c r="O378" i="1" s="1"/>
  <c r="I378" i="1"/>
  <c r="H378" i="1"/>
  <c r="K378" i="1" s="1"/>
  <c r="R377" i="1"/>
  <c r="N377" i="1"/>
  <c r="O377" i="1" s="1"/>
  <c r="I377" i="1"/>
  <c r="H377" i="1"/>
  <c r="K377" i="1" s="1"/>
  <c r="N376" i="1"/>
  <c r="I376" i="1"/>
  <c r="H376" i="1"/>
  <c r="K376" i="1" s="1"/>
  <c r="R375" i="1"/>
  <c r="N375" i="1"/>
  <c r="O375" i="1" s="1"/>
  <c r="I375" i="1"/>
  <c r="H375" i="1"/>
  <c r="K375" i="1" s="1"/>
  <c r="R374" i="1"/>
  <c r="N374" i="1"/>
  <c r="O374" i="1" s="1"/>
  <c r="I374" i="1"/>
  <c r="H374" i="1"/>
  <c r="K374" i="1" s="1"/>
  <c r="N373" i="1"/>
  <c r="I373" i="1"/>
  <c r="H373" i="1"/>
  <c r="K373" i="1" s="1"/>
  <c r="R372" i="1"/>
  <c r="N372" i="1"/>
  <c r="O372" i="1" s="1"/>
  <c r="I372" i="1"/>
  <c r="H372" i="1"/>
  <c r="K372" i="1" s="1"/>
  <c r="R371" i="1"/>
  <c r="N371" i="1"/>
  <c r="O371" i="1" s="1"/>
  <c r="I371" i="1"/>
  <c r="H371" i="1"/>
  <c r="K371" i="1" s="1"/>
  <c r="N370" i="1"/>
  <c r="I370" i="1"/>
  <c r="H370" i="1"/>
  <c r="K370" i="1" s="1"/>
  <c r="N369" i="1"/>
  <c r="I369" i="1"/>
  <c r="H369" i="1"/>
  <c r="K369" i="1" s="1"/>
  <c r="N368" i="1"/>
  <c r="I368" i="1"/>
  <c r="H368" i="1"/>
  <c r="K368" i="1" s="1"/>
  <c r="R367" i="1"/>
  <c r="N367" i="1"/>
  <c r="O367" i="1" s="1"/>
  <c r="I367" i="1"/>
  <c r="H367" i="1"/>
  <c r="K367" i="1" s="1"/>
  <c r="R366" i="1"/>
  <c r="N366" i="1"/>
  <c r="O366" i="1" s="1"/>
  <c r="I366" i="1"/>
  <c r="H366" i="1"/>
  <c r="K366" i="1" s="1"/>
  <c r="R365" i="1"/>
  <c r="N365" i="1"/>
  <c r="O365" i="1" s="1"/>
  <c r="I365" i="1"/>
  <c r="H365" i="1"/>
  <c r="K365" i="1" s="1"/>
  <c r="N364" i="1"/>
  <c r="I364" i="1"/>
  <c r="H364" i="1"/>
  <c r="K364" i="1" s="1"/>
  <c r="R363" i="1"/>
  <c r="N363" i="1"/>
  <c r="O363" i="1" s="1"/>
  <c r="I363" i="1"/>
  <c r="H363" i="1"/>
  <c r="K363" i="1" s="1"/>
  <c r="N362" i="1"/>
  <c r="I362" i="1"/>
  <c r="H362" i="1"/>
  <c r="K362" i="1" s="1"/>
  <c r="N361" i="1"/>
  <c r="I361" i="1"/>
  <c r="H361" i="1"/>
  <c r="K361" i="1" s="1"/>
  <c r="R360" i="1"/>
  <c r="N360" i="1"/>
  <c r="O360" i="1" s="1"/>
  <c r="I360" i="1"/>
  <c r="H360" i="1"/>
  <c r="K360" i="1" s="1"/>
  <c r="N359" i="1"/>
  <c r="I359" i="1"/>
  <c r="H359" i="1"/>
  <c r="K359" i="1" s="1"/>
  <c r="N358" i="1"/>
  <c r="I358" i="1"/>
  <c r="H358" i="1"/>
  <c r="K358" i="1" s="1"/>
  <c r="N357" i="1"/>
  <c r="I357" i="1"/>
  <c r="H357" i="1"/>
  <c r="K357" i="1" s="1"/>
  <c r="N356" i="1"/>
  <c r="I356" i="1"/>
  <c r="H356" i="1"/>
  <c r="K356" i="1" s="1"/>
  <c r="N355" i="1"/>
  <c r="I355" i="1"/>
  <c r="H355" i="1"/>
  <c r="K355" i="1" s="1"/>
  <c r="N354" i="1"/>
  <c r="I354" i="1"/>
  <c r="H354" i="1"/>
  <c r="K354" i="1" s="1"/>
  <c r="N353" i="1"/>
  <c r="I353" i="1"/>
  <c r="H353" i="1"/>
  <c r="K353" i="1" s="1"/>
  <c r="N352" i="1"/>
  <c r="I352" i="1"/>
  <c r="H352" i="1"/>
  <c r="K352" i="1" s="1"/>
  <c r="N351" i="1"/>
  <c r="I351" i="1"/>
  <c r="H351" i="1"/>
  <c r="K351" i="1" s="1"/>
  <c r="N350" i="1"/>
  <c r="I350" i="1"/>
  <c r="H350" i="1"/>
  <c r="K350" i="1" s="1"/>
  <c r="N349" i="1"/>
  <c r="I349" i="1"/>
  <c r="H349" i="1"/>
  <c r="K349" i="1" s="1"/>
  <c r="N348" i="1"/>
  <c r="I348" i="1"/>
  <c r="H348" i="1"/>
  <c r="K348" i="1" s="1"/>
  <c r="N347" i="1"/>
  <c r="I347" i="1"/>
  <c r="H347" i="1"/>
  <c r="K347" i="1" s="1"/>
  <c r="N346" i="1"/>
  <c r="I346" i="1"/>
  <c r="H346" i="1"/>
  <c r="K346" i="1" s="1"/>
  <c r="N345" i="1"/>
  <c r="I345" i="1"/>
  <c r="H345" i="1"/>
  <c r="K345" i="1" s="1"/>
  <c r="N344" i="1"/>
  <c r="I344" i="1"/>
  <c r="H344" i="1"/>
  <c r="K344" i="1" s="1"/>
  <c r="N343" i="1"/>
  <c r="I343" i="1"/>
  <c r="H343" i="1"/>
  <c r="K343" i="1" s="1"/>
  <c r="N342" i="1"/>
  <c r="I342" i="1"/>
  <c r="H342" i="1"/>
  <c r="K342" i="1" s="1"/>
  <c r="N341" i="1"/>
  <c r="I341" i="1"/>
  <c r="H341" i="1"/>
  <c r="K341" i="1" s="1"/>
  <c r="N340" i="1"/>
  <c r="I340" i="1"/>
  <c r="H340" i="1"/>
  <c r="K340" i="1" s="1"/>
  <c r="N339" i="1"/>
  <c r="I339" i="1"/>
  <c r="H339" i="1"/>
  <c r="K339" i="1" s="1"/>
  <c r="N338" i="1"/>
  <c r="I338" i="1"/>
  <c r="H338" i="1"/>
  <c r="K338" i="1" s="1"/>
  <c r="N337" i="1"/>
  <c r="I337" i="1"/>
  <c r="H337" i="1"/>
  <c r="K337" i="1" s="1"/>
  <c r="N336" i="1"/>
  <c r="I336" i="1"/>
  <c r="H336" i="1"/>
  <c r="K336" i="1" s="1"/>
  <c r="N335" i="1"/>
  <c r="I335" i="1"/>
  <c r="H335" i="1"/>
  <c r="K335" i="1" s="1"/>
  <c r="N334" i="1"/>
  <c r="I334" i="1"/>
  <c r="H334" i="1"/>
  <c r="K334" i="1" s="1"/>
  <c r="N333" i="1"/>
  <c r="I333" i="1"/>
  <c r="H333" i="1"/>
  <c r="K333" i="1" s="1"/>
  <c r="N332" i="1"/>
  <c r="I332" i="1"/>
  <c r="H332" i="1"/>
  <c r="K332" i="1" s="1"/>
  <c r="N331" i="1"/>
  <c r="I331" i="1"/>
  <c r="H331" i="1"/>
  <c r="K331" i="1" s="1"/>
  <c r="N330" i="1"/>
  <c r="I330" i="1"/>
  <c r="H330" i="1"/>
  <c r="K330" i="1" s="1"/>
  <c r="N329" i="1"/>
  <c r="I329" i="1"/>
  <c r="H329" i="1"/>
  <c r="K329" i="1" s="1"/>
  <c r="N328" i="1"/>
  <c r="I328" i="1"/>
  <c r="H328" i="1"/>
  <c r="K328" i="1" s="1"/>
  <c r="N327" i="1"/>
  <c r="I327" i="1"/>
  <c r="H327" i="1"/>
  <c r="K327" i="1" s="1"/>
  <c r="N326" i="1"/>
  <c r="I326" i="1"/>
  <c r="H326" i="1"/>
  <c r="K326" i="1" s="1"/>
  <c r="N325" i="1"/>
  <c r="I325" i="1"/>
  <c r="H325" i="1"/>
  <c r="K325" i="1" s="1"/>
  <c r="N324" i="1"/>
  <c r="I324" i="1"/>
  <c r="H324" i="1"/>
  <c r="K324" i="1" s="1"/>
  <c r="N323" i="1"/>
  <c r="I323" i="1"/>
  <c r="H323" i="1"/>
  <c r="K323" i="1" s="1"/>
  <c r="N322" i="1"/>
  <c r="I322" i="1"/>
  <c r="H322" i="1"/>
  <c r="K322" i="1" s="1"/>
  <c r="N321" i="1"/>
  <c r="I321" i="1"/>
  <c r="H321" i="1"/>
  <c r="K321" i="1" s="1"/>
  <c r="N320" i="1"/>
  <c r="I320" i="1"/>
  <c r="H320" i="1"/>
  <c r="K320" i="1" s="1"/>
  <c r="N319" i="1"/>
  <c r="I319" i="1"/>
  <c r="H319" i="1"/>
  <c r="K319" i="1" s="1"/>
  <c r="N318" i="1"/>
  <c r="I318" i="1"/>
  <c r="H318" i="1"/>
  <c r="K318" i="1" s="1"/>
  <c r="N317" i="1"/>
  <c r="I317" i="1"/>
  <c r="H317" i="1"/>
  <c r="K317" i="1" s="1"/>
  <c r="N316" i="1"/>
  <c r="I316" i="1"/>
  <c r="H316" i="1"/>
  <c r="K316" i="1" s="1"/>
  <c r="N315" i="1"/>
  <c r="I315" i="1"/>
  <c r="H315" i="1"/>
  <c r="K315" i="1" s="1"/>
  <c r="N314" i="1"/>
  <c r="I314" i="1"/>
  <c r="H314" i="1"/>
  <c r="K314" i="1" s="1"/>
  <c r="N313" i="1"/>
  <c r="I313" i="1"/>
  <c r="H313" i="1"/>
  <c r="K313" i="1" s="1"/>
  <c r="N312" i="1"/>
  <c r="I312" i="1"/>
  <c r="H312" i="1"/>
  <c r="K312" i="1" s="1"/>
  <c r="N311" i="1"/>
  <c r="I311" i="1"/>
  <c r="H311" i="1"/>
  <c r="K311" i="1" s="1"/>
  <c r="N310" i="1"/>
  <c r="I310" i="1"/>
  <c r="H310" i="1"/>
  <c r="K310" i="1" s="1"/>
  <c r="N309" i="1"/>
  <c r="I309" i="1"/>
  <c r="H309" i="1"/>
  <c r="K309" i="1" s="1"/>
  <c r="N308" i="1"/>
  <c r="I308" i="1"/>
  <c r="H308" i="1"/>
  <c r="K308" i="1" s="1"/>
  <c r="N307" i="1"/>
  <c r="I307" i="1"/>
  <c r="H307" i="1"/>
  <c r="K307" i="1" s="1"/>
  <c r="M306" i="1"/>
  <c r="N306" i="1" s="1"/>
  <c r="I306" i="1"/>
  <c r="H306" i="1"/>
  <c r="K306" i="1" s="1"/>
  <c r="M305" i="1"/>
  <c r="N305" i="1" s="1"/>
  <c r="I305" i="1"/>
  <c r="H305" i="1"/>
  <c r="K305" i="1" s="1"/>
  <c r="N304" i="1"/>
  <c r="I304" i="1"/>
  <c r="H304" i="1"/>
  <c r="K304" i="1" s="1"/>
  <c r="N303" i="1"/>
  <c r="I303" i="1"/>
  <c r="H303" i="1"/>
  <c r="K303" i="1" s="1"/>
  <c r="N302" i="1"/>
  <c r="I302" i="1"/>
  <c r="H302" i="1"/>
  <c r="K302" i="1" s="1"/>
  <c r="N301" i="1"/>
  <c r="I301" i="1"/>
  <c r="H301" i="1"/>
  <c r="K301" i="1" s="1"/>
  <c r="N300" i="1"/>
  <c r="I300" i="1"/>
  <c r="H300" i="1"/>
  <c r="K300" i="1" s="1"/>
  <c r="N299" i="1"/>
  <c r="I299" i="1"/>
  <c r="H299" i="1"/>
  <c r="K299" i="1" s="1"/>
  <c r="N298" i="1"/>
  <c r="I298" i="1"/>
  <c r="H298" i="1"/>
  <c r="K298" i="1" s="1"/>
  <c r="N297" i="1"/>
  <c r="I297" i="1"/>
  <c r="H297" i="1"/>
  <c r="K297" i="1" s="1"/>
  <c r="N296" i="1"/>
  <c r="I296" i="1"/>
  <c r="H296" i="1"/>
  <c r="K296" i="1" s="1"/>
  <c r="N295" i="1"/>
  <c r="I295" i="1"/>
  <c r="H295" i="1"/>
  <c r="K295" i="1" s="1"/>
  <c r="N294" i="1"/>
  <c r="I294" i="1"/>
  <c r="H294" i="1"/>
  <c r="K294" i="1" s="1"/>
  <c r="N293" i="1"/>
  <c r="I293" i="1"/>
  <c r="H293" i="1"/>
  <c r="K293" i="1" s="1"/>
  <c r="N292" i="1"/>
  <c r="I292" i="1"/>
  <c r="H292" i="1"/>
  <c r="K292" i="1" s="1"/>
  <c r="N291" i="1"/>
  <c r="I291" i="1"/>
  <c r="H291" i="1"/>
  <c r="K291" i="1" s="1"/>
  <c r="N290" i="1"/>
  <c r="I290" i="1"/>
  <c r="H290" i="1"/>
  <c r="K290" i="1" s="1"/>
  <c r="N289" i="1"/>
  <c r="I289" i="1"/>
  <c r="H289" i="1"/>
  <c r="K289" i="1" s="1"/>
  <c r="N288" i="1"/>
  <c r="I288" i="1"/>
  <c r="H288" i="1"/>
  <c r="K288" i="1" s="1"/>
  <c r="N287" i="1"/>
  <c r="I287" i="1"/>
  <c r="H287" i="1"/>
  <c r="K287" i="1" s="1"/>
  <c r="N286" i="1"/>
  <c r="I286" i="1"/>
  <c r="H286" i="1"/>
  <c r="K286" i="1" s="1"/>
  <c r="N285" i="1"/>
  <c r="I285" i="1"/>
  <c r="H285" i="1"/>
  <c r="K285" i="1" s="1"/>
  <c r="N284" i="1"/>
  <c r="I284" i="1"/>
  <c r="H284" i="1"/>
  <c r="K284" i="1" s="1"/>
  <c r="N283" i="1"/>
  <c r="I283" i="1"/>
  <c r="H283" i="1"/>
  <c r="K283" i="1" s="1"/>
  <c r="N282" i="1"/>
  <c r="I282" i="1"/>
  <c r="H282" i="1"/>
  <c r="K282" i="1" s="1"/>
  <c r="N281" i="1"/>
  <c r="I281" i="1"/>
  <c r="H281" i="1"/>
  <c r="K281" i="1" s="1"/>
  <c r="N280" i="1"/>
  <c r="I280" i="1"/>
  <c r="H280" i="1"/>
  <c r="K280" i="1" s="1"/>
  <c r="N279" i="1"/>
  <c r="I279" i="1"/>
  <c r="H279" i="1"/>
  <c r="K279" i="1" s="1"/>
  <c r="N278" i="1"/>
  <c r="I278" i="1"/>
  <c r="H278" i="1"/>
  <c r="K278" i="1" s="1"/>
  <c r="N277" i="1"/>
  <c r="I277" i="1"/>
  <c r="H277" i="1"/>
  <c r="K277" i="1" s="1"/>
  <c r="N276" i="1"/>
  <c r="I276" i="1"/>
  <c r="H276" i="1"/>
  <c r="K276" i="1" s="1"/>
  <c r="N275" i="1"/>
  <c r="I275" i="1"/>
  <c r="H275" i="1"/>
  <c r="K275" i="1" s="1"/>
  <c r="N274" i="1"/>
  <c r="I274" i="1"/>
  <c r="H274" i="1"/>
  <c r="K274" i="1" s="1"/>
  <c r="N273" i="1"/>
  <c r="I273" i="1"/>
  <c r="H273" i="1"/>
  <c r="K273" i="1" s="1"/>
  <c r="R272" i="1"/>
  <c r="O272" i="1"/>
  <c r="I272" i="1"/>
  <c r="H272" i="1"/>
  <c r="K272" i="1" s="1"/>
  <c r="N271" i="1"/>
  <c r="I271" i="1"/>
  <c r="H271" i="1"/>
  <c r="K271" i="1" s="1"/>
  <c r="N270" i="1"/>
  <c r="I270" i="1"/>
  <c r="H270" i="1"/>
  <c r="K270" i="1" s="1"/>
  <c r="N269" i="1"/>
  <c r="I269" i="1"/>
  <c r="H269" i="1"/>
  <c r="K269" i="1" s="1"/>
  <c r="N268" i="1"/>
  <c r="I268" i="1"/>
  <c r="H268" i="1"/>
  <c r="K268" i="1" s="1"/>
  <c r="N267" i="1"/>
  <c r="I267" i="1"/>
  <c r="H267" i="1"/>
  <c r="K267" i="1" s="1"/>
  <c r="N266" i="1"/>
  <c r="I266" i="1"/>
  <c r="H266" i="1"/>
  <c r="K266" i="1" s="1"/>
  <c r="N265" i="1"/>
  <c r="I265" i="1"/>
  <c r="H265" i="1"/>
  <c r="K265" i="1" s="1"/>
  <c r="N264" i="1"/>
  <c r="I264" i="1"/>
  <c r="H264" i="1"/>
  <c r="K264" i="1" s="1"/>
  <c r="N263" i="1"/>
  <c r="I263" i="1"/>
  <c r="H263" i="1"/>
  <c r="K263" i="1" s="1"/>
  <c r="N262" i="1"/>
  <c r="I262" i="1"/>
  <c r="H262" i="1"/>
  <c r="K262" i="1" s="1"/>
  <c r="N261" i="1"/>
  <c r="I261" i="1"/>
  <c r="H261" i="1"/>
  <c r="K261" i="1" s="1"/>
  <c r="N260" i="1"/>
  <c r="I260" i="1"/>
  <c r="H260" i="1"/>
  <c r="K260" i="1" s="1"/>
  <c r="N259" i="1"/>
  <c r="I259" i="1"/>
  <c r="H259" i="1"/>
  <c r="K259" i="1" s="1"/>
  <c r="N258" i="1"/>
  <c r="I258" i="1"/>
  <c r="H258" i="1"/>
  <c r="K258" i="1" s="1"/>
  <c r="N257" i="1"/>
  <c r="I257" i="1"/>
  <c r="H257" i="1"/>
  <c r="K257" i="1" s="1"/>
  <c r="N256" i="1"/>
  <c r="I256" i="1"/>
  <c r="H256" i="1"/>
  <c r="K256" i="1" s="1"/>
  <c r="N255" i="1"/>
  <c r="I255" i="1"/>
  <c r="H255" i="1"/>
  <c r="K255" i="1" s="1"/>
  <c r="N254" i="1"/>
  <c r="I254" i="1"/>
  <c r="H254" i="1"/>
  <c r="K254" i="1" s="1"/>
  <c r="N253" i="1"/>
  <c r="I253" i="1"/>
  <c r="H253" i="1"/>
  <c r="K253" i="1" s="1"/>
  <c r="N252" i="1"/>
  <c r="I252" i="1"/>
  <c r="H252" i="1"/>
  <c r="K252" i="1" s="1"/>
  <c r="N251" i="1"/>
  <c r="I251" i="1"/>
  <c r="H251" i="1"/>
  <c r="K251" i="1" s="1"/>
  <c r="N250" i="1"/>
  <c r="I250" i="1"/>
  <c r="H250" i="1"/>
  <c r="K250" i="1" s="1"/>
  <c r="N249" i="1"/>
  <c r="I249" i="1"/>
  <c r="H249" i="1"/>
  <c r="K249" i="1" s="1"/>
  <c r="R248" i="1"/>
  <c r="O248" i="1"/>
  <c r="I248" i="1"/>
  <c r="H248" i="1"/>
  <c r="K248" i="1" s="1"/>
  <c r="N247" i="1"/>
  <c r="I247" i="1"/>
  <c r="H247" i="1"/>
  <c r="K247" i="1" s="1"/>
  <c r="N246" i="1"/>
  <c r="I246" i="1"/>
  <c r="H246" i="1"/>
  <c r="K246" i="1" s="1"/>
  <c r="N245" i="1"/>
  <c r="I245" i="1"/>
  <c r="H245" i="1"/>
  <c r="K245" i="1" s="1"/>
  <c r="N244" i="1"/>
  <c r="I244" i="1"/>
  <c r="H244" i="1"/>
  <c r="K244" i="1" s="1"/>
  <c r="N243" i="1"/>
  <c r="I243" i="1"/>
  <c r="H243" i="1"/>
  <c r="K243" i="1" s="1"/>
  <c r="N242" i="1"/>
  <c r="I242" i="1"/>
  <c r="H242" i="1"/>
  <c r="K242" i="1" s="1"/>
  <c r="N241" i="1"/>
  <c r="I241" i="1"/>
  <c r="H241" i="1"/>
  <c r="K241" i="1" s="1"/>
  <c r="R240" i="1"/>
  <c r="O240" i="1"/>
  <c r="I240" i="1"/>
  <c r="H240" i="1"/>
  <c r="K240" i="1" s="1"/>
  <c r="N239" i="1"/>
  <c r="I239" i="1"/>
  <c r="H239" i="1"/>
  <c r="K239" i="1" s="1"/>
  <c r="N238" i="1"/>
  <c r="I238" i="1"/>
  <c r="H238" i="1"/>
  <c r="K238" i="1" s="1"/>
  <c r="N237" i="1"/>
  <c r="I237" i="1"/>
  <c r="H237" i="1"/>
  <c r="K237" i="1" s="1"/>
  <c r="N236" i="1"/>
  <c r="I236" i="1"/>
  <c r="H236" i="1"/>
  <c r="K236" i="1" s="1"/>
  <c r="N235" i="1"/>
  <c r="I235" i="1"/>
  <c r="H235" i="1"/>
  <c r="K235" i="1" s="1"/>
  <c r="N234" i="1"/>
  <c r="I234" i="1"/>
  <c r="H234" i="1"/>
  <c r="K234" i="1" s="1"/>
  <c r="N233" i="1"/>
  <c r="I233" i="1"/>
  <c r="H233" i="1"/>
  <c r="K233" i="1" s="1"/>
  <c r="N232" i="1"/>
  <c r="I232" i="1"/>
  <c r="H232" i="1"/>
  <c r="K232" i="1" s="1"/>
  <c r="N231" i="1"/>
  <c r="I231" i="1"/>
  <c r="H231" i="1"/>
  <c r="K231" i="1" s="1"/>
  <c r="N230" i="1"/>
  <c r="I230" i="1"/>
  <c r="H230" i="1"/>
  <c r="K230" i="1" s="1"/>
  <c r="N229" i="1"/>
  <c r="I229" i="1"/>
  <c r="H229" i="1"/>
  <c r="K229" i="1" s="1"/>
  <c r="N228" i="1"/>
  <c r="I228" i="1"/>
  <c r="H228" i="1"/>
  <c r="K228" i="1" s="1"/>
  <c r="N227" i="1"/>
  <c r="I227" i="1"/>
  <c r="H227" i="1"/>
  <c r="K227" i="1" s="1"/>
  <c r="N226" i="1"/>
  <c r="I226" i="1"/>
  <c r="H226" i="1"/>
  <c r="K226" i="1" s="1"/>
  <c r="N225" i="1"/>
  <c r="I225" i="1"/>
  <c r="H225" i="1"/>
  <c r="K225" i="1" s="1"/>
  <c r="N224" i="1"/>
  <c r="I224" i="1"/>
  <c r="H224" i="1"/>
  <c r="K224" i="1" s="1"/>
  <c r="N223" i="1"/>
  <c r="I223" i="1"/>
  <c r="H223" i="1"/>
  <c r="K223" i="1" s="1"/>
  <c r="N222" i="1"/>
  <c r="I222" i="1"/>
  <c r="H222" i="1"/>
  <c r="K222" i="1" s="1"/>
  <c r="L221" i="1"/>
  <c r="N221" i="1" s="1"/>
  <c r="J221" i="1"/>
  <c r="G221" i="1"/>
  <c r="F221" i="1"/>
  <c r="E221" i="1"/>
  <c r="H221" i="1" s="1"/>
  <c r="L220" i="1"/>
  <c r="N220" i="1" s="1"/>
  <c r="J220" i="1"/>
  <c r="G220" i="1"/>
  <c r="F220" i="1"/>
  <c r="E220" i="1"/>
  <c r="H220" i="1" s="1"/>
  <c r="N219" i="1"/>
  <c r="I219" i="1"/>
  <c r="H219" i="1"/>
  <c r="K219" i="1" s="1"/>
  <c r="N218" i="1"/>
  <c r="I218" i="1"/>
  <c r="H218" i="1"/>
  <c r="K218" i="1" s="1"/>
  <c r="N217" i="1"/>
  <c r="I217" i="1"/>
  <c r="H217" i="1"/>
  <c r="K217" i="1" s="1"/>
  <c r="N216" i="1"/>
  <c r="I216" i="1"/>
  <c r="H216" i="1"/>
  <c r="K216" i="1" s="1"/>
  <c r="N215" i="1"/>
  <c r="I215" i="1"/>
  <c r="H215" i="1"/>
  <c r="K215" i="1" s="1"/>
  <c r="N214" i="1"/>
  <c r="I214" i="1"/>
  <c r="H214" i="1"/>
  <c r="K214" i="1" s="1"/>
  <c r="N213" i="1"/>
  <c r="I213" i="1"/>
  <c r="H213" i="1"/>
  <c r="K213" i="1" s="1"/>
  <c r="N212" i="1"/>
  <c r="I212" i="1"/>
  <c r="H212" i="1"/>
  <c r="K212" i="1" s="1"/>
  <c r="N211" i="1"/>
  <c r="I211" i="1"/>
  <c r="H211" i="1"/>
  <c r="K211" i="1" s="1"/>
  <c r="N210" i="1"/>
  <c r="I210" i="1"/>
  <c r="H210" i="1"/>
  <c r="K210" i="1" s="1"/>
  <c r="N209" i="1"/>
  <c r="I209" i="1"/>
  <c r="H209" i="1"/>
  <c r="K209" i="1" s="1"/>
  <c r="N208" i="1"/>
  <c r="I208" i="1"/>
  <c r="H208" i="1"/>
  <c r="K208" i="1" s="1"/>
  <c r="M207" i="1"/>
  <c r="L207" i="1"/>
  <c r="N207" i="1" s="1"/>
  <c r="J207" i="1"/>
  <c r="G207" i="1"/>
  <c r="F207" i="1"/>
  <c r="E207" i="1"/>
  <c r="H207" i="1" s="1"/>
  <c r="M206" i="1"/>
  <c r="L206" i="1"/>
  <c r="N206" i="1" s="1"/>
  <c r="J206" i="1"/>
  <c r="G206" i="1"/>
  <c r="F206" i="1"/>
  <c r="E206" i="1"/>
  <c r="H206" i="1" s="1"/>
  <c r="N205" i="1"/>
  <c r="I205" i="1"/>
  <c r="H205" i="1"/>
  <c r="K205" i="1" s="1"/>
  <c r="N204" i="1"/>
  <c r="I204" i="1"/>
  <c r="H204" i="1"/>
  <c r="K204" i="1" s="1"/>
  <c r="N203" i="1"/>
  <c r="I203" i="1"/>
  <c r="H203" i="1"/>
  <c r="K203" i="1" s="1"/>
  <c r="N202" i="1"/>
  <c r="I202" i="1"/>
  <c r="H202" i="1"/>
  <c r="K202" i="1" s="1"/>
  <c r="N201" i="1"/>
  <c r="I201" i="1"/>
  <c r="H201" i="1"/>
  <c r="K201" i="1" s="1"/>
  <c r="N200" i="1"/>
  <c r="I200" i="1"/>
  <c r="H200" i="1"/>
  <c r="K200" i="1" s="1"/>
  <c r="N199" i="1"/>
  <c r="I199" i="1"/>
  <c r="H199" i="1"/>
  <c r="K199" i="1" s="1"/>
  <c r="N198" i="1"/>
  <c r="I198" i="1"/>
  <c r="H198" i="1"/>
  <c r="K198" i="1" s="1"/>
  <c r="N197" i="1"/>
  <c r="I197" i="1"/>
  <c r="H197" i="1"/>
  <c r="K197" i="1" s="1"/>
  <c r="N196" i="1"/>
  <c r="I196" i="1"/>
  <c r="H196" i="1"/>
  <c r="K196" i="1" s="1"/>
  <c r="N195" i="1"/>
  <c r="I195" i="1"/>
  <c r="H195" i="1"/>
  <c r="K195" i="1" s="1"/>
  <c r="N194" i="1"/>
  <c r="I194" i="1"/>
  <c r="H194" i="1"/>
  <c r="K194" i="1" s="1"/>
  <c r="N193" i="1"/>
  <c r="F193" i="1"/>
  <c r="E193" i="1"/>
  <c r="H193" i="1" s="1"/>
  <c r="L192" i="1"/>
  <c r="N192" i="1" s="1"/>
  <c r="F192" i="1"/>
  <c r="E192" i="1"/>
  <c r="H192" i="1" s="1"/>
  <c r="N191" i="1"/>
  <c r="I191" i="1"/>
  <c r="H191" i="1"/>
  <c r="K191" i="1" s="1"/>
  <c r="N190" i="1"/>
  <c r="I190" i="1"/>
  <c r="H190" i="1"/>
  <c r="K190" i="1" s="1"/>
  <c r="N189" i="1"/>
  <c r="I189" i="1"/>
  <c r="H189" i="1"/>
  <c r="K189" i="1" s="1"/>
  <c r="N188" i="1"/>
  <c r="I188" i="1"/>
  <c r="H188" i="1"/>
  <c r="K188" i="1" s="1"/>
  <c r="N187" i="1"/>
  <c r="I187" i="1"/>
  <c r="H187" i="1"/>
  <c r="K187" i="1" s="1"/>
  <c r="N186" i="1"/>
  <c r="I186" i="1"/>
  <c r="H186" i="1"/>
  <c r="K186" i="1" s="1"/>
  <c r="N185" i="1"/>
  <c r="I185" i="1"/>
  <c r="H185" i="1"/>
  <c r="K185" i="1" s="1"/>
  <c r="N184" i="1"/>
  <c r="I184" i="1"/>
  <c r="H184" i="1"/>
  <c r="K184" i="1" s="1"/>
  <c r="N183" i="1"/>
  <c r="I183" i="1"/>
  <c r="H183" i="1"/>
  <c r="K183" i="1" s="1"/>
  <c r="N182" i="1"/>
  <c r="I182" i="1"/>
  <c r="H182" i="1"/>
  <c r="K182" i="1" s="1"/>
  <c r="N181" i="1"/>
  <c r="I181" i="1"/>
  <c r="H181" i="1"/>
  <c r="K181" i="1" s="1"/>
  <c r="N180" i="1"/>
  <c r="I180" i="1"/>
  <c r="H180" i="1"/>
  <c r="K180" i="1" s="1"/>
  <c r="N179" i="1"/>
  <c r="F179" i="1"/>
  <c r="E179" i="1"/>
  <c r="H179" i="1" s="1"/>
  <c r="N178" i="1"/>
  <c r="F178" i="1"/>
  <c r="E178" i="1"/>
  <c r="H178" i="1" s="1"/>
  <c r="N177" i="1"/>
  <c r="I177" i="1"/>
  <c r="H177" i="1"/>
  <c r="K177" i="1" s="1"/>
  <c r="N176" i="1"/>
  <c r="I176" i="1"/>
  <c r="H176" i="1"/>
  <c r="K176" i="1" s="1"/>
  <c r="N175" i="1"/>
  <c r="I175" i="1"/>
  <c r="H175" i="1"/>
  <c r="K175" i="1" s="1"/>
  <c r="N174" i="1"/>
  <c r="I174" i="1"/>
  <c r="H174" i="1"/>
  <c r="K174" i="1" s="1"/>
  <c r="N173" i="1"/>
  <c r="I173" i="1"/>
  <c r="H173" i="1"/>
  <c r="K173" i="1" s="1"/>
  <c r="N172" i="1"/>
  <c r="I172" i="1"/>
  <c r="H172" i="1"/>
  <c r="K172" i="1" s="1"/>
  <c r="N171" i="1"/>
  <c r="I171" i="1"/>
  <c r="H171" i="1"/>
  <c r="K171" i="1" s="1"/>
  <c r="N170" i="1"/>
  <c r="I170" i="1"/>
  <c r="H170" i="1"/>
  <c r="K170" i="1" s="1"/>
  <c r="N169" i="1"/>
  <c r="I169" i="1"/>
  <c r="H169" i="1"/>
  <c r="K169" i="1" s="1"/>
  <c r="N168" i="1"/>
  <c r="I168" i="1"/>
  <c r="H168" i="1"/>
  <c r="K168" i="1" s="1"/>
  <c r="N167" i="1"/>
  <c r="I167" i="1"/>
  <c r="H167" i="1"/>
  <c r="K167" i="1" s="1"/>
  <c r="N166" i="1"/>
  <c r="I166" i="1"/>
  <c r="H166" i="1"/>
  <c r="K166" i="1" s="1"/>
  <c r="N165" i="1"/>
  <c r="I165" i="1"/>
  <c r="H165" i="1"/>
  <c r="K165" i="1" s="1"/>
  <c r="N164" i="1"/>
  <c r="I164" i="1"/>
  <c r="H164" i="1"/>
  <c r="K164" i="1" s="1"/>
  <c r="N163" i="1"/>
  <c r="I163" i="1"/>
  <c r="H163" i="1"/>
  <c r="K163" i="1" s="1"/>
  <c r="N162" i="1"/>
  <c r="I162" i="1"/>
  <c r="H162" i="1"/>
  <c r="K162" i="1" s="1"/>
  <c r="N161" i="1"/>
  <c r="I161" i="1"/>
  <c r="H161" i="1"/>
  <c r="K161" i="1" s="1"/>
  <c r="N160" i="1"/>
  <c r="I160" i="1"/>
  <c r="H160" i="1"/>
  <c r="K160" i="1" s="1"/>
  <c r="N159" i="1"/>
  <c r="I159" i="1"/>
  <c r="H159" i="1"/>
  <c r="K159" i="1" s="1"/>
  <c r="N158" i="1"/>
  <c r="I158" i="1"/>
  <c r="H158" i="1"/>
  <c r="K158" i="1" s="1"/>
  <c r="N157" i="1"/>
  <c r="I157" i="1"/>
  <c r="H157" i="1"/>
  <c r="K157" i="1" s="1"/>
  <c r="N156" i="1"/>
  <c r="I156" i="1"/>
  <c r="H156" i="1"/>
  <c r="K156" i="1" s="1"/>
  <c r="N155" i="1"/>
  <c r="I155" i="1"/>
  <c r="H155" i="1"/>
  <c r="K155" i="1" s="1"/>
  <c r="N154" i="1"/>
  <c r="I154" i="1"/>
  <c r="H154" i="1"/>
  <c r="K154" i="1" s="1"/>
  <c r="N153" i="1"/>
  <c r="I153" i="1"/>
  <c r="H153" i="1"/>
  <c r="K153" i="1" s="1"/>
  <c r="N152" i="1"/>
  <c r="I152" i="1"/>
  <c r="H152" i="1"/>
  <c r="K152" i="1" s="1"/>
  <c r="M150" i="1"/>
  <c r="L150" i="1"/>
  <c r="F150" i="1"/>
  <c r="E150" i="1"/>
  <c r="N149" i="1"/>
  <c r="I149" i="1"/>
  <c r="H149" i="1"/>
  <c r="K149" i="1" s="1"/>
  <c r="N148" i="1"/>
  <c r="I148" i="1"/>
  <c r="H148" i="1"/>
  <c r="K148" i="1" s="1"/>
  <c r="N147" i="1"/>
  <c r="I147" i="1"/>
  <c r="H147" i="1"/>
  <c r="K147" i="1" s="1"/>
  <c r="N146" i="1"/>
  <c r="I146" i="1"/>
  <c r="H146" i="1"/>
  <c r="K146" i="1" s="1"/>
  <c r="N145" i="1"/>
  <c r="I145" i="1"/>
  <c r="H145" i="1"/>
  <c r="K145" i="1" s="1"/>
  <c r="N144" i="1"/>
  <c r="I144" i="1"/>
  <c r="H144" i="1"/>
  <c r="K144" i="1" s="1"/>
  <c r="N143" i="1"/>
  <c r="I143" i="1"/>
  <c r="H143" i="1"/>
  <c r="K143" i="1" s="1"/>
  <c r="N142" i="1"/>
  <c r="I142" i="1"/>
  <c r="H142" i="1"/>
  <c r="K142" i="1" s="1"/>
  <c r="N141" i="1"/>
  <c r="I141" i="1"/>
  <c r="H141" i="1"/>
  <c r="K141" i="1" s="1"/>
  <c r="N140" i="1"/>
  <c r="I140" i="1"/>
  <c r="H140" i="1"/>
  <c r="K140" i="1" s="1"/>
  <c r="N139" i="1"/>
  <c r="I139" i="1"/>
  <c r="H139" i="1"/>
  <c r="K139" i="1" s="1"/>
  <c r="N138" i="1"/>
  <c r="I138" i="1"/>
  <c r="H138" i="1"/>
  <c r="K138" i="1" s="1"/>
  <c r="N137" i="1"/>
  <c r="I137" i="1"/>
  <c r="H137" i="1"/>
  <c r="K137" i="1" s="1"/>
  <c r="N136" i="1"/>
  <c r="I136" i="1"/>
  <c r="H136" i="1"/>
  <c r="K136" i="1" s="1"/>
  <c r="N135" i="1"/>
  <c r="I135" i="1"/>
  <c r="H135" i="1"/>
  <c r="K135" i="1" s="1"/>
  <c r="N134" i="1"/>
  <c r="I134" i="1"/>
  <c r="H134" i="1"/>
  <c r="K134" i="1" s="1"/>
  <c r="N133" i="1"/>
  <c r="I133" i="1"/>
  <c r="H133" i="1"/>
  <c r="K133" i="1" s="1"/>
  <c r="N132" i="1"/>
  <c r="I132" i="1"/>
  <c r="H132" i="1"/>
  <c r="K132" i="1" s="1"/>
  <c r="N131" i="1"/>
  <c r="I131" i="1"/>
  <c r="H131" i="1"/>
  <c r="K131" i="1" s="1"/>
  <c r="N130" i="1"/>
  <c r="I130" i="1"/>
  <c r="H130" i="1"/>
  <c r="K130" i="1" s="1"/>
  <c r="N129" i="1"/>
  <c r="I129" i="1"/>
  <c r="H129" i="1"/>
  <c r="K129" i="1" s="1"/>
  <c r="N128" i="1"/>
  <c r="I128" i="1"/>
  <c r="H128" i="1"/>
  <c r="K128" i="1" s="1"/>
  <c r="N127" i="1"/>
  <c r="I127" i="1"/>
  <c r="H127" i="1"/>
  <c r="K127" i="1" s="1"/>
  <c r="N126" i="1"/>
  <c r="I126" i="1"/>
  <c r="H126" i="1"/>
  <c r="K126" i="1" s="1"/>
  <c r="N125" i="1"/>
  <c r="I125" i="1"/>
  <c r="H125" i="1"/>
  <c r="K125" i="1" s="1"/>
  <c r="N124" i="1"/>
  <c r="I124" i="1"/>
  <c r="H124" i="1"/>
  <c r="K124" i="1" s="1"/>
  <c r="N123" i="1"/>
  <c r="I123" i="1"/>
  <c r="H123" i="1"/>
  <c r="K123" i="1" s="1"/>
  <c r="N122" i="1"/>
  <c r="I122" i="1"/>
  <c r="H122" i="1"/>
  <c r="K122" i="1" s="1"/>
  <c r="N121" i="1"/>
  <c r="I121" i="1"/>
  <c r="H121" i="1"/>
  <c r="K121" i="1" s="1"/>
  <c r="N120" i="1"/>
  <c r="I120" i="1"/>
  <c r="H120" i="1"/>
  <c r="K120" i="1" s="1"/>
  <c r="N119" i="1"/>
  <c r="I119" i="1"/>
  <c r="H119" i="1"/>
  <c r="K119" i="1" s="1"/>
  <c r="N118" i="1"/>
  <c r="I118" i="1"/>
  <c r="H118" i="1"/>
  <c r="K118" i="1" s="1"/>
  <c r="N117" i="1"/>
  <c r="I117" i="1"/>
  <c r="H117" i="1"/>
  <c r="K117" i="1" s="1"/>
  <c r="N116" i="1"/>
  <c r="I116" i="1"/>
  <c r="H116" i="1"/>
  <c r="K116" i="1" s="1"/>
  <c r="N115" i="1"/>
  <c r="I115" i="1"/>
  <c r="H115" i="1"/>
  <c r="K115" i="1" s="1"/>
  <c r="N114" i="1"/>
  <c r="I114" i="1"/>
  <c r="H114" i="1"/>
  <c r="K114" i="1" s="1"/>
  <c r="N113" i="1"/>
  <c r="I113" i="1"/>
  <c r="H113" i="1"/>
  <c r="K113" i="1" s="1"/>
  <c r="N112" i="1"/>
  <c r="I112" i="1"/>
  <c r="H112" i="1"/>
  <c r="K112" i="1" s="1"/>
  <c r="N111" i="1"/>
  <c r="I111" i="1"/>
  <c r="H111" i="1"/>
  <c r="K111" i="1" s="1"/>
  <c r="N110" i="1"/>
  <c r="I110" i="1"/>
  <c r="H110" i="1"/>
  <c r="K110" i="1" s="1"/>
  <c r="N109" i="1"/>
  <c r="I109" i="1"/>
  <c r="H109" i="1"/>
  <c r="K109" i="1" s="1"/>
  <c r="N108" i="1"/>
  <c r="I108" i="1"/>
  <c r="H108" i="1"/>
  <c r="K108" i="1" s="1"/>
  <c r="N107" i="1"/>
  <c r="I107" i="1"/>
  <c r="H107" i="1"/>
  <c r="K107" i="1" s="1"/>
  <c r="N106" i="1"/>
  <c r="I106" i="1"/>
  <c r="H106" i="1"/>
  <c r="K106" i="1" s="1"/>
  <c r="N105" i="1"/>
  <c r="I105" i="1"/>
  <c r="H105" i="1"/>
  <c r="K105" i="1" s="1"/>
  <c r="N104" i="1"/>
  <c r="H104" i="1"/>
  <c r="F104" i="1"/>
  <c r="N103" i="1"/>
  <c r="I103" i="1"/>
  <c r="H103" i="1"/>
  <c r="K103" i="1" s="1"/>
  <c r="N102" i="1"/>
  <c r="I102" i="1"/>
  <c r="H102" i="1"/>
  <c r="K102" i="1" s="1"/>
  <c r="N101" i="1"/>
  <c r="I101" i="1"/>
  <c r="H101" i="1"/>
  <c r="K101" i="1" s="1"/>
  <c r="N100" i="1"/>
  <c r="I100" i="1"/>
  <c r="H100" i="1"/>
  <c r="K100" i="1" s="1"/>
  <c r="N99" i="1"/>
  <c r="I99" i="1"/>
  <c r="H99" i="1"/>
  <c r="K99" i="1" s="1"/>
  <c r="N98" i="1"/>
  <c r="I98" i="1"/>
  <c r="H98" i="1"/>
  <c r="K98" i="1" s="1"/>
  <c r="N97" i="1"/>
  <c r="I97" i="1"/>
  <c r="H97" i="1"/>
  <c r="K97" i="1" s="1"/>
  <c r="N96" i="1"/>
  <c r="I96" i="1"/>
  <c r="H96" i="1"/>
  <c r="K96" i="1" s="1"/>
  <c r="N95" i="1"/>
  <c r="I95" i="1"/>
  <c r="H95" i="1"/>
  <c r="K95" i="1" s="1"/>
  <c r="N94" i="1"/>
  <c r="I94" i="1"/>
  <c r="H94" i="1"/>
  <c r="K94" i="1" s="1"/>
  <c r="N93" i="1"/>
  <c r="I93" i="1"/>
  <c r="H93" i="1"/>
  <c r="K93" i="1" s="1"/>
  <c r="N92" i="1"/>
  <c r="I92" i="1"/>
  <c r="H92" i="1"/>
  <c r="K92" i="1" s="1"/>
  <c r="N91" i="1"/>
  <c r="I91" i="1"/>
  <c r="H91" i="1"/>
  <c r="K91" i="1" s="1"/>
  <c r="N90" i="1"/>
  <c r="I90" i="1"/>
  <c r="H90" i="1"/>
  <c r="K90" i="1" s="1"/>
  <c r="N89" i="1"/>
  <c r="I89" i="1"/>
  <c r="H89" i="1"/>
  <c r="K89" i="1" s="1"/>
  <c r="N88" i="1"/>
  <c r="I88" i="1"/>
  <c r="H88" i="1"/>
  <c r="K88" i="1" s="1"/>
  <c r="N87" i="1"/>
  <c r="I87" i="1"/>
  <c r="H87" i="1"/>
  <c r="K87" i="1" s="1"/>
  <c r="N86" i="1"/>
  <c r="I86" i="1"/>
  <c r="H86" i="1"/>
  <c r="K86" i="1" s="1"/>
  <c r="N85" i="1"/>
  <c r="I85" i="1"/>
  <c r="H85" i="1"/>
  <c r="K85" i="1" s="1"/>
  <c r="N84" i="1"/>
  <c r="I84" i="1"/>
  <c r="H84" i="1"/>
  <c r="K84" i="1" s="1"/>
  <c r="N83" i="1"/>
  <c r="I83" i="1"/>
  <c r="H83" i="1"/>
  <c r="K83" i="1" s="1"/>
  <c r="N82" i="1"/>
  <c r="I82" i="1"/>
  <c r="H82" i="1"/>
  <c r="K82" i="1" s="1"/>
  <c r="N81" i="1"/>
  <c r="I81" i="1"/>
  <c r="H81" i="1"/>
  <c r="K81" i="1" s="1"/>
  <c r="N80" i="1"/>
  <c r="I80" i="1"/>
  <c r="H80" i="1"/>
  <c r="K80" i="1" s="1"/>
  <c r="N79" i="1"/>
  <c r="I79" i="1"/>
  <c r="H79" i="1"/>
  <c r="K79" i="1" s="1"/>
  <c r="N78" i="1"/>
  <c r="I78" i="1"/>
  <c r="H78" i="1"/>
  <c r="K78" i="1" s="1"/>
  <c r="N77" i="1"/>
  <c r="I77" i="1"/>
  <c r="H77" i="1"/>
  <c r="K77" i="1" s="1"/>
  <c r="N76" i="1"/>
  <c r="I76" i="1"/>
  <c r="H76" i="1"/>
  <c r="K76" i="1" s="1"/>
  <c r="N75" i="1"/>
  <c r="I75" i="1"/>
  <c r="H75" i="1"/>
  <c r="K75" i="1" s="1"/>
  <c r="N74" i="1"/>
  <c r="I74" i="1"/>
  <c r="H74" i="1"/>
  <c r="K74" i="1" s="1"/>
  <c r="N73" i="1"/>
  <c r="I73" i="1"/>
  <c r="H73" i="1"/>
  <c r="K73" i="1" s="1"/>
  <c r="N72" i="1"/>
  <c r="I72" i="1"/>
  <c r="H72" i="1"/>
  <c r="K72" i="1" s="1"/>
  <c r="N71" i="1"/>
  <c r="I71" i="1"/>
  <c r="H71" i="1"/>
  <c r="K71" i="1" s="1"/>
  <c r="N70" i="1"/>
  <c r="I70" i="1"/>
  <c r="H70" i="1"/>
  <c r="K70" i="1" s="1"/>
  <c r="N69" i="1"/>
  <c r="I69" i="1"/>
  <c r="H69" i="1"/>
  <c r="K69" i="1" s="1"/>
  <c r="N68" i="1"/>
  <c r="I68" i="1"/>
  <c r="H68" i="1"/>
  <c r="K68" i="1" s="1"/>
  <c r="N67" i="1"/>
  <c r="I67" i="1"/>
  <c r="H67" i="1"/>
  <c r="K67" i="1" s="1"/>
  <c r="N66" i="1"/>
  <c r="I66" i="1"/>
  <c r="H66" i="1"/>
  <c r="K66" i="1" s="1"/>
  <c r="N65" i="1"/>
  <c r="I65" i="1"/>
  <c r="H65" i="1"/>
  <c r="K65" i="1" s="1"/>
  <c r="N64" i="1"/>
  <c r="I64" i="1"/>
  <c r="H64" i="1"/>
  <c r="K64" i="1" s="1"/>
  <c r="N63" i="1"/>
  <c r="I63" i="1"/>
  <c r="H63" i="1"/>
  <c r="K63" i="1" s="1"/>
  <c r="N62" i="1"/>
  <c r="I62" i="1"/>
  <c r="H62" i="1"/>
  <c r="K62" i="1" s="1"/>
  <c r="N61" i="1"/>
  <c r="I61" i="1"/>
  <c r="H61" i="1"/>
  <c r="K61" i="1" s="1"/>
  <c r="N60" i="1"/>
  <c r="I60" i="1"/>
  <c r="H60" i="1"/>
  <c r="K60" i="1" s="1"/>
  <c r="N59" i="1"/>
  <c r="I59" i="1"/>
  <c r="H59" i="1"/>
  <c r="K59" i="1" s="1"/>
  <c r="N58" i="1"/>
  <c r="I58" i="1"/>
  <c r="H58" i="1"/>
  <c r="K58" i="1" s="1"/>
  <c r="N57" i="1"/>
  <c r="I57" i="1"/>
  <c r="H57" i="1"/>
  <c r="K57" i="1" s="1"/>
  <c r="N56" i="1"/>
  <c r="I56" i="1"/>
  <c r="H56" i="1"/>
  <c r="K56" i="1" s="1"/>
  <c r="N55" i="1"/>
  <c r="I55" i="1"/>
  <c r="H55" i="1"/>
  <c r="K55" i="1" s="1"/>
  <c r="N54" i="1"/>
  <c r="I54" i="1"/>
  <c r="H54" i="1"/>
  <c r="K54" i="1" s="1"/>
  <c r="N53" i="1"/>
  <c r="I53" i="1"/>
  <c r="H53" i="1"/>
  <c r="K53" i="1" s="1"/>
  <c r="N52" i="1"/>
  <c r="I52" i="1"/>
  <c r="H52" i="1"/>
  <c r="K52" i="1" s="1"/>
  <c r="N51" i="1"/>
  <c r="I51" i="1"/>
  <c r="H51" i="1"/>
  <c r="K51" i="1" s="1"/>
  <c r="N50" i="1"/>
  <c r="I50" i="1"/>
  <c r="H50" i="1"/>
  <c r="K50" i="1" s="1"/>
  <c r="N49" i="1"/>
  <c r="I49" i="1"/>
  <c r="H49" i="1"/>
  <c r="K49" i="1" s="1"/>
  <c r="N48" i="1"/>
  <c r="I48" i="1"/>
  <c r="H48" i="1"/>
  <c r="K48" i="1" s="1"/>
  <c r="N47" i="1"/>
  <c r="I47" i="1"/>
  <c r="H47" i="1"/>
  <c r="K47" i="1" s="1"/>
  <c r="N46" i="1"/>
  <c r="I46" i="1"/>
  <c r="H46" i="1"/>
  <c r="K46" i="1" s="1"/>
  <c r="N45" i="1"/>
  <c r="I45" i="1"/>
  <c r="H45" i="1"/>
  <c r="K45" i="1" s="1"/>
  <c r="N44" i="1"/>
  <c r="I44" i="1"/>
  <c r="H44" i="1"/>
  <c r="K44" i="1" s="1"/>
  <c r="N43" i="1"/>
  <c r="I43" i="1"/>
  <c r="H43" i="1"/>
  <c r="K43" i="1" s="1"/>
  <c r="N42" i="1"/>
  <c r="I42" i="1"/>
  <c r="H42" i="1"/>
  <c r="K42" i="1" s="1"/>
  <c r="N41" i="1"/>
  <c r="I41" i="1"/>
  <c r="H41" i="1"/>
  <c r="K41" i="1" s="1"/>
  <c r="N40" i="1"/>
  <c r="I40" i="1"/>
  <c r="H40" i="1"/>
  <c r="K40" i="1" s="1"/>
  <c r="N39" i="1"/>
  <c r="I39" i="1"/>
  <c r="H39" i="1"/>
  <c r="K39" i="1" s="1"/>
  <c r="N38" i="1"/>
  <c r="I38" i="1"/>
  <c r="H38" i="1"/>
  <c r="K38" i="1" s="1"/>
  <c r="N37" i="1"/>
  <c r="I37" i="1"/>
  <c r="H37" i="1"/>
  <c r="K37" i="1" s="1"/>
  <c r="N36" i="1"/>
  <c r="I36" i="1"/>
  <c r="H36" i="1"/>
  <c r="K36" i="1" s="1"/>
  <c r="N35" i="1"/>
  <c r="I35" i="1"/>
  <c r="H35" i="1"/>
  <c r="K35" i="1" s="1"/>
  <c r="N34" i="1"/>
  <c r="I34" i="1"/>
  <c r="H34" i="1"/>
  <c r="K34" i="1" s="1"/>
  <c r="N33" i="1"/>
  <c r="I33" i="1"/>
  <c r="H33" i="1"/>
  <c r="K33" i="1" s="1"/>
  <c r="N32" i="1"/>
  <c r="I32" i="1"/>
  <c r="H32" i="1"/>
  <c r="K32" i="1" s="1"/>
  <c r="N31" i="1"/>
  <c r="I31" i="1"/>
  <c r="H31" i="1"/>
  <c r="K31" i="1" s="1"/>
  <c r="N30" i="1"/>
  <c r="I30" i="1"/>
  <c r="H30" i="1"/>
  <c r="K30" i="1" s="1"/>
  <c r="N29" i="1"/>
  <c r="I29" i="1"/>
  <c r="H29" i="1"/>
  <c r="K29" i="1" s="1"/>
  <c r="N28" i="1"/>
  <c r="I28" i="1"/>
  <c r="H28" i="1"/>
  <c r="K28" i="1" s="1"/>
  <c r="N27" i="1"/>
  <c r="I27" i="1"/>
  <c r="H27" i="1"/>
  <c r="K27" i="1" s="1"/>
  <c r="N26" i="1"/>
  <c r="I26" i="1"/>
  <c r="H26" i="1"/>
  <c r="K26" i="1" s="1"/>
  <c r="N25" i="1"/>
  <c r="I25" i="1"/>
  <c r="H25" i="1"/>
  <c r="K25" i="1" s="1"/>
  <c r="N24" i="1"/>
  <c r="I24" i="1"/>
  <c r="H24" i="1"/>
  <c r="K24" i="1" s="1"/>
  <c r="N23" i="1"/>
  <c r="I23" i="1"/>
  <c r="H23" i="1"/>
  <c r="K23" i="1" s="1"/>
  <c r="N22" i="1"/>
  <c r="I22" i="1"/>
  <c r="H22" i="1"/>
  <c r="K22" i="1" s="1"/>
  <c r="N21" i="1"/>
  <c r="I21" i="1"/>
  <c r="H21" i="1"/>
  <c r="K21" i="1" s="1"/>
  <c r="N20" i="1"/>
  <c r="I20" i="1"/>
  <c r="H20" i="1"/>
  <c r="K20" i="1" s="1"/>
  <c r="N19" i="1"/>
  <c r="I19" i="1"/>
  <c r="H19" i="1"/>
  <c r="K19" i="1" s="1"/>
  <c r="N18" i="1"/>
  <c r="I18" i="1"/>
  <c r="H18" i="1"/>
  <c r="K18" i="1" s="1"/>
  <c r="N17" i="1"/>
  <c r="I17" i="1"/>
  <c r="H17" i="1"/>
  <c r="K17" i="1" s="1"/>
  <c r="N16" i="1"/>
  <c r="I16" i="1"/>
  <c r="H16" i="1"/>
  <c r="K16" i="1" s="1"/>
  <c r="N15" i="1"/>
  <c r="I15" i="1"/>
  <c r="H15" i="1"/>
  <c r="K15" i="1" s="1"/>
  <c r="N14" i="1"/>
  <c r="I14" i="1"/>
  <c r="H14" i="1"/>
  <c r="K14" i="1" s="1"/>
  <c r="N13" i="1"/>
  <c r="I13" i="1"/>
  <c r="H13" i="1"/>
  <c r="K13" i="1" s="1"/>
  <c r="N12" i="1"/>
  <c r="I12" i="1"/>
  <c r="H12" i="1"/>
  <c r="K12" i="1" s="1"/>
  <c r="N11" i="1"/>
  <c r="I11" i="1"/>
  <c r="H11" i="1"/>
  <c r="K11" i="1" s="1"/>
  <c r="N10" i="1"/>
  <c r="I10" i="1"/>
  <c r="H10" i="1"/>
  <c r="K10" i="1" s="1"/>
  <c r="N9" i="1"/>
  <c r="I9" i="1"/>
  <c r="H9" i="1"/>
  <c r="K9" i="1" s="1"/>
  <c r="N8" i="1"/>
  <c r="I8" i="1"/>
  <c r="H8" i="1"/>
  <c r="K8" i="1" s="1"/>
  <c r="N7" i="1"/>
  <c r="I7" i="1"/>
  <c r="H7" i="1"/>
  <c r="K7" i="1" s="1"/>
  <c r="N6" i="1"/>
  <c r="I6" i="1"/>
  <c r="H6" i="1"/>
  <c r="K6" i="1" s="1"/>
  <c r="N5" i="1"/>
  <c r="I5" i="1"/>
  <c r="H5" i="1"/>
  <c r="K5" i="1" s="1"/>
  <c r="N4" i="1"/>
  <c r="I4" i="1"/>
  <c r="H4" i="1"/>
  <c r="K4" i="1" s="1"/>
  <c r="N3" i="1"/>
  <c r="I3" i="1"/>
  <c r="H3" i="1"/>
  <c r="K3" i="1" s="1"/>
  <c r="N2" i="1"/>
  <c r="I2" i="1"/>
  <c r="H2" i="1"/>
  <c r="K2" i="1" s="1"/>
  <c r="D2" i="1"/>
  <c r="C2" i="1"/>
  <c r="B2" i="1"/>
  <c r="K464" i="1" l="1"/>
  <c r="R883" i="1"/>
  <c r="O883" i="1"/>
  <c r="P883" i="1"/>
  <c r="Q883" i="1"/>
  <c r="R882" i="1"/>
  <c r="O882" i="1"/>
  <c r="P882" i="1"/>
  <c r="Q882" i="1"/>
  <c r="R881" i="1"/>
  <c r="O881" i="1"/>
  <c r="P881" i="1"/>
  <c r="Q881" i="1"/>
  <c r="R880" i="1"/>
  <c r="O880" i="1"/>
  <c r="P880" i="1"/>
  <c r="Q880" i="1"/>
  <c r="R879" i="1"/>
  <c r="O879" i="1"/>
  <c r="P879" i="1"/>
  <c r="Q879" i="1"/>
  <c r="R878" i="1"/>
  <c r="O878" i="1"/>
  <c r="P878" i="1"/>
  <c r="Q878" i="1"/>
  <c r="O877" i="1"/>
  <c r="R877" i="1"/>
  <c r="I877" i="1"/>
  <c r="K877" i="1" s="1"/>
  <c r="O876" i="1"/>
  <c r="R876" i="1"/>
  <c r="I876" i="1"/>
  <c r="K876" i="1" s="1"/>
  <c r="R875" i="1"/>
  <c r="O875" i="1"/>
  <c r="P875" i="1"/>
  <c r="Q875" i="1"/>
  <c r="R874" i="1"/>
  <c r="O874" i="1"/>
  <c r="P874" i="1"/>
  <c r="Q874" i="1"/>
  <c r="R873" i="1"/>
  <c r="O873" i="1"/>
  <c r="P873" i="1"/>
  <c r="Q873" i="1"/>
  <c r="R872" i="1"/>
  <c r="O872" i="1"/>
  <c r="P872" i="1"/>
  <c r="Q872" i="1"/>
  <c r="R871" i="1"/>
  <c r="O871" i="1"/>
  <c r="P871" i="1"/>
  <c r="Q871" i="1"/>
  <c r="R870" i="1"/>
  <c r="O870" i="1"/>
  <c r="P870" i="1"/>
  <c r="Q870" i="1"/>
  <c r="R869" i="1"/>
  <c r="O869" i="1"/>
  <c r="P869" i="1"/>
  <c r="Q869" i="1"/>
  <c r="R868" i="1"/>
  <c r="O868" i="1"/>
  <c r="P868" i="1"/>
  <c r="Q868" i="1"/>
  <c r="R867" i="1"/>
  <c r="O867" i="1"/>
  <c r="P867" i="1"/>
  <c r="Q867" i="1"/>
  <c r="R866" i="1"/>
  <c r="O866" i="1"/>
  <c r="P866" i="1"/>
  <c r="Q866" i="1"/>
  <c r="R865" i="1"/>
  <c r="O865" i="1"/>
  <c r="P865" i="1"/>
  <c r="Q865" i="1"/>
  <c r="R864" i="1"/>
  <c r="O864" i="1"/>
  <c r="P864" i="1"/>
  <c r="Q864" i="1"/>
  <c r="R863" i="1"/>
  <c r="O863" i="1"/>
  <c r="P863" i="1"/>
  <c r="Q863" i="1"/>
  <c r="R862" i="1"/>
  <c r="O862" i="1"/>
  <c r="P862" i="1"/>
  <c r="Q862" i="1"/>
  <c r="R861" i="1"/>
  <c r="O861" i="1"/>
  <c r="P861" i="1"/>
  <c r="Q861" i="1"/>
  <c r="R860" i="1"/>
  <c r="O860" i="1"/>
  <c r="P860" i="1"/>
  <c r="Q860" i="1"/>
  <c r="R859" i="1"/>
  <c r="O859" i="1"/>
  <c r="P859" i="1"/>
  <c r="Q859" i="1"/>
  <c r="R858" i="1"/>
  <c r="O858" i="1"/>
  <c r="P858" i="1"/>
  <c r="Q858" i="1"/>
  <c r="R857" i="1"/>
  <c r="O857" i="1"/>
  <c r="P857" i="1"/>
  <c r="Q857" i="1"/>
  <c r="R856" i="1"/>
  <c r="O856" i="1"/>
  <c r="P856" i="1"/>
  <c r="Q856" i="1"/>
  <c r="R855" i="1"/>
  <c r="O855" i="1"/>
  <c r="P855" i="1"/>
  <c r="Q855" i="1"/>
  <c r="R854" i="1"/>
  <c r="O854" i="1"/>
  <c r="P854" i="1"/>
  <c r="Q854" i="1"/>
  <c r="R853" i="1"/>
  <c r="O853" i="1"/>
  <c r="P853" i="1"/>
  <c r="Q853" i="1"/>
  <c r="R852" i="1"/>
  <c r="O852" i="1"/>
  <c r="P852" i="1"/>
  <c r="Q852" i="1"/>
  <c r="R851" i="1"/>
  <c r="O851" i="1"/>
  <c r="P851" i="1"/>
  <c r="Q851" i="1"/>
  <c r="R850" i="1"/>
  <c r="O850" i="1"/>
  <c r="P850" i="1"/>
  <c r="Q850" i="1"/>
  <c r="R849" i="1"/>
  <c r="O849" i="1"/>
  <c r="P849" i="1"/>
  <c r="Q849" i="1"/>
  <c r="R848" i="1"/>
  <c r="O848" i="1"/>
  <c r="P848" i="1"/>
  <c r="Q848" i="1"/>
  <c r="R847" i="1"/>
  <c r="O847" i="1"/>
  <c r="P847" i="1"/>
  <c r="Q847" i="1"/>
  <c r="R846" i="1"/>
  <c r="O846" i="1"/>
  <c r="P846" i="1"/>
  <c r="Q846" i="1"/>
  <c r="R845" i="1"/>
  <c r="O845" i="1"/>
  <c r="P845" i="1"/>
  <c r="Q845" i="1"/>
  <c r="R844" i="1"/>
  <c r="O844" i="1"/>
  <c r="P844" i="1"/>
  <c r="Q844" i="1"/>
  <c r="R843" i="1"/>
  <c r="O843" i="1"/>
  <c r="P843" i="1"/>
  <c r="Q843" i="1"/>
  <c r="R842" i="1"/>
  <c r="O842" i="1"/>
  <c r="P842" i="1"/>
  <c r="Q842" i="1"/>
  <c r="R841" i="1"/>
  <c r="O841" i="1"/>
  <c r="I841" i="1"/>
  <c r="K841" i="1" s="1"/>
  <c r="R840" i="1"/>
  <c r="O840" i="1"/>
  <c r="P840" i="1"/>
  <c r="Q840" i="1"/>
  <c r="R839" i="1"/>
  <c r="O839" i="1"/>
  <c r="P839" i="1"/>
  <c r="Q839" i="1"/>
  <c r="R838" i="1"/>
  <c r="O838" i="1"/>
  <c r="P838" i="1"/>
  <c r="Q838" i="1"/>
  <c r="R837" i="1"/>
  <c r="O837" i="1"/>
  <c r="P837" i="1"/>
  <c r="Q837" i="1"/>
  <c r="R836" i="1"/>
  <c r="O836" i="1"/>
  <c r="P836" i="1"/>
  <c r="Q836" i="1"/>
  <c r="R835" i="1"/>
  <c r="O835" i="1"/>
  <c r="P835" i="1"/>
  <c r="Q835" i="1"/>
  <c r="R834" i="1"/>
  <c r="O834" i="1"/>
  <c r="P834" i="1"/>
  <c r="Q834" i="1"/>
  <c r="R833" i="1"/>
  <c r="O833" i="1"/>
  <c r="P833" i="1"/>
  <c r="Q833" i="1"/>
  <c r="R832" i="1"/>
  <c r="O832" i="1"/>
  <c r="P832" i="1"/>
  <c r="Q832" i="1"/>
  <c r="R831" i="1"/>
  <c r="O831" i="1"/>
  <c r="P831" i="1"/>
  <c r="Q831" i="1"/>
  <c r="R830" i="1"/>
  <c r="O830" i="1"/>
  <c r="P830" i="1"/>
  <c r="Q830" i="1"/>
  <c r="R829" i="1"/>
  <c r="O829" i="1"/>
  <c r="P829" i="1"/>
  <c r="Q829" i="1"/>
  <c r="R828" i="1"/>
  <c r="O828" i="1"/>
  <c r="P828" i="1"/>
  <c r="Q828" i="1"/>
  <c r="R827" i="1"/>
  <c r="O827" i="1"/>
  <c r="P827" i="1"/>
  <c r="Q827" i="1"/>
  <c r="R826" i="1"/>
  <c r="O826" i="1"/>
  <c r="P826" i="1"/>
  <c r="Q826" i="1"/>
  <c r="R825" i="1"/>
  <c r="O825" i="1"/>
  <c r="P825" i="1"/>
  <c r="Q825" i="1"/>
  <c r="R824" i="1"/>
  <c r="O824" i="1"/>
  <c r="P824" i="1"/>
  <c r="Q824" i="1"/>
  <c r="R823" i="1"/>
  <c r="O823" i="1"/>
  <c r="P823" i="1"/>
  <c r="Q823" i="1"/>
  <c r="R822" i="1"/>
  <c r="O822" i="1"/>
  <c r="P822" i="1"/>
  <c r="Q822" i="1"/>
  <c r="R821" i="1"/>
  <c r="O821" i="1"/>
  <c r="P821" i="1"/>
  <c r="Q821" i="1"/>
  <c r="R820" i="1"/>
  <c r="O820" i="1"/>
  <c r="P820" i="1"/>
  <c r="Q820" i="1"/>
  <c r="R819" i="1"/>
  <c r="O819" i="1"/>
  <c r="P819" i="1"/>
  <c r="Q819" i="1"/>
  <c r="R818" i="1"/>
  <c r="O818" i="1"/>
  <c r="P818" i="1"/>
  <c r="Q818" i="1"/>
  <c r="R817" i="1"/>
  <c r="O817" i="1"/>
  <c r="P817" i="1"/>
  <c r="Q817" i="1"/>
  <c r="R816" i="1"/>
  <c r="O816" i="1"/>
  <c r="P816" i="1"/>
  <c r="Q816" i="1"/>
  <c r="R815" i="1"/>
  <c r="O815" i="1"/>
  <c r="P815" i="1"/>
  <c r="Q815" i="1"/>
  <c r="R814" i="1"/>
  <c r="O814" i="1"/>
  <c r="P814" i="1"/>
  <c r="Q814" i="1"/>
  <c r="R813" i="1"/>
  <c r="O813" i="1"/>
  <c r="P813" i="1"/>
  <c r="Q813" i="1"/>
  <c r="R812" i="1"/>
  <c r="O812" i="1"/>
  <c r="P812" i="1"/>
  <c r="Q812" i="1"/>
  <c r="R811" i="1"/>
  <c r="O811" i="1"/>
  <c r="P811" i="1"/>
  <c r="Q811" i="1"/>
  <c r="R810" i="1"/>
  <c r="O810" i="1"/>
  <c r="P810" i="1"/>
  <c r="Q810" i="1"/>
  <c r="R809" i="1"/>
  <c r="O809" i="1"/>
  <c r="P809" i="1"/>
  <c r="Q809" i="1"/>
  <c r="R808" i="1"/>
  <c r="O808" i="1"/>
  <c r="P808" i="1"/>
  <c r="Q808" i="1"/>
  <c r="R807" i="1"/>
  <c r="O807" i="1"/>
  <c r="P807" i="1"/>
  <c r="Q807" i="1"/>
  <c r="R806" i="1"/>
  <c r="O806" i="1"/>
  <c r="P806" i="1"/>
  <c r="Q806" i="1"/>
  <c r="R805" i="1"/>
  <c r="O805" i="1"/>
  <c r="P805" i="1"/>
  <c r="Q805" i="1"/>
  <c r="R804" i="1"/>
  <c r="O804" i="1"/>
  <c r="P804" i="1"/>
  <c r="Q804" i="1"/>
  <c r="R803" i="1"/>
  <c r="O803" i="1"/>
  <c r="P803" i="1"/>
  <c r="Q803" i="1"/>
  <c r="R802" i="1"/>
  <c r="O802" i="1"/>
  <c r="P802" i="1"/>
  <c r="Q802" i="1"/>
  <c r="R801" i="1"/>
  <c r="O801" i="1"/>
  <c r="P801" i="1"/>
  <c r="Q801" i="1"/>
  <c r="R800" i="1"/>
  <c r="O800" i="1"/>
  <c r="P800" i="1"/>
  <c r="Q800" i="1"/>
  <c r="R799" i="1"/>
  <c r="O799" i="1"/>
  <c r="P799" i="1"/>
  <c r="Q799" i="1"/>
  <c r="R798" i="1"/>
  <c r="O798" i="1"/>
  <c r="P798" i="1"/>
  <c r="Q798" i="1"/>
  <c r="R797" i="1"/>
  <c r="O797" i="1"/>
  <c r="P797" i="1"/>
  <c r="Q797" i="1"/>
  <c r="R796" i="1"/>
  <c r="O796" i="1"/>
  <c r="P796" i="1"/>
  <c r="Q796" i="1"/>
  <c r="O795" i="1"/>
  <c r="R795" i="1"/>
  <c r="I795" i="1"/>
  <c r="K795" i="1" s="1"/>
  <c r="O794" i="1"/>
  <c r="R794" i="1"/>
  <c r="I794" i="1"/>
  <c r="K794" i="1" s="1"/>
  <c r="R793" i="1"/>
  <c r="O793" i="1"/>
  <c r="P793" i="1"/>
  <c r="Q793" i="1"/>
  <c r="R792" i="1"/>
  <c r="O792" i="1"/>
  <c r="P792" i="1"/>
  <c r="Q792" i="1"/>
  <c r="R791" i="1"/>
  <c r="O791" i="1"/>
  <c r="P791" i="1"/>
  <c r="Q791" i="1"/>
  <c r="R790" i="1"/>
  <c r="O790" i="1"/>
  <c r="P790" i="1"/>
  <c r="Q790" i="1"/>
  <c r="R789" i="1"/>
  <c r="O789" i="1"/>
  <c r="P789" i="1"/>
  <c r="Q789" i="1"/>
  <c r="R788" i="1"/>
  <c r="O788" i="1"/>
  <c r="P788" i="1"/>
  <c r="Q788" i="1"/>
  <c r="R787" i="1"/>
  <c r="O787" i="1"/>
  <c r="P787" i="1"/>
  <c r="Q787" i="1"/>
  <c r="R786" i="1"/>
  <c r="O786" i="1"/>
  <c r="P786" i="1"/>
  <c r="Q786" i="1"/>
  <c r="R785" i="1"/>
  <c r="O785" i="1"/>
  <c r="P785" i="1"/>
  <c r="Q785" i="1"/>
  <c r="R784" i="1"/>
  <c r="O784" i="1"/>
  <c r="P784" i="1"/>
  <c r="Q784" i="1"/>
  <c r="R783" i="1"/>
  <c r="O783" i="1"/>
  <c r="P783" i="1"/>
  <c r="Q783" i="1"/>
  <c r="R782" i="1"/>
  <c r="O782" i="1"/>
  <c r="P782" i="1"/>
  <c r="Q782" i="1"/>
  <c r="O781" i="1"/>
  <c r="R781" i="1"/>
  <c r="I781" i="1"/>
  <c r="K781" i="1" s="1"/>
  <c r="O780" i="1"/>
  <c r="R780" i="1"/>
  <c r="I780" i="1"/>
  <c r="K780" i="1" s="1"/>
  <c r="R779" i="1"/>
  <c r="O779" i="1"/>
  <c r="P779" i="1"/>
  <c r="Q779" i="1"/>
  <c r="R778" i="1"/>
  <c r="O778" i="1"/>
  <c r="P778" i="1"/>
  <c r="Q778" i="1"/>
  <c r="R777" i="1"/>
  <c r="O777" i="1"/>
  <c r="P777" i="1"/>
  <c r="Q777" i="1"/>
  <c r="R776" i="1"/>
  <c r="O776" i="1"/>
  <c r="P776" i="1"/>
  <c r="Q776" i="1"/>
  <c r="R775" i="1"/>
  <c r="O775" i="1"/>
  <c r="P775" i="1"/>
  <c r="Q775" i="1"/>
  <c r="R774" i="1"/>
  <c r="O774" i="1"/>
  <c r="P774" i="1"/>
  <c r="Q774" i="1"/>
  <c r="R773" i="1"/>
  <c r="O773" i="1"/>
  <c r="P773" i="1"/>
  <c r="Q773" i="1"/>
  <c r="R772" i="1"/>
  <c r="O772" i="1"/>
  <c r="P772" i="1"/>
  <c r="Q772" i="1"/>
  <c r="R771" i="1"/>
  <c r="O771" i="1"/>
  <c r="P771" i="1"/>
  <c r="Q771" i="1"/>
  <c r="R770" i="1"/>
  <c r="O770" i="1"/>
  <c r="P770" i="1"/>
  <c r="Q770" i="1"/>
  <c r="R769" i="1"/>
  <c r="O769" i="1"/>
  <c r="P769" i="1"/>
  <c r="Q769" i="1"/>
  <c r="R768" i="1"/>
  <c r="O768" i="1"/>
  <c r="P768" i="1"/>
  <c r="Q768" i="1"/>
  <c r="R767" i="1"/>
  <c r="O767" i="1"/>
  <c r="P767" i="1"/>
  <c r="Q767" i="1"/>
  <c r="R766" i="1"/>
  <c r="O766" i="1"/>
  <c r="P766" i="1"/>
  <c r="Q766" i="1"/>
  <c r="R765" i="1"/>
  <c r="O765" i="1"/>
  <c r="P765" i="1"/>
  <c r="Q765" i="1"/>
  <c r="R764" i="1"/>
  <c r="O764" i="1"/>
  <c r="P764" i="1"/>
  <c r="Q764" i="1"/>
  <c r="R763" i="1"/>
  <c r="O763" i="1"/>
  <c r="P763" i="1"/>
  <c r="Q763" i="1"/>
  <c r="R762" i="1"/>
  <c r="O762" i="1"/>
  <c r="P762" i="1"/>
  <c r="Q762" i="1"/>
  <c r="R761" i="1"/>
  <c r="O761" i="1"/>
  <c r="P761" i="1"/>
  <c r="Q761" i="1"/>
  <c r="R760" i="1"/>
  <c r="O760" i="1"/>
  <c r="P760" i="1"/>
  <c r="Q760" i="1"/>
  <c r="R759" i="1"/>
  <c r="O759" i="1"/>
  <c r="P759" i="1"/>
  <c r="Q759" i="1"/>
  <c r="R758" i="1"/>
  <c r="O758" i="1"/>
  <c r="P758" i="1"/>
  <c r="Q758" i="1"/>
  <c r="R757" i="1"/>
  <c r="O757" i="1"/>
  <c r="P757" i="1"/>
  <c r="Q757" i="1"/>
  <c r="R756" i="1"/>
  <c r="O756" i="1"/>
  <c r="P756" i="1"/>
  <c r="Q756" i="1"/>
  <c r="R755" i="1"/>
  <c r="O755" i="1"/>
  <c r="P755" i="1"/>
  <c r="Q755" i="1"/>
  <c r="R754" i="1"/>
  <c r="O754" i="1"/>
  <c r="P754" i="1"/>
  <c r="Q754" i="1"/>
  <c r="R753" i="1"/>
  <c r="O753" i="1"/>
  <c r="P753" i="1"/>
  <c r="Q753" i="1"/>
  <c r="R752" i="1"/>
  <c r="O752" i="1"/>
  <c r="P752" i="1"/>
  <c r="Q752" i="1"/>
  <c r="R751" i="1"/>
  <c r="O751" i="1"/>
  <c r="P751" i="1"/>
  <c r="Q751" i="1"/>
  <c r="R750" i="1"/>
  <c r="O750" i="1"/>
  <c r="P750" i="1"/>
  <c r="Q750" i="1"/>
  <c r="R749" i="1"/>
  <c r="O749" i="1"/>
  <c r="P749" i="1"/>
  <c r="Q749" i="1"/>
  <c r="R748" i="1"/>
  <c r="O748" i="1"/>
  <c r="P748" i="1"/>
  <c r="Q748" i="1"/>
  <c r="P747" i="1"/>
  <c r="Q747" i="1"/>
  <c r="O746" i="1"/>
  <c r="R746" i="1"/>
  <c r="P746" i="1"/>
  <c r="Q746" i="1"/>
  <c r="R745" i="1"/>
  <c r="O745" i="1"/>
  <c r="P745" i="1"/>
  <c r="Q745" i="1"/>
  <c r="O744" i="1"/>
  <c r="R744" i="1"/>
  <c r="P744" i="1"/>
  <c r="Q744" i="1"/>
  <c r="R743" i="1"/>
  <c r="O743" i="1"/>
  <c r="P743" i="1"/>
  <c r="Q743" i="1"/>
  <c r="R742" i="1"/>
  <c r="O742" i="1"/>
  <c r="P742" i="1"/>
  <c r="Q742" i="1"/>
  <c r="O741" i="1"/>
  <c r="R741" i="1"/>
  <c r="P741" i="1"/>
  <c r="Q741" i="1"/>
  <c r="O740" i="1"/>
  <c r="R740" i="1"/>
  <c r="P740" i="1"/>
  <c r="Q740" i="1"/>
  <c r="O739" i="1"/>
  <c r="R739" i="1"/>
  <c r="I739" i="1"/>
  <c r="K739" i="1"/>
  <c r="O738" i="1"/>
  <c r="R738" i="1"/>
  <c r="I738" i="1"/>
  <c r="K738" i="1"/>
  <c r="O737" i="1"/>
  <c r="R737" i="1"/>
  <c r="P737" i="1"/>
  <c r="Q737" i="1"/>
  <c r="O736" i="1"/>
  <c r="R736" i="1"/>
  <c r="P736" i="1"/>
  <c r="Q736" i="1"/>
  <c r="R735" i="1"/>
  <c r="O735" i="1"/>
  <c r="P735" i="1"/>
  <c r="Q735" i="1"/>
  <c r="R734" i="1"/>
  <c r="O734" i="1"/>
  <c r="P734" i="1"/>
  <c r="Q734" i="1"/>
  <c r="O733" i="1"/>
  <c r="R733" i="1"/>
  <c r="P733" i="1"/>
  <c r="Q733" i="1"/>
  <c r="R732" i="1"/>
  <c r="O732" i="1"/>
  <c r="P732" i="1"/>
  <c r="Q732" i="1"/>
  <c r="O731" i="1"/>
  <c r="R731" i="1"/>
  <c r="P731" i="1"/>
  <c r="Q731" i="1"/>
  <c r="R730" i="1"/>
  <c r="O730" i="1"/>
  <c r="P730" i="1"/>
  <c r="Q730" i="1"/>
  <c r="O729" i="1"/>
  <c r="R729" i="1"/>
  <c r="P729" i="1"/>
  <c r="Q729" i="1"/>
  <c r="O728" i="1"/>
  <c r="R728" i="1"/>
  <c r="P728" i="1"/>
  <c r="Q728" i="1"/>
  <c r="O727" i="1"/>
  <c r="R727" i="1"/>
  <c r="P727" i="1"/>
  <c r="Q727" i="1"/>
  <c r="R726" i="1"/>
  <c r="O726" i="1"/>
  <c r="P726" i="1"/>
  <c r="Q726" i="1"/>
  <c r="O725" i="1"/>
  <c r="R725" i="1"/>
  <c r="I725" i="1"/>
  <c r="K725" i="1"/>
  <c r="R724" i="1"/>
  <c r="O724" i="1"/>
  <c r="I724" i="1"/>
  <c r="K724" i="1"/>
  <c r="R723" i="1"/>
  <c r="O723" i="1"/>
  <c r="P723" i="1"/>
  <c r="Q723" i="1"/>
  <c r="R722" i="1"/>
  <c r="O722" i="1"/>
  <c r="P722" i="1"/>
  <c r="Q722" i="1"/>
  <c r="O721" i="1"/>
  <c r="R721" i="1"/>
  <c r="P721" i="1"/>
  <c r="Q721" i="1"/>
  <c r="O720" i="1"/>
  <c r="R720" i="1"/>
  <c r="P720" i="1"/>
  <c r="Q720" i="1"/>
  <c r="O719" i="1"/>
  <c r="R719" i="1"/>
  <c r="P719" i="1"/>
  <c r="Q719" i="1"/>
  <c r="R718" i="1"/>
  <c r="O718" i="1"/>
  <c r="Q718" i="1"/>
  <c r="P718" i="1"/>
  <c r="R717" i="1"/>
  <c r="O717" i="1"/>
  <c r="P717" i="1"/>
  <c r="Q717" i="1"/>
  <c r="R716" i="1"/>
  <c r="O716" i="1"/>
  <c r="P716" i="1"/>
  <c r="Q716" i="1"/>
  <c r="R715" i="1"/>
  <c r="O715" i="1"/>
  <c r="Q715" i="1"/>
  <c r="P715" i="1"/>
  <c r="O714" i="1"/>
  <c r="R714" i="1"/>
  <c r="P714" i="1"/>
  <c r="Q714" i="1"/>
  <c r="R713" i="1"/>
  <c r="O713" i="1"/>
  <c r="P713" i="1"/>
  <c r="Q713" i="1"/>
  <c r="R712" i="1"/>
  <c r="O712" i="1"/>
  <c r="P712" i="1"/>
  <c r="Q712" i="1"/>
  <c r="R711" i="1"/>
  <c r="O711" i="1"/>
  <c r="P711" i="1"/>
  <c r="Q711" i="1"/>
  <c r="O710" i="1"/>
  <c r="R710" i="1"/>
  <c r="P710" i="1"/>
  <c r="Q710" i="1"/>
  <c r="O709" i="1"/>
  <c r="R709" i="1"/>
  <c r="P709" i="1"/>
  <c r="Q709" i="1"/>
  <c r="O708" i="1"/>
  <c r="R708" i="1"/>
  <c r="P708" i="1"/>
  <c r="Q708" i="1"/>
  <c r="O707" i="1"/>
  <c r="R707" i="1"/>
  <c r="P707" i="1"/>
  <c r="Q707" i="1"/>
  <c r="O706" i="1"/>
  <c r="R706" i="1"/>
  <c r="P706" i="1"/>
  <c r="Q706" i="1"/>
  <c r="R705" i="1"/>
  <c r="O705" i="1"/>
  <c r="P705" i="1"/>
  <c r="Q705" i="1"/>
  <c r="R704" i="1"/>
  <c r="O704" i="1"/>
  <c r="P704" i="1"/>
  <c r="Q704" i="1"/>
  <c r="O703" i="1"/>
  <c r="R703" i="1"/>
  <c r="P703" i="1"/>
  <c r="Q703" i="1"/>
  <c r="O702" i="1"/>
  <c r="R702" i="1"/>
  <c r="P702" i="1"/>
  <c r="Q702" i="1"/>
  <c r="O701" i="1"/>
  <c r="R701" i="1"/>
  <c r="P701" i="1"/>
  <c r="Q701" i="1"/>
  <c r="R700" i="1"/>
  <c r="O700" i="1"/>
  <c r="P700" i="1"/>
  <c r="Q700" i="1"/>
  <c r="O699" i="1"/>
  <c r="R699" i="1"/>
  <c r="P699" i="1"/>
  <c r="Q699" i="1"/>
  <c r="P698" i="1"/>
  <c r="Q698" i="1"/>
  <c r="R697" i="1"/>
  <c r="O697" i="1"/>
  <c r="P697" i="1"/>
  <c r="Q697" i="1"/>
  <c r="O696" i="1"/>
  <c r="R696" i="1"/>
  <c r="P696" i="1"/>
  <c r="Q696" i="1"/>
  <c r="O695" i="1"/>
  <c r="R695" i="1"/>
  <c r="I695" i="1"/>
  <c r="K695" i="1"/>
  <c r="O694" i="1"/>
  <c r="R694" i="1"/>
  <c r="I694" i="1"/>
  <c r="K694" i="1"/>
  <c r="O693" i="1"/>
  <c r="R693" i="1"/>
  <c r="P693" i="1"/>
  <c r="Q693" i="1"/>
  <c r="R692" i="1"/>
  <c r="O692" i="1"/>
  <c r="P692" i="1"/>
  <c r="Q692" i="1"/>
  <c r="R691" i="1"/>
  <c r="O691" i="1"/>
  <c r="P691" i="1"/>
  <c r="Q691" i="1"/>
  <c r="O690" i="1"/>
  <c r="R690" i="1"/>
  <c r="P690" i="1"/>
  <c r="Q690" i="1"/>
  <c r="O689" i="1"/>
  <c r="R689" i="1"/>
  <c r="P689" i="1"/>
  <c r="Q689" i="1"/>
  <c r="O688" i="1"/>
  <c r="R688" i="1"/>
  <c r="P688" i="1"/>
  <c r="Q688" i="1"/>
  <c r="O687" i="1"/>
  <c r="R687" i="1"/>
  <c r="P687" i="1"/>
  <c r="Q687" i="1"/>
  <c r="O686" i="1"/>
  <c r="R686" i="1"/>
  <c r="P686" i="1"/>
  <c r="Q686" i="1"/>
  <c r="R685" i="1"/>
  <c r="O685" i="1"/>
  <c r="P685" i="1"/>
  <c r="Q685" i="1"/>
  <c r="O684" i="1"/>
  <c r="R684" i="1"/>
  <c r="P684" i="1"/>
  <c r="Q684" i="1"/>
  <c r="R683" i="1"/>
  <c r="O683" i="1"/>
  <c r="P683" i="1"/>
  <c r="Q683" i="1"/>
  <c r="R682" i="1"/>
  <c r="O682" i="1"/>
  <c r="P682" i="1"/>
  <c r="Q682" i="1"/>
  <c r="P681" i="1"/>
  <c r="Q681" i="1"/>
  <c r="R680" i="1"/>
  <c r="O680" i="1"/>
  <c r="P680" i="1"/>
  <c r="Q680" i="1"/>
  <c r="R679" i="1"/>
  <c r="O679" i="1"/>
  <c r="P679" i="1"/>
  <c r="Q679" i="1"/>
  <c r="R678" i="1"/>
  <c r="O678" i="1"/>
  <c r="P678" i="1"/>
  <c r="Q678" i="1"/>
  <c r="R677" i="1"/>
  <c r="O677" i="1"/>
  <c r="P677" i="1"/>
  <c r="Q677" i="1"/>
  <c r="O676" i="1"/>
  <c r="R676" i="1"/>
  <c r="P676" i="1"/>
  <c r="Q676" i="1"/>
  <c r="R675" i="1"/>
  <c r="O675" i="1"/>
  <c r="P675" i="1"/>
  <c r="Q675" i="1"/>
  <c r="P674" i="1"/>
  <c r="Q674" i="1"/>
  <c r="P673" i="1"/>
  <c r="Q673" i="1"/>
  <c r="P672" i="1"/>
  <c r="Q672" i="1"/>
  <c r="P671" i="1"/>
  <c r="Q671" i="1"/>
  <c r="P670" i="1"/>
  <c r="Q670" i="1"/>
  <c r="R669" i="1"/>
  <c r="O669" i="1"/>
  <c r="P669" i="1"/>
  <c r="Q669" i="1"/>
  <c r="R668" i="1"/>
  <c r="O668" i="1"/>
  <c r="P668" i="1"/>
  <c r="Q668" i="1"/>
  <c r="O667" i="1"/>
  <c r="R667" i="1"/>
  <c r="P667" i="1"/>
  <c r="Q667" i="1"/>
  <c r="R666" i="1"/>
  <c r="O666" i="1"/>
  <c r="P666" i="1"/>
  <c r="Q666" i="1"/>
  <c r="R665" i="1"/>
  <c r="O665" i="1"/>
  <c r="P665" i="1"/>
  <c r="Q665" i="1"/>
  <c r="O664" i="1"/>
  <c r="R664" i="1"/>
  <c r="P664" i="1"/>
  <c r="Q664" i="1"/>
  <c r="R663" i="1"/>
  <c r="O663" i="1"/>
  <c r="P663" i="1"/>
  <c r="Q663" i="1"/>
  <c r="R662" i="1"/>
  <c r="O662" i="1"/>
  <c r="P662" i="1"/>
  <c r="Q662" i="1"/>
  <c r="R661" i="1"/>
  <c r="O661" i="1"/>
  <c r="P661" i="1"/>
  <c r="Q661" i="1"/>
  <c r="R660" i="1"/>
  <c r="O660" i="1"/>
  <c r="P660" i="1"/>
  <c r="Q660" i="1"/>
  <c r="R659" i="1"/>
  <c r="O659" i="1"/>
  <c r="P659" i="1"/>
  <c r="Q659" i="1"/>
  <c r="R658" i="1"/>
  <c r="O658" i="1"/>
  <c r="P658" i="1"/>
  <c r="Q658" i="1"/>
  <c r="R657" i="1"/>
  <c r="O657" i="1"/>
  <c r="P657" i="1"/>
  <c r="Q657" i="1"/>
  <c r="O656" i="1"/>
  <c r="R656" i="1"/>
  <c r="P656" i="1"/>
  <c r="Q656" i="1"/>
  <c r="R655" i="1"/>
  <c r="O655" i="1"/>
  <c r="P655" i="1"/>
  <c r="Q655" i="1"/>
  <c r="O654" i="1"/>
  <c r="R654" i="1"/>
  <c r="P654" i="1"/>
  <c r="Q654" i="1"/>
  <c r="O653" i="1"/>
  <c r="R653" i="1"/>
  <c r="I653" i="1"/>
  <c r="K653" i="1"/>
  <c r="O652" i="1"/>
  <c r="R652" i="1"/>
  <c r="I652" i="1"/>
  <c r="K652" i="1"/>
  <c r="O651" i="1"/>
  <c r="R651" i="1"/>
  <c r="P651" i="1"/>
  <c r="Q651" i="1"/>
  <c r="R650" i="1"/>
  <c r="O650" i="1"/>
  <c r="P650" i="1"/>
  <c r="Q650" i="1"/>
  <c r="O649" i="1"/>
  <c r="R649" i="1"/>
  <c r="P649" i="1"/>
  <c r="Q649" i="1"/>
  <c r="O648" i="1"/>
  <c r="R648" i="1"/>
  <c r="P648" i="1"/>
  <c r="Q648" i="1"/>
  <c r="R647" i="1"/>
  <c r="O647" i="1"/>
  <c r="P647" i="1"/>
  <c r="Q647" i="1"/>
  <c r="O646" i="1"/>
  <c r="R646" i="1"/>
  <c r="P646" i="1"/>
  <c r="Q646" i="1"/>
  <c r="R645" i="1"/>
  <c r="O645" i="1"/>
  <c r="P645" i="1"/>
  <c r="Q645" i="1"/>
  <c r="O644" i="1"/>
  <c r="R644" i="1"/>
  <c r="P644" i="1"/>
  <c r="Q644" i="1"/>
  <c r="O643" i="1"/>
  <c r="R643" i="1"/>
  <c r="P643" i="1"/>
  <c r="Q643" i="1"/>
  <c r="O642" i="1"/>
  <c r="R642" i="1"/>
  <c r="P642" i="1"/>
  <c r="Q642" i="1"/>
  <c r="O641" i="1"/>
  <c r="R641" i="1"/>
  <c r="P641" i="1"/>
  <c r="Q641" i="1"/>
  <c r="O640" i="1"/>
  <c r="R640" i="1"/>
  <c r="P640" i="1"/>
  <c r="Q640" i="1"/>
  <c r="R639" i="1"/>
  <c r="O639" i="1"/>
  <c r="I639" i="1"/>
  <c r="K639" i="1" s="1"/>
  <c r="R638" i="1"/>
  <c r="O638" i="1"/>
  <c r="I638" i="1"/>
  <c r="K638" i="1"/>
  <c r="O637" i="1"/>
  <c r="R637" i="1"/>
  <c r="P637" i="1"/>
  <c r="Q637" i="1"/>
  <c r="O636" i="1"/>
  <c r="R636" i="1"/>
  <c r="P636" i="1"/>
  <c r="Q636" i="1"/>
  <c r="R635" i="1"/>
  <c r="O635" i="1"/>
  <c r="P635" i="1"/>
  <c r="Q635" i="1"/>
  <c r="O634" i="1"/>
  <c r="R634" i="1"/>
  <c r="P634" i="1"/>
  <c r="Q634" i="1"/>
  <c r="O633" i="1"/>
  <c r="R633" i="1"/>
  <c r="P633" i="1"/>
  <c r="Q633" i="1"/>
  <c r="O632" i="1"/>
  <c r="R632" i="1"/>
  <c r="P632" i="1"/>
  <c r="Q632" i="1"/>
  <c r="O631" i="1"/>
  <c r="R631" i="1"/>
  <c r="P631" i="1"/>
  <c r="Q631" i="1"/>
  <c r="O630" i="1"/>
  <c r="R630" i="1"/>
  <c r="P630" i="1"/>
  <c r="Q630" i="1"/>
  <c r="R629" i="1"/>
  <c r="O629" i="1"/>
  <c r="P629" i="1"/>
  <c r="Q629" i="1"/>
  <c r="O628" i="1"/>
  <c r="R628" i="1"/>
  <c r="P628" i="1"/>
  <c r="Q628" i="1"/>
  <c r="R627" i="1"/>
  <c r="O627" i="1"/>
  <c r="P627" i="1"/>
  <c r="Q627" i="1"/>
  <c r="R626" i="1"/>
  <c r="O626" i="1"/>
  <c r="P626" i="1"/>
  <c r="Q626" i="1"/>
  <c r="O625" i="1"/>
  <c r="R625" i="1"/>
  <c r="I625" i="1"/>
  <c r="K625" i="1"/>
  <c r="O624" i="1"/>
  <c r="R624" i="1"/>
  <c r="I624" i="1"/>
  <c r="K624" i="1" s="1"/>
  <c r="R623" i="1"/>
  <c r="O623" i="1"/>
  <c r="P623" i="1"/>
  <c r="Q623" i="1"/>
  <c r="O622" i="1"/>
  <c r="R622" i="1"/>
  <c r="P622" i="1"/>
  <c r="Q622" i="1"/>
  <c r="O621" i="1"/>
  <c r="R621" i="1"/>
  <c r="I621" i="1"/>
  <c r="K621" i="1"/>
  <c r="O620" i="1"/>
  <c r="R620" i="1"/>
  <c r="I620" i="1"/>
  <c r="K620" i="1"/>
  <c r="O619" i="1"/>
  <c r="R619" i="1"/>
  <c r="P619" i="1"/>
  <c r="Q619" i="1"/>
  <c r="O618" i="1"/>
  <c r="R618" i="1"/>
  <c r="P618" i="1"/>
  <c r="Q618" i="1"/>
  <c r="O617" i="1"/>
  <c r="R617" i="1"/>
  <c r="I617" i="1"/>
  <c r="K617" i="1"/>
  <c r="O616" i="1"/>
  <c r="R616" i="1"/>
  <c r="I616" i="1"/>
  <c r="K616" i="1" s="1"/>
  <c r="R615" i="1"/>
  <c r="O615" i="1"/>
  <c r="P615" i="1"/>
  <c r="Q615" i="1"/>
  <c r="R614" i="1"/>
  <c r="O614" i="1"/>
  <c r="P614" i="1"/>
  <c r="Q614" i="1"/>
  <c r="O613" i="1"/>
  <c r="R613" i="1"/>
  <c r="P613" i="1"/>
  <c r="Q613" i="1"/>
  <c r="O612" i="1"/>
  <c r="R612" i="1"/>
  <c r="P612" i="1"/>
  <c r="Q612" i="1"/>
  <c r="R611" i="1"/>
  <c r="O611" i="1"/>
  <c r="I611" i="1"/>
  <c r="K611" i="1" s="1"/>
  <c r="R610" i="1"/>
  <c r="O610" i="1"/>
  <c r="I610" i="1"/>
  <c r="K610" i="1" s="1"/>
  <c r="O609" i="1"/>
  <c r="R609" i="1"/>
  <c r="P609" i="1"/>
  <c r="Q609" i="1"/>
  <c r="O608" i="1"/>
  <c r="R608" i="1"/>
  <c r="P608" i="1"/>
  <c r="Q608" i="1"/>
  <c r="R607" i="1"/>
  <c r="O607" i="1"/>
  <c r="P607" i="1"/>
  <c r="Q607" i="1"/>
  <c r="R606" i="1"/>
  <c r="O606" i="1"/>
  <c r="P606" i="1"/>
  <c r="Q606" i="1"/>
  <c r="O605" i="1"/>
  <c r="R605" i="1"/>
  <c r="P605" i="1"/>
  <c r="Q605" i="1"/>
  <c r="O604" i="1"/>
  <c r="R604" i="1"/>
  <c r="P604" i="1"/>
  <c r="Q604" i="1"/>
  <c r="R603" i="1"/>
  <c r="O603" i="1"/>
  <c r="P603" i="1"/>
  <c r="Q603" i="1"/>
  <c r="O602" i="1"/>
  <c r="R602" i="1"/>
  <c r="P602" i="1"/>
  <c r="Q602" i="1"/>
  <c r="R601" i="1"/>
  <c r="O601" i="1"/>
  <c r="P601" i="1"/>
  <c r="Q601" i="1"/>
  <c r="R600" i="1"/>
  <c r="O600" i="1"/>
  <c r="P600" i="1"/>
  <c r="Q600" i="1"/>
  <c r="O599" i="1"/>
  <c r="R599" i="1"/>
  <c r="P599" i="1"/>
  <c r="Q599" i="1"/>
  <c r="O598" i="1"/>
  <c r="R598" i="1"/>
  <c r="P598" i="1"/>
  <c r="Q598" i="1"/>
  <c r="R597" i="1"/>
  <c r="O597" i="1"/>
  <c r="P597" i="1"/>
  <c r="Q597" i="1"/>
  <c r="O596" i="1"/>
  <c r="R596" i="1"/>
  <c r="O595" i="1"/>
  <c r="R595" i="1"/>
  <c r="P595" i="1"/>
  <c r="Q595" i="1"/>
  <c r="R594" i="1"/>
  <c r="O594" i="1"/>
  <c r="P594" i="1"/>
  <c r="Q594" i="1"/>
  <c r="O593" i="1"/>
  <c r="R593" i="1"/>
  <c r="P593" i="1"/>
  <c r="Q593" i="1"/>
  <c r="O592" i="1"/>
  <c r="R592" i="1"/>
  <c r="P592" i="1"/>
  <c r="Q592" i="1"/>
  <c r="R591" i="1"/>
  <c r="O591" i="1"/>
  <c r="P591" i="1"/>
  <c r="Q591" i="1"/>
  <c r="R590" i="1"/>
  <c r="O590" i="1"/>
  <c r="P590" i="1"/>
  <c r="Q590" i="1"/>
  <c r="R589" i="1"/>
  <c r="O589" i="1"/>
  <c r="P589" i="1"/>
  <c r="Q589" i="1"/>
  <c r="R588" i="1"/>
  <c r="O588" i="1"/>
  <c r="P588" i="1"/>
  <c r="Q588" i="1"/>
  <c r="R587" i="1"/>
  <c r="O587" i="1"/>
  <c r="P587" i="1"/>
  <c r="Q587" i="1"/>
  <c r="R586" i="1"/>
  <c r="O586" i="1"/>
  <c r="I586" i="1"/>
  <c r="K586" i="1"/>
  <c r="R585" i="1"/>
  <c r="O585" i="1"/>
  <c r="P585" i="1"/>
  <c r="Q585" i="1"/>
  <c r="R584" i="1"/>
  <c r="O584" i="1"/>
  <c r="P584" i="1"/>
  <c r="Q584" i="1"/>
  <c r="R583" i="1"/>
  <c r="O583" i="1"/>
  <c r="P583" i="1"/>
  <c r="Q583" i="1"/>
  <c r="O582" i="1"/>
  <c r="R582" i="1"/>
  <c r="P582" i="1"/>
  <c r="Q582" i="1"/>
  <c r="O581" i="1"/>
  <c r="R581" i="1"/>
  <c r="P581" i="1"/>
  <c r="Q581" i="1"/>
  <c r="O580" i="1"/>
  <c r="R580" i="1"/>
  <c r="P580" i="1"/>
  <c r="Q580" i="1"/>
  <c r="O579" i="1"/>
  <c r="R579" i="1"/>
  <c r="P579" i="1"/>
  <c r="Q579" i="1"/>
  <c r="R578" i="1"/>
  <c r="O578" i="1"/>
  <c r="P578" i="1"/>
  <c r="Q578" i="1"/>
  <c r="R577" i="1"/>
  <c r="O577" i="1"/>
  <c r="P577" i="1"/>
  <c r="Q577" i="1"/>
  <c r="R576" i="1"/>
  <c r="O576" i="1"/>
  <c r="P576" i="1"/>
  <c r="Q576" i="1"/>
  <c r="R575" i="1"/>
  <c r="O575" i="1"/>
  <c r="P575" i="1"/>
  <c r="Q575" i="1"/>
  <c r="R574" i="1"/>
  <c r="O574" i="1"/>
  <c r="P574" i="1"/>
  <c r="Q574" i="1"/>
  <c r="R573" i="1"/>
  <c r="O573" i="1"/>
  <c r="P573" i="1"/>
  <c r="Q573" i="1"/>
  <c r="R572" i="1"/>
  <c r="O572" i="1"/>
  <c r="P572" i="1"/>
  <c r="Q572" i="1"/>
  <c r="O571" i="1"/>
  <c r="R571" i="1"/>
  <c r="P571" i="1"/>
  <c r="Q571" i="1"/>
  <c r="O570" i="1"/>
  <c r="R570" i="1"/>
  <c r="P570" i="1"/>
  <c r="Q570" i="1"/>
  <c r="R569" i="1"/>
  <c r="O569" i="1"/>
  <c r="P569" i="1"/>
  <c r="Q569" i="1"/>
  <c r="R568" i="1"/>
  <c r="O568" i="1"/>
  <c r="P568" i="1"/>
  <c r="Q568" i="1"/>
  <c r="R567" i="1"/>
  <c r="O567" i="1"/>
  <c r="P567" i="1"/>
  <c r="Q567" i="1"/>
  <c r="R566" i="1"/>
  <c r="O566" i="1"/>
  <c r="P566" i="1"/>
  <c r="Q566" i="1"/>
  <c r="R565" i="1"/>
  <c r="O565" i="1"/>
  <c r="P565" i="1"/>
  <c r="Q565" i="1"/>
  <c r="R564" i="1"/>
  <c r="O564" i="1"/>
  <c r="P564" i="1"/>
  <c r="Q564" i="1"/>
  <c r="R563" i="1"/>
  <c r="O563" i="1"/>
  <c r="P563" i="1"/>
  <c r="Q563" i="1"/>
  <c r="R562" i="1"/>
  <c r="O562" i="1"/>
  <c r="P562" i="1"/>
  <c r="Q562" i="1"/>
  <c r="R561" i="1"/>
  <c r="O561" i="1"/>
  <c r="P561" i="1"/>
  <c r="Q561" i="1"/>
  <c r="R560" i="1"/>
  <c r="O560" i="1"/>
  <c r="P560" i="1"/>
  <c r="Q560" i="1"/>
  <c r="R559" i="1"/>
  <c r="O559" i="1"/>
  <c r="P559" i="1"/>
  <c r="Q559" i="1"/>
  <c r="R558" i="1"/>
  <c r="O558" i="1"/>
  <c r="P558" i="1"/>
  <c r="Q558" i="1"/>
  <c r="R557" i="1"/>
  <c r="O557" i="1"/>
  <c r="P557" i="1"/>
  <c r="Q557" i="1"/>
  <c r="R556" i="1"/>
  <c r="O556" i="1"/>
  <c r="P556" i="1"/>
  <c r="Q556" i="1"/>
  <c r="R555" i="1"/>
  <c r="O555" i="1"/>
  <c r="P555" i="1"/>
  <c r="Q555" i="1"/>
  <c r="R554" i="1"/>
  <c r="O554" i="1"/>
  <c r="P554" i="1"/>
  <c r="Q554" i="1"/>
  <c r="O553" i="1"/>
  <c r="R553" i="1"/>
  <c r="P553" i="1"/>
  <c r="Q553" i="1"/>
  <c r="R552" i="1"/>
  <c r="O552" i="1"/>
  <c r="P552" i="1"/>
  <c r="Q552" i="1"/>
  <c r="R551" i="1"/>
  <c r="O551" i="1"/>
  <c r="P551" i="1"/>
  <c r="Q551" i="1"/>
  <c r="R550" i="1"/>
  <c r="O550" i="1"/>
  <c r="P550" i="1"/>
  <c r="Q550" i="1"/>
  <c r="O549" i="1"/>
  <c r="R549" i="1"/>
  <c r="I549" i="1"/>
  <c r="K549" i="1" s="1"/>
  <c r="O548" i="1"/>
  <c r="R548" i="1"/>
  <c r="P548" i="1"/>
  <c r="Q548" i="1"/>
  <c r="O547" i="1"/>
  <c r="R547" i="1"/>
  <c r="P547" i="1"/>
  <c r="Q547" i="1"/>
  <c r="O546" i="1"/>
  <c r="R546" i="1"/>
  <c r="P546" i="1"/>
  <c r="Q546" i="1"/>
  <c r="R545" i="1"/>
  <c r="O545" i="1"/>
  <c r="P545" i="1"/>
  <c r="Q545" i="1"/>
  <c r="O544" i="1"/>
  <c r="R544" i="1"/>
  <c r="P544" i="1"/>
  <c r="Q544" i="1"/>
  <c r="R543" i="1"/>
  <c r="O543" i="1"/>
  <c r="P543" i="1"/>
  <c r="Q543" i="1"/>
  <c r="R542" i="1"/>
  <c r="O542" i="1"/>
  <c r="P542" i="1"/>
  <c r="Q542" i="1"/>
  <c r="R541" i="1"/>
  <c r="O541" i="1"/>
  <c r="P541" i="1"/>
  <c r="Q541" i="1"/>
  <c r="R540" i="1"/>
  <c r="O540" i="1"/>
  <c r="P540" i="1"/>
  <c r="Q540" i="1"/>
  <c r="O539" i="1"/>
  <c r="R539" i="1"/>
  <c r="P539" i="1"/>
  <c r="Q539" i="1"/>
  <c r="R538" i="1"/>
  <c r="O538" i="1"/>
  <c r="P538" i="1"/>
  <c r="Q538" i="1"/>
  <c r="R537" i="1"/>
  <c r="O537" i="1"/>
  <c r="P537" i="1"/>
  <c r="Q537" i="1"/>
  <c r="R536" i="1"/>
  <c r="O536" i="1"/>
  <c r="P536" i="1"/>
  <c r="Q536" i="1"/>
  <c r="R535" i="1"/>
  <c r="O535" i="1"/>
  <c r="P535" i="1"/>
  <c r="Q535" i="1"/>
  <c r="O534" i="1"/>
  <c r="R534" i="1"/>
  <c r="P534" i="1"/>
  <c r="Q534" i="1"/>
  <c r="R533" i="1"/>
  <c r="O533" i="1"/>
  <c r="P533" i="1"/>
  <c r="Q533" i="1"/>
  <c r="R532" i="1"/>
  <c r="O532" i="1"/>
  <c r="P532" i="1"/>
  <c r="Q532" i="1"/>
  <c r="O531" i="1"/>
  <c r="R531" i="1"/>
  <c r="P531" i="1"/>
  <c r="Q531" i="1"/>
  <c r="R530" i="1"/>
  <c r="O530" i="1"/>
  <c r="P530" i="1"/>
  <c r="Q530" i="1"/>
  <c r="R529" i="1"/>
  <c r="O529" i="1"/>
  <c r="P529" i="1"/>
  <c r="Q529" i="1"/>
  <c r="R528" i="1"/>
  <c r="O528" i="1"/>
  <c r="P528" i="1"/>
  <c r="Q528" i="1"/>
  <c r="R527" i="1"/>
  <c r="O527" i="1"/>
  <c r="P527" i="1"/>
  <c r="Q527" i="1"/>
  <c r="R526" i="1"/>
  <c r="O526" i="1"/>
  <c r="P526" i="1"/>
  <c r="Q526" i="1"/>
  <c r="R525" i="1"/>
  <c r="O525" i="1"/>
  <c r="P525" i="1"/>
  <c r="Q525" i="1"/>
  <c r="O524" i="1"/>
  <c r="R524" i="1"/>
  <c r="P524" i="1"/>
  <c r="Q524" i="1"/>
  <c r="O523" i="1"/>
  <c r="R523" i="1"/>
  <c r="P523" i="1"/>
  <c r="Q523" i="1"/>
  <c r="R522" i="1"/>
  <c r="O522" i="1"/>
  <c r="P522" i="1"/>
  <c r="Q522" i="1"/>
  <c r="R521" i="1"/>
  <c r="O521" i="1"/>
  <c r="P521" i="1"/>
  <c r="Q521" i="1"/>
  <c r="R520" i="1"/>
  <c r="O520" i="1"/>
  <c r="P520" i="1"/>
  <c r="Q520" i="1"/>
  <c r="R519" i="1"/>
  <c r="O519" i="1"/>
  <c r="Q519" i="1"/>
  <c r="P519" i="1"/>
  <c r="O518" i="1"/>
  <c r="R518" i="1"/>
  <c r="P518" i="1"/>
  <c r="Q518" i="1"/>
  <c r="O517" i="1"/>
  <c r="R517" i="1"/>
  <c r="P517" i="1"/>
  <c r="Q517" i="1"/>
  <c r="R516" i="1"/>
  <c r="O516" i="1"/>
  <c r="P516" i="1"/>
  <c r="Q516" i="1"/>
  <c r="R515" i="1"/>
  <c r="O515" i="1"/>
  <c r="P515" i="1"/>
  <c r="Q515" i="1"/>
  <c r="O514" i="1"/>
  <c r="R514" i="1"/>
  <c r="P514" i="1"/>
  <c r="Q514" i="1"/>
  <c r="O513" i="1"/>
  <c r="R513" i="1"/>
  <c r="P513" i="1"/>
  <c r="Q513" i="1"/>
  <c r="O512" i="1"/>
  <c r="R512" i="1"/>
  <c r="P512" i="1"/>
  <c r="Q512" i="1"/>
  <c r="R511" i="1"/>
  <c r="O511" i="1"/>
  <c r="P511" i="1"/>
  <c r="Q511" i="1"/>
  <c r="O510" i="1"/>
  <c r="R510" i="1"/>
  <c r="P510" i="1"/>
  <c r="Q510" i="1"/>
  <c r="R509" i="1"/>
  <c r="O509" i="1"/>
  <c r="R508" i="1"/>
  <c r="O508" i="1"/>
  <c r="P508" i="1"/>
  <c r="Q508" i="1"/>
  <c r="O507" i="1"/>
  <c r="R507" i="1"/>
  <c r="P507" i="1"/>
  <c r="Q507" i="1"/>
  <c r="O506" i="1"/>
  <c r="R506" i="1"/>
  <c r="P506" i="1"/>
  <c r="Q506" i="1"/>
  <c r="R505" i="1"/>
  <c r="O505" i="1"/>
  <c r="P505" i="1"/>
  <c r="Q505" i="1"/>
  <c r="R504" i="1"/>
  <c r="O504" i="1"/>
  <c r="P504" i="1"/>
  <c r="Q504" i="1"/>
  <c r="R503" i="1"/>
  <c r="O503" i="1"/>
  <c r="P503" i="1"/>
  <c r="Q503" i="1"/>
  <c r="O502" i="1"/>
  <c r="R502" i="1"/>
  <c r="P502" i="1"/>
  <c r="Q502" i="1"/>
  <c r="R501" i="1"/>
  <c r="O501" i="1"/>
  <c r="P501" i="1"/>
  <c r="Q501" i="1"/>
  <c r="O500" i="1"/>
  <c r="R500" i="1"/>
  <c r="P500" i="1"/>
  <c r="Q500" i="1"/>
  <c r="O499" i="1"/>
  <c r="R499" i="1"/>
  <c r="P499" i="1"/>
  <c r="Q499" i="1"/>
  <c r="R498" i="1"/>
  <c r="O498" i="1"/>
  <c r="P498" i="1"/>
  <c r="Q498" i="1"/>
  <c r="O497" i="1"/>
  <c r="R497" i="1"/>
  <c r="P497" i="1"/>
  <c r="Q497" i="1"/>
  <c r="O496" i="1"/>
  <c r="R496" i="1"/>
  <c r="P496" i="1"/>
  <c r="Q496" i="1"/>
  <c r="O495" i="1"/>
  <c r="R495" i="1"/>
  <c r="P495" i="1"/>
  <c r="Q495" i="1"/>
  <c r="R494" i="1"/>
  <c r="O494" i="1"/>
  <c r="P494" i="1"/>
  <c r="Q494" i="1"/>
  <c r="R493" i="1"/>
  <c r="O493" i="1"/>
  <c r="P493" i="1"/>
  <c r="Q493" i="1"/>
  <c r="R492" i="1"/>
  <c r="O492" i="1"/>
  <c r="Q492" i="1"/>
  <c r="P492" i="1"/>
  <c r="R491" i="1"/>
  <c r="O491" i="1"/>
  <c r="P491" i="1"/>
  <c r="Q491" i="1"/>
  <c r="O490" i="1"/>
  <c r="R490" i="1"/>
  <c r="P490" i="1"/>
  <c r="Q490" i="1"/>
  <c r="O489" i="1"/>
  <c r="R489" i="1"/>
  <c r="P489" i="1"/>
  <c r="Q489" i="1"/>
  <c r="O488" i="1"/>
  <c r="R488" i="1"/>
  <c r="P488" i="1"/>
  <c r="Q488" i="1"/>
  <c r="R487" i="1"/>
  <c r="O487" i="1"/>
  <c r="P487" i="1"/>
  <c r="Q487" i="1"/>
  <c r="O486" i="1"/>
  <c r="R486" i="1"/>
  <c r="P486" i="1"/>
  <c r="Q486" i="1"/>
  <c r="O485" i="1"/>
  <c r="R485" i="1"/>
  <c r="P485" i="1"/>
  <c r="Q485" i="1"/>
  <c r="R484" i="1"/>
  <c r="O484" i="1"/>
  <c r="P484" i="1"/>
  <c r="Q484" i="1"/>
  <c r="O483" i="1"/>
  <c r="R483" i="1"/>
  <c r="P483" i="1"/>
  <c r="Q483" i="1"/>
  <c r="R482" i="1"/>
  <c r="O482" i="1"/>
  <c r="P482" i="1"/>
  <c r="Q482" i="1"/>
  <c r="O481" i="1"/>
  <c r="R481" i="1"/>
  <c r="P481" i="1"/>
  <c r="Q481" i="1"/>
  <c r="O480" i="1"/>
  <c r="R480" i="1"/>
  <c r="P480" i="1"/>
  <c r="Q480" i="1"/>
  <c r="O479" i="1"/>
  <c r="R479" i="1"/>
  <c r="P479" i="1"/>
  <c r="Q479" i="1"/>
  <c r="O478" i="1"/>
  <c r="R478" i="1"/>
  <c r="P478" i="1"/>
  <c r="Q478" i="1"/>
  <c r="R477" i="1"/>
  <c r="O477" i="1"/>
  <c r="P477" i="1"/>
  <c r="Q477" i="1"/>
  <c r="R476" i="1"/>
  <c r="O476" i="1"/>
  <c r="P476" i="1"/>
  <c r="Q476" i="1"/>
  <c r="O475" i="1"/>
  <c r="R475" i="1"/>
  <c r="P475" i="1"/>
  <c r="Q475" i="1"/>
  <c r="R474" i="1"/>
  <c r="O474" i="1"/>
  <c r="P474" i="1"/>
  <c r="Q474" i="1"/>
  <c r="R473" i="1"/>
  <c r="O473" i="1"/>
  <c r="P473" i="1"/>
  <c r="Q473" i="1"/>
  <c r="O472" i="1"/>
  <c r="R472" i="1"/>
  <c r="P472" i="1"/>
  <c r="Q472" i="1"/>
  <c r="R471" i="1"/>
  <c r="O471" i="1"/>
  <c r="P471" i="1"/>
  <c r="Q471" i="1"/>
  <c r="R470" i="1"/>
  <c r="O470" i="1"/>
  <c r="P470" i="1"/>
  <c r="Q470" i="1"/>
  <c r="R469" i="1"/>
  <c r="O469" i="1"/>
  <c r="P469" i="1"/>
  <c r="Q469" i="1"/>
  <c r="R468" i="1"/>
  <c r="O468" i="1"/>
  <c r="P468" i="1"/>
  <c r="Q468" i="1"/>
  <c r="R467" i="1"/>
  <c r="O467" i="1"/>
  <c r="P467" i="1"/>
  <c r="Q467" i="1"/>
  <c r="O466" i="1"/>
  <c r="R466" i="1"/>
  <c r="P466" i="1"/>
  <c r="Q466" i="1"/>
  <c r="O465" i="1"/>
  <c r="R465" i="1"/>
  <c r="P465" i="1"/>
  <c r="Q465" i="1"/>
  <c r="O464" i="1"/>
  <c r="R464" i="1"/>
  <c r="P464" i="1"/>
  <c r="Q464" i="1"/>
  <c r="O463" i="1"/>
  <c r="R463" i="1"/>
  <c r="P463" i="1"/>
  <c r="Q463" i="1"/>
  <c r="R462" i="1"/>
  <c r="O462" i="1"/>
  <c r="P462" i="1"/>
  <c r="Q462" i="1"/>
  <c r="O461" i="1"/>
  <c r="R461" i="1"/>
  <c r="P461" i="1"/>
  <c r="Q461" i="1"/>
  <c r="R460" i="1"/>
  <c r="O460" i="1"/>
  <c r="P460" i="1"/>
  <c r="Q460" i="1"/>
  <c r="R459" i="1"/>
  <c r="O459" i="1"/>
  <c r="P459" i="1"/>
  <c r="Q459" i="1"/>
  <c r="O458" i="1"/>
  <c r="R458" i="1"/>
  <c r="P458" i="1"/>
  <c r="Q458" i="1"/>
  <c r="O457" i="1"/>
  <c r="R457" i="1"/>
  <c r="P457" i="1"/>
  <c r="Q457" i="1"/>
  <c r="R456" i="1"/>
  <c r="O456" i="1"/>
  <c r="P456" i="1"/>
  <c r="Q456" i="1"/>
  <c r="R455" i="1"/>
  <c r="O455" i="1"/>
  <c r="P455" i="1"/>
  <c r="Q455" i="1"/>
  <c r="O454" i="1"/>
  <c r="R454" i="1"/>
  <c r="P454" i="1"/>
  <c r="Q454" i="1"/>
  <c r="O453" i="1"/>
  <c r="R453" i="1"/>
  <c r="P453" i="1"/>
  <c r="Q453" i="1"/>
  <c r="O452" i="1"/>
  <c r="R452" i="1"/>
  <c r="P452" i="1"/>
  <c r="Q452" i="1"/>
  <c r="R451" i="1"/>
  <c r="O451" i="1"/>
  <c r="R450" i="1"/>
  <c r="O450" i="1"/>
  <c r="P450" i="1"/>
  <c r="Q450" i="1"/>
  <c r="R449" i="1"/>
  <c r="O449" i="1"/>
  <c r="P449" i="1"/>
  <c r="Q449" i="1"/>
  <c r="R448" i="1"/>
  <c r="O448" i="1"/>
  <c r="P448" i="1"/>
  <c r="Q448" i="1"/>
  <c r="O447" i="1"/>
  <c r="R447" i="1"/>
  <c r="P447" i="1"/>
  <c r="Q447" i="1"/>
  <c r="R446" i="1"/>
  <c r="O446" i="1"/>
  <c r="P446" i="1"/>
  <c r="Q446" i="1"/>
  <c r="R445" i="1"/>
  <c r="O445" i="1"/>
  <c r="P445" i="1"/>
  <c r="Q445" i="1"/>
  <c r="O444" i="1"/>
  <c r="R444" i="1"/>
  <c r="P444" i="1"/>
  <c r="Q444" i="1"/>
  <c r="O443" i="1"/>
  <c r="R443" i="1"/>
  <c r="P443" i="1"/>
  <c r="Q443" i="1"/>
  <c r="R442" i="1"/>
  <c r="O442" i="1"/>
  <c r="P442" i="1"/>
  <c r="Q442" i="1"/>
  <c r="O441" i="1"/>
  <c r="R441" i="1"/>
  <c r="P441" i="1"/>
  <c r="Q441" i="1"/>
  <c r="O440" i="1"/>
  <c r="R440" i="1"/>
  <c r="P440" i="1"/>
  <c r="Q440" i="1"/>
  <c r="R439" i="1"/>
  <c r="O439" i="1"/>
  <c r="P439" i="1"/>
  <c r="Q439" i="1"/>
  <c r="O438" i="1"/>
  <c r="R438" i="1"/>
  <c r="P438" i="1"/>
  <c r="Q438" i="1"/>
  <c r="P437" i="1"/>
  <c r="Q437" i="1"/>
  <c r="O436" i="1"/>
  <c r="R436" i="1"/>
  <c r="P436" i="1"/>
  <c r="Q436" i="1"/>
  <c r="O435" i="1"/>
  <c r="R435" i="1"/>
  <c r="P435" i="1"/>
  <c r="Q435" i="1"/>
  <c r="R434" i="1"/>
  <c r="O434" i="1"/>
  <c r="P434" i="1"/>
  <c r="Q434" i="1"/>
  <c r="O433" i="1"/>
  <c r="R433" i="1"/>
  <c r="P433" i="1"/>
  <c r="Q433" i="1"/>
  <c r="P432" i="1"/>
  <c r="Q432" i="1"/>
  <c r="R431" i="1"/>
  <c r="O431" i="1"/>
  <c r="Q431" i="1"/>
  <c r="P431" i="1"/>
  <c r="R430" i="1"/>
  <c r="O430" i="1"/>
  <c r="P430" i="1"/>
  <c r="Q430" i="1"/>
  <c r="P429" i="1"/>
  <c r="Q429" i="1"/>
  <c r="R428" i="1"/>
  <c r="O428" i="1"/>
  <c r="P428" i="1"/>
  <c r="Q428" i="1"/>
  <c r="R427" i="1"/>
  <c r="O427" i="1"/>
  <c r="P427" i="1"/>
  <c r="Q427" i="1"/>
  <c r="P426" i="1"/>
  <c r="Q426" i="1"/>
  <c r="P425" i="1"/>
  <c r="Q425" i="1"/>
  <c r="P424" i="1"/>
  <c r="Q424" i="1"/>
  <c r="P423" i="1"/>
  <c r="Q423" i="1"/>
  <c r="P422" i="1"/>
  <c r="Q422" i="1"/>
  <c r="P421" i="1"/>
  <c r="Q421" i="1"/>
  <c r="O420" i="1"/>
  <c r="R420" i="1"/>
  <c r="P420" i="1"/>
  <c r="Q420" i="1"/>
  <c r="P419" i="1"/>
  <c r="Q419" i="1"/>
  <c r="P418" i="1"/>
  <c r="Q418" i="1"/>
  <c r="O417" i="1"/>
  <c r="R417" i="1"/>
  <c r="Q417" i="1"/>
  <c r="P417" i="1"/>
  <c r="P416" i="1"/>
  <c r="Q416" i="1"/>
  <c r="R415" i="1"/>
  <c r="O415" i="1"/>
  <c r="P415" i="1"/>
  <c r="Q415" i="1"/>
  <c r="P414" i="1"/>
  <c r="Q414" i="1"/>
  <c r="P413" i="1"/>
  <c r="Q413" i="1"/>
  <c r="R412" i="1"/>
  <c r="O412" i="1"/>
  <c r="P412" i="1"/>
  <c r="Q412" i="1"/>
  <c r="P411" i="1"/>
  <c r="Q411" i="1"/>
  <c r="P410" i="1"/>
  <c r="Q410" i="1"/>
  <c r="P409" i="1"/>
  <c r="Q409" i="1"/>
  <c r="P408" i="1"/>
  <c r="Q408" i="1"/>
  <c r="O407" i="1"/>
  <c r="R407" i="1"/>
  <c r="P407" i="1"/>
  <c r="Q407" i="1"/>
  <c r="P406" i="1"/>
  <c r="Q406" i="1"/>
  <c r="R405" i="1"/>
  <c r="O405" i="1"/>
  <c r="P405" i="1"/>
  <c r="Q405" i="1"/>
  <c r="P404" i="1"/>
  <c r="Q404" i="1"/>
  <c r="P403" i="1"/>
  <c r="Q403" i="1"/>
  <c r="O402" i="1"/>
  <c r="R402" i="1"/>
  <c r="P402" i="1"/>
  <c r="Q402" i="1"/>
  <c r="P401" i="1"/>
  <c r="Q401" i="1"/>
  <c r="R400" i="1"/>
  <c r="O400" i="1"/>
  <c r="P400" i="1"/>
  <c r="Q400" i="1"/>
  <c r="O399" i="1"/>
  <c r="R399" i="1"/>
  <c r="P399" i="1"/>
  <c r="Q399" i="1"/>
  <c r="O398" i="1"/>
  <c r="R398" i="1"/>
  <c r="P398" i="1"/>
  <c r="Q398" i="1"/>
  <c r="P397" i="1"/>
  <c r="Q397" i="1"/>
  <c r="R396" i="1"/>
  <c r="O396" i="1"/>
  <c r="P396" i="1"/>
  <c r="Q396" i="1"/>
  <c r="P395" i="1"/>
  <c r="Q395" i="1"/>
  <c r="P394" i="1"/>
  <c r="Q394" i="1"/>
  <c r="P393" i="1"/>
  <c r="Q393" i="1"/>
  <c r="P392" i="1"/>
  <c r="Q392" i="1"/>
  <c r="R391" i="1"/>
  <c r="O391" i="1"/>
  <c r="P391" i="1"/>
  <c r="Q391" i="1"/>
  <c r="P390" i="1"/>
  <c r="Q390" i="1"/>
  <c r="R389" i="1"/>
  <c r="O389" i="1"/>
  <c r="P389" i="1"/>
  <c r="Q389" i="1"/>
  <c r="P388" i="1"/>
  <c r="Q388" i="1"/>
  <c r="P387" i="1"/>
  <c r="Q387" i="1"/>
  <c r="P386" i="1"/>
  <c r="Q386" i="1"/>
  <c r="O385" i="1"/>
  <c r="R385" i="1"/>
  <c r="P385" i="1"/>
  <c r="Q385" i="1"/>
  <c r="P384" i="1"/>
  <c r="Q384" i="1"/>
  <c r="P383" i="1"/>
  <c r="Q383" i="1"/>
  <c r="P382" i="1"/>
  <c r="Q382" i="1"/>
  <c r="O381" i="1"/>
  <c r="R381" i="1"/>
  <c r="P381" i="1"/>
  <c r="Q381" i="1"/>
  <c r="O380" i="1"/>
  <c r="R380" i="1"/>
  <c r="P380" i="1"/>
  <c r="Q380" i="1"/>
  <c r="P379" i="1"/>
  <c r="Q379" i="1"/>
  <c r="P378" i="1"/>
  <c r="Q378" i="1"/>
  <c r="P377" i="1"/>
  <c r="Q377" i="1"/>
  <c r="R376" i="1"/>
  <c r="O376" i="1"/>
  <c r="P376" i="1"/>
  <c r="Q376" i="1"/>
  <c r="P375" i="1"/>
  <c r="Q375" i="1"/>
  <c r="P374" i="1"/>
  <c r="Q374" i="1"/>
  <c r="O373" i="1"/>
  <c r="R373" i="1"/>
  <c r="P373" i="1"/>
  <c r="Q373" i="1"/>
  <c r="P372" i="1"/>
  <c r="Q372" i="1"/>
  <c r="P371" i="1"/>
  <c r="Q371" i="1"/>
  <c r="R370" i="1"/>
  <c r="O370" i="1"/>
  <c r="P370" i="1"/>
  <c r="Q370" i="1"/>
  <c r="O369" i="1"/>
  <c r="R369" i="1"/>
  <c r="P369" i="1"/>
  <c r="Q369" i="1"/>
  <c r="O368" i="1"/>
  <c r="R368" i="1"/>
  <c r="P368" i="1"/>
  <c r="Q368" i="1"/>
  <c r="P367" i="1"/>
  <c r="Q367" i="1"/>
  <c r="P366" i="1"/>
  <c r="Q366" i="1"/>
  <c r="P365" i="1"/>
  <c r="Q365" i="1"/>
  <c r="O364" i="1"/>
  <c r="R364" i="1"/>
  <c r="P364" i="1"/>
  <c r="Q364" i="1"/>
  <c r="P363" i="1"/>
  <c r="Q363" i="1"/>
  <c r="O362" i="1"/>
  <c r="R362" i="1"/>
  <c r="Q362" i="1"/>
  <c r="P362" i="1"/>
  <c r="R361" i="1"/>
  <c r="O361" i="1"/>
  <c r="P361" i="1"/>
  <c r="Q361" i="1"/>
  <c r="P360" i="1"/>
  <c r="Q360" i="1"/>
  <c r="R359" i="1"/>
  <c r="O359" i="1"/>
  <c r="Q359" i="1"/>
  <c r="P359" i="1"/>
  <c r="R358" i="1"/>
  <c r="O358" i="1"/>
  <c r="P358" i="1"/>
  <c r="Q358" i="1"/>
  <c r="R357" i="1"/>
  <c r="O357" i="1"/>
  <c r="P357" i="1"/>
  <c r="Q357" i="1"/>
  <c r="R356" i="1"/>
  <c r="O356" i="1"/>
  <c r="P356" i="1"/>
  <c r="Q356" i="1"/>
  <c r="O355" i="1"/>
  <c r="R355" i="1"/>
  <c r="P355" i="1"/>
  <c r="Q355" i="1"/>
  <c r="R354" i="1"/>
  <c r="O354" i="1"/>
  <c r="P354" i="1"/>
  <c r="Q354" i="1"/>
  <c r="R353" i="1"/>
  <c r="O353" i="1"/>
  <c r="P353" i="1"/>
  <c r="Q353" i="1"/>
  <c r="R352" i="1"/>
  <c r="O352" i="1"/>
  <c r="P352" i="1"/>
  <c r="Q352" i="1"/>
  <c r="O351" i="1"/>
  <c r="R351" i="1"/>
  <c r="P351" i="1"/>
  <c r="Q351" i="1"/>
  <c r="O350" i="1"/>
  <c r="R350" i="1"/>
  <c r="P350" i="1"/>
  <c r="Q350" i="1"/>
  <c r="O349" i="1"/>
  <c r="R349" i="1"/>
  <c r="P349" i="1"/>
  <c r="Q349" i="1"/>
  <c r="O348" i="1"/>
  <c r="R348" i="1"/>
  <c r="P348" i="1"/>
  <c r="Q348" i="1"/>
  <c r="O347" i="1"/>
  <c r="R347" i="1"/>
  <c r="P347" i="1"/>
  <c r="Q347" i="1"/>
  <c r="O346" i="1"/>
  <c r="R346" i="1"/>
  <c r="P346" i="1"/>
  <c r="Q346" i="1"/>
  <c r="O345" i="1"/>
  <c r="R345" i="1"/>
  <c r="P345" i="1"/>
  <c r="Q345" i="1"/>
  <c r="O344" i="1"/>
  <c r="R344" i="1"/>
  <c r="P344" i="1"/>
  <c r="Q344" i="1"/>
  <c r="R343" i="1"/>
  <c r="O343" i="1"/>
  <c r="P343" i="1"/>
  <c r="Q343" i="1"/>
  <c r="R342" i="1"/>
  <c r="O342" i="1"/>
  <c r="P342" i="1"/>
  <c r="Q342" i="1"/>
  <c r="O341" i="1"/>
  <c r="R341" i="1"/>
  <c r="P341" i="1"/>
  <c r="Q341" i="1"/>
  <c r="O340" i="1"/>
  <c r="R340" i="1"/>
  <c r="P340" i="1"/>
  <c r="Q340" i="1"/>
  <c r="O339" i="1"/>
  <c r="R339" i="1"/>
  <c r="P339" i="1"/>
  <c r="Q339" i="1"/>
  <c r="R338" i="1"/>
  <c r="O338" i="1"/>
  <c r="P338" i="1"/>
  <c r="Q338" i="1"/>
  <c r="O337" i="1"/>
  <c r="R337" i="1"/>
  <c r="P337" i="1"/>
  <c r="Q337" i="1"/>
  <c r="R336" i="1"/>
  <c r="O336" i="1"/>
  <c r="P336" i="1"/>
  <c r="Q336" i="1"/>
  <c r="O335" i="1"/>
  <c r="R335" i="1"/>
  <c r="P335" i="1"/>
  <c r="Q335" i="1"/>
  <c r="O334" i="1"/>
  <c r="R334" i="1"/>
  <c r="P334" i="1"/>
  <c r="Q334" i="1"/>
  <c r="O333" i="1"/>
  <c r="R333" i="1"/>
  <c r="P333" i="1"/>
  <c r="Q333" i="1"/>
  <c r="O332" i="1"/>
  <c r="R332" i="1"/>
  <c r="P332" i="1"/>
  <c r="Q332" i="1"/>
  <c r="O331" i="1"/>
  <c r="R331" i="1"/>
  <c r="P331" i="1"/>
  <c r="Q331" i="1"/>
  <c r="O330" i="1"/>
  <c r="R330" i="1"/>
  <c r="P330" i="1"/>
  <c r="Q330" i="1"/>
  <c r="R329" i="1"/>
  <c r="O329" i="1"/>
  <c r="P329" i="1"/>
  <c r="Q329" i="1"/>
  <c r="O328" i="1"/>
  <c r="R328" i="1"/>
  <c r="P328" i="1"/>
  <c r="Q328" i="1"/>
  <c r="O327" i="1"/>
  <c r="R327" i="1"/>
  <c r="P327" i="1"/>
  <c r="Q327" i="1"/>
  <c r="O326" i="1"/>
  <c r="R326" i="1"/>
  <c r="P326" i="1"/>
  <c r="Q326" i="1"/>
  <c r="R325" i="1"/>
  <c r="O325" i="1"/>
  <c r="P325" i="1"/>
  <c r="Q325" i="1"/>
  <c r="R324" i="1"/>
  <c r="O324" i="1"/>
  <c r="P324" i="1"/>
  <c r="Q324" i="1"/>
  <c r="R323" i="1"/>
  <c r="O323" i="1"/>
  <c r="P323" i="1"/>
  <c r="Q323" i="1"/>
  <c r="O322" i="1"/>
  <c r="R322" i="1"/>
  <c r="P322" i="1"/>
  <c r="Q322" i="1"/>
  <c r="O321" i="1"/>
  <c r="R321" i="1"/>
  <c r="P321" i="1"/>
  <c r="Q321" i="1"/>
  <c r="O320" i="1"/>
  <c r="R320" i="1"/>
  <c r="P320" i="1"/>
  <c r="Q320" i="1"/>
  <c r="R319" i="1"/>
  <c r="O319" i="1"/>
  <c r="P319" i="1"/>
  <c r="Q319" i="1"/>
  <c r="R318" i="1"/>
  <c r="O318" i="1"/>
  <c r="P318" i="1"/>
  <c r="Q318" i="1"/>
  <c r="R317" i="1"/>
  <c r="O317" i="1"/>
  <c r="P317" i="1"/>
  <c r="Q317" i="1"/>
  <c r="R316" i="1"/>
  <c r="O316" i="1"/>
  <c r="P316" i="1"/>
  <c r="Q316" i="1"/>
  <c r="O315" i="1"/>
  <c r="R315" i="1"/>
  <c r="P315" i="1"/>
  <c r="Q315" i="1"/>
  <c r="O314" i="1"/>
  <c r="R314" i="1"/>
  <c r="P314" i="1"/>
  <c r="Q314" i="1"/>
  <c r="R313" i="1"/>
  <c r="O313" i="1"/>
  <c r="P313" i="1"/>
  <c r="Q313" i="1"/>
  <c r="O312" i="1"/>
  <c r="R312" i="1"/>
  <c r="P312" i="1"/>
  <c r="Q312" i="1"/>
  <c r="R311" i="1"/>
  <c r="O311" i="1"/>
  <c r="P311" i="1"/>
  <c r="Q311" i="1"/>
  <c r="R310" i="1"/>
  <c r="O310" i="1"/>
  <c r="P310" i="1"/>
  <c r="Q310" i="1"/>
  <c r="R309" i="1"/>
  <c r="O309" i="1"/>
  <c r="P309" i="1"/>
  <c r="Q309" i="1"/>
  <c r="R308" i="1"/>
  <c r="O308" i="1"/>
  <c r="P308" i="1"/>
  <c r="Q308" i="1"/>
  <c r="O307" i="1"/>
  <c r="R307" i="1"/>
  <c r="P307" i="1"/>
  <c r="Q307" i="1"/>
  <c r="O306" i="1"/>
  <c r="R306" i="1"/>
  <c r="P306" i="1"/>
  <c r="Q306" i="1"/>
  <c r="O305" i="1"/>
  <c r="R305" i="1"/>
  <c r="P305" i="1"/>
  <c r="Q305" i="1"/>
  <c r="O304" i="1"/>
  <c r="R304" i="1"/>
  <c r="P304" i="1"/>
  <c r="Q304" i="1"/>
  <c r="R303" i="1"/>
  <c r="O303" i="1"/>
  <c r="P303" i="1"/>
  <c r="Q303" i="1"/>
  <c r="R302" i="1"/>
  <c r="O302" i="1"/>
  <c r="P302" i="1"/>
  <c r="Q302" i="1"/>
  <c r="R301" i="1"/>
  <c r="O301" i="1"/>
  <c r="P301" i="1"/>
  <c r="Q301" i="1"/>
  <c r="R300" i="1"/>
  <c r="O300" i="1"/>
  <c r="P300" i="1"/>
  <c r="Q300" i="1"/>
  <c r="R299" i="1"/>
  <c r="O299" i="1"/>
  <c r="P299" i="1"/>
  <c r="Q299" i="1"/>
  <c r="R298" i="1"/>
  <c r="O298" i="1"/>
  <c r="P298" i="1"/>
  <c r="Q298" i="1"/>
  <c r="R297" i="1"/>
  <c r="O297" i="1"/>
  <c r="P297" i="1"/>
  <c r="Q297" i="1"/>
  <c r="R296" i="1"/>
  <c r="O296" i="1"/>
  <c r="P296" i="1"/>
  <c r="Q296" i="1"/>
  <c r="O295" i="1"/>
  <c r="R295" i="1"/>
  <c r="P295" i="1"/>
  <c r="Q295" i="1"/>
  <c r="R294" i="1"/>
  <c r="O294" i="1"/>
  <c r="P294" i="1"/>
  <c r="Q294" i="1"/>
  <c r="R293" i="1"/>
  <c r="O293" i="1"/>
  <c r="P293" i="1"/>
  <c r="Q293" i="1"/>
  <c r="O292" i="1"/>
  <c r="R292" i="1"/>
  <c r="P292" i="1"/>
  <c r="Q292" i="1"/>
  <c r="O291" i="1"/>
  <c r="R291" i="1"/>
  <c r="P291" i="1"/>
  <c r="Q291" i="1"/>
  <c r="R290" i="1"/>
  <c r="O290" i="1"/>
  <c r="P290" i="1"/>
  <c r="Q290" i="1"/>
  <c r="O289" i="1"/>
  <c r="R289" i="1"/>
  <c r="R288" i="1"/>
  <c r="O288" i="1"/>
  <c r="P288" i="1"/>
  <c r="Q288" i="1"/>
  <c r="R287" i="1"/>
  <c r="O287" i="1"/>
  <c r="P287" i="1"/>
  <c r="Q287" i="1"/>
  <c r="R286" i="1"/>
  <c r="O286" i="1"/>
  <c r="P286" i="1"/>
  <c r="Q286" i="1"/>
  <c r="R285" i="1"/>
  <c r="O285" i="1"/>
  <c r="P285" i="1"/>
  <c r="Q285" i="1"/>
  <c r="R284" i="1"/>
  <c r="O284" i="1"/>
  <c r="P284" i="1"/>
  <c r="Q284" i="1"/>
  <c r="R283" i="1"/>
  <c r="O283" i="1"/>
  <c r="P283" i="1"/>
  <c r="Q283" i="1"/>
  <c r="R282" i="1"/>
  <c r="O282" i="1"/>
  <c r="P282" i="1"/>
  <c r="Q282" i="1"/>
  <c r="R281" i="1"/>
  <c r="O281" i="1"/>
  <c r="P281" i="1"/>
  <c r="Q281" i="1"/>
  <c r="R280" i="1"/>
  <c r="O280" i="1"/>
  <c r="P280" i="1"/>
  <c r="Q280" i="1"/>
  <c r="R279" i="1"/>
  <c r="O279" i="1"/>
  <c r="P279" i="1"/>
  <c r="Q279" i="1"/>
  <c r="R278" i="1"/>
  <c r="O278" i="1"/>
  <c r="P278" i="1"/>
  <c r="Q278" i="1"/>
  <c r="R277" i="1"/>
  <c r="O277" i="1"/>
  <c r="P277" i="1"/>
  <c r="Q277" i="1"/>
  <c r="R276" i="1"/>
  <c r="O276" i="1"/>
  <c r="P276" i="1"/>
  <c r="Q276" i="1"/>
  <c r="R275" i="1"/>
  <c r="O275" i="1"/>
  <c r="P275" i="1"/>
  <c r="Q275" i="1"/>
  <c r="R274" i="1"/>
  <c r="O274" i="1"/>
  <c r="P274" i="1"/>
  <c r="Q274" i="1"/>
  <c r="R273" i="1"/>
  <c r="O273" i="1"/>
  <c r="P273" i="1"/>
  <c r="Q273" i="1"/>
  <c r="P272" i="1"/>
  <c r="Q272" i="1"/>
  <c r="O271" i="1"/>
  <c r="R271" i="1"/>
  <c r="P271" i="1"/>
  <c r="Q271" i="1"/>
  <c r="O270" i="1"/>
  <c r="R270" i="1"/>
  <c r="P270" i="1"/>
  <c r="Q270" i="1"/>
  <c r="O269" i="1"/>
  <c r="R269" i="1"/>
  <c r="P269" i="1"/>
  <c r="Q269" i="1"/>
  <c r="O268" i="1"/>
  <c r="R268" i="1"/>
  <c r="P268" i="1"/>
  <c r="Q268" i="1"/>
  <c r="O267" i="1"/>
  <c r="R267" i="1"/>
  <c r="P267" i="1"/>
  <c r="Q267" i="1"/>
  <c r="R266" i="1"/>
  <c r="O266" i="1"/>
  <c r="P266" i="1"/>
  <c r="Q266" i="1"/>
  <c r="O265" i="1"/>
  <c r="R265" i="1"/>
  <c r="P265" i="1"/>
  <c r="Q265" i="1"/>
  <c r="R264" i="1"/>
  <c r="O264" i="1"/>
  <c r="P264" i="1"/>
  <c r="Q264" i="1"/>
  <c r="O263" i="1"/>
  <c r="R263" i="1"/>
  <c r="P263" i="1"/>
  <c r="Q263" i="1"/>
  <c r="R262" i="1"/>
  <c r="O262" i="1"/>
  <c r="P262" i="1"/>
  <c r="Q262" i="1"/>
  <c r="O261" i="1"/>
  <c r="R261" i="1"/>
  <c r="P261" i="1"/>
  <c r="Q261" i="1"/>
  <c r="O260" i="1"/>
  <c r="R260" i="1"/>
  <c r="P260" i="1"/>
  <c r="Q260" i="1"/>
  <c r="R259" i="1"/>
  <c r="O259" i="1"/>
  <c r="P259" i="1"/>
  <c r="Q259" i="1"/>
  <c r="O258" i="1"/>
  <c r="R258" i="1"/>
  <c r="P258" i="1"/>
  <c r="Q258" i="1"/>
  <c r="O257" i="1"/>
  <c r="R257" i="1"/>
  <c r="P257" i="1"/>
  <c r="Q257" i="1"/>
  <c r="R256" i="1"/>
  <c r="O256" i="1"/>
  <c r="P256" i="1"/>
  <c r="Q256" i="1"/>
  <c r="R255" i="1"/>
  <c r="O255" i="1"/>
  <c r="P255" i="1"/>
  <c r="Q255" i="1"/>
  <c r="R254" i="1"/>
  <c r="O254" i="1"/>
  <c r="P254" i="1"/>
  <c r="Q254" i="1"/>
  <c r="R253" i="1"/>
  <c r="O253" i="1"/>
  <c r="P253" i="1"/>
  <c r="Q253" i="1"/>
  <c r="R252" i="1"/>
  <c r="O252" i="1"/>
  <c r="P252" i="1"/>
  <c r="Q252" i="1"/>
  <c r="O251" i="1"/>
  <c r="R251" i="1"/>
  <c r="P251" i="1"/>
  <c r="Q251" i="1"/>
  <c r="R250" i="1"/>
  <c r="O250" i="1"/>
  <c r="P250" i="1"/>
  <c r="Q250" i="1"/>
  <c r="O249" i="1"/>
  <c r="R249" i="1"/>
  <c r="P249" i="1"/>
  <c r="Q249" i="1"/>
  <c r="P248" i="1"/>
  <c r="Q248" i="1"/>
  <c r="R247" i="1"/>
  <c r="O247" i="1"/>
  <c r="P247" i="1"/>
  <c r="Q247" i="1"/>
  <c r="O246" i="1"/>
  <c r="R246" i="1"/>
  <c r="P246" i="1"/>
  <c r="Q246" i="1"/>
  <c r="O245" i="1"/>
  <c r="R245" i="1"/>
  <c r="P245" i="1"/>
  <c r="Q245" i="1"/>
  <c r="O244" i="1"/>
  <c r="R244" i="1"/>
  <c r="P244" i="1"/>
  <c r="Q244" i="1"/>
  <c r="R243" i="1"/>
  <c r="O243" i="1"/>
  <c r="P243" i="1"/>
  <c r="Q243" i="1"/>
  <c r="R242" i="1"/>
  <c r="O242" i="1"/>
  <c r="P242" i="1"/>
  <c r="Q242" i="1"/>
  <c r="O241" i="1"/>
  <c r="R241" i="1"/>
  <c r="P241" i="1"/>
  <c r="Q241" i="1"/>
  <c r="P240" i="1"/>
  <c r="Q240" i="1"/>
  <c r="R239" i="1"/>
  <c r="O239" i="1"/>
  <c r="P239" i="1"/>
  <c r="Q239" i="1"/>
  <c r="R238" i="1"/>
  <c r="O238" i="1"/>
  <c r="P238" i="1"/>
  <c r="Q238" i="1"/>
  <c r="O237" i="1"/>
  <c r="R237" i="1"/>
  <c r="P237" i="1"/>
  <c r="Q237" i="1"/>
  <c r="O236" i="1"/>
  <c r="R236" i="1"/>
  <c r="P236" i="1"/>
  <c r="Q236" i="1"/>
  <c r="O235" i="1"/>
  <c r="R235" i="1"/>
  <c r="P235" i="1"/>
  <c r="Q235" i="1"/>
  <c r="R234" i="1"/>
  <c r="O234" i="1"/>
  <c r="P234" i="1"/>
  <c r="Q234" i="1"/>
  <c r="R233" i="1"/>
  <c r="O233" i="1"/>
  <c r="P233" i="1"/>
  <c r="Q233" i="1"/>
  <c r="R232" i="1"/>
  <c r="O232" i="1"/>
  <c r="P232" i="1"/>
  <c r="Q232" i="1"/>
  <c r="O231" i="1"/>
  <c r="R231" i="1"/>
  <c r="P231" i="1"/>
  <c r="Q231" i="1"/>
  <c r="O230" i="1"/>
  <c r="R230" i="1"/>
  <c r="P230" i="1"/>
  <c r="Q230" i="1"/>
  <c r="O229" i="1"/>
  <c r="R229" i="1"/>
  <c r="P229" i="1"/>
  <c r="Q229" i="1"/>
  <c r="R228" i="1"/>
  <c r="O228" i="1"/>
  <c r="P228" i="1"/>
  <c r="Q228" i="1"/>
  <c r="O227" i="1"/>
  <c r="R227" i="1"/>
  <c r="P227" i="1"/>
  <c r="Q227" i="1"/>
  <c r="R226" i="1"/>
  <c r="O226" i="1"/>
  <c r="P226" i="1"/>
  <c r="Q226" i="1"/>
  <c r="R225" i="1"/>
  <c r="O225" i="1"/>
  <c r="P225" i="1"/>
  <c r="Q225" i="1"/>
  <c r="R224" i="1"/>
  <c r="O224" i="1"/>
  <c r="P224" i="1"/>
  <c r="Q224" i="1"/>
  <c r="R223" i="1"/>
  <c r="O223" i="1"/>
  <c r="P223" i="1"/>
  <c r="Q223" i="1"/>
  <c r="R222" i="1"/>
  <c r="O222" i="1"/>
  <c r="P222" i="1"/>
  <c r="Q222" i="1"/>
  <c r="O221" i="1"/>
  <c r="R221" i="1"/>
  <c r="I221" i="1"/>
  <c r="K221" i="1" s="1"/>
  <c r="O220" i="1"/>
  <c r="R220" i="1"/>
  <c r="I220" i="1"/>
  <c r="K220" i="1" s="1"/>
  <c r="R219" i="1"/>
  <c r="O219" i="1"/>
  <c r="P219" i="1"/>
  <c r="Q219" i="1"/>
  <c r="O218" i="1"/>
  <c r="R218" i="1"/>
  <c r="P218" i="1"/>
  <c r="Q218" i="1"/>
  <c r="R217" i="1"/>
  <c r="O217" i="1"/>
  <c r="P217" i="1"/>
  <c r="Q217" i="1"/>
  <c r="R216" i="1"/>
  <c r="O216" i="1"/>
  <c r="P216" i="1"/>
  <c r="Q216" i="1"/>
  <c r="R215" i="1"/>
  <c r="O215" i="1"/>
  <c r="P215" i="1"/>
  <c r="Q215" i="1"/>
  <c r="R214" i="1"/>
  <c r="O214" i="1"/>
  <c r="P214" i="1"/>
  <c r="Q214" i="1"/>
  <c r="R213" i="1"/>
  <c r="O213" i="1"/>
  <c r="P213" i="1"/>
  <c r="Q213" i="1"/>
  <c r="O212" i="1"/>
  <c r="R212" i="1"/>
  <c r="P212" i="1"/>
  <c r="Q212" i="1"/>
  <c r="R211" i="1"/>
  <c r="O211" i="1"/>
  <c r="P211" i="1"/>
  <c r="Q211" i="1"/>
  <c r="R210" i="1"/>
  <c r="O210" i="1"/>
  <c r="P210" i="1"/>
  <c r="Q210" i="1"/>
  <c r="R209" i="1"/>
  <c r="O209" i="1"/>
  <c r="P209" i="1"/>
  <c r="Q209" i="1"/>
  <c r="R208" i="1"/>
  <c r="O208" i="1"/>
  <c r="P208" i="1"/>
  <c r="Q208" i="1"/>
  <c r="O207" i="1"/>
  <c r="R207" i="1"/>
  <c r="I207" i="1"/>
  <c r="K207" i="1" s="1"/>
  <c r="O206" i="1"/>
  <c r="R206" i="1"/>
  <c r="I206" i="1"/>
  <c r="K206" i="1" s="1"/>
  <c r="R205" i="1"/>
  <c r="O205" i="1"/>
  <c r="P205" i="1"/>
  <c r="Q205" i="1"/>
  <c r="R204" i="1"/>
  <c r="O204" i="1"/>
  <c r="P204" i="1"/>
  <c r="Q204" i="1"/>
  <c r="R203" i="1"/>
  <c r="O203" i="1"/>
  <c r="P203" i="1"/>
  <c r="Q203" i="1"/>
  <c r="R202" i="1"/>
  <c r="O202" i="1"/>
  <c r="P202" i="1"/>
  <c r="Q202" i="1"/>
  <c r="R201" i="1"/>
  <c r="O201" i="1"/>
  <c r="P201" i="1"/>
  <c r="Q201" i="1"/>
  <c r="R200" i="1"/>
  <c r="O200" i="1"/>
  <c r="P200" i="1"/>
  <c r="Q200" i="1"/>
  <c r="R199" i="1"/>
  <c r="O199" i="1"/>
  <c r="P199" i="1"/>
  <c r="Q199" i="1"/>
  <c r="R198" i="1"/>
  <c r="O198" i="1"/>
  <c r="P198" i="1"/>
  <c r="Q198" i="1"/>
  <c r="R197" i="1"/>
  <c r="O197" i="1"/>
  <c r="P197" i="1"/>
  <c r="Q197" i="1"/>
  <c r="O196" i="1"/>
  <c r="R196" i="1"/>
  <c r="P196" i="1"/>
  <c r="Q196" i="1"/>
  <c r="O195" i="1"/>
  <c r="R195" i="1"/>
  <c r="P195" i="1"/>
  <c r="Q195" i="1"/>
  <c r="O194" i="1"/>
  <c r="R194" i="1"/>
  <c r="P194" i="1"/>
  <c r="Q194" i="1"/>
  <c r="O193" i="1"/>
  <c r="R193" i="1"/>
  <c r="I193" i="1"/>
  <c r="K193" i="1" s="1"/>
  <c r="O192" i="1"/>
  <c r="R192" i="1"/>
  <c r="I192" i="1"/>
  <c r="K192" i="1"/>
  <c r="O191" i="1"/>
  <c r="R191" i="1"/>
  <c r="P191" i="1"/>
  <c r="Q191" i="1"/>
  <c r="R190" i="1"/>
  <c r="O190" i="1"/>
  <c r="P190" i="1"/>
  <c r="Q190" i="1"/>
  <c r="R189" i="1"/>
  <c r="O189" i="1"/>
  <c r="P189" i="1"/>
  <c r="Q189" i="1"/>
  <c r="R188" i="1"/>
  <c r="O188" i="1"/>
  <c r="P188" i="1"/>
  <c r="Q188" i="1"/>
  <c r="R187" i="1"/>
  <c r="O187" i="1"/>
  <c r="P187" i="1"/>
  <c r="Q187" i="1"/>
  <c r="R186" i="1"/>
  <c r="O186" i="1"/>
  <c r="P186" i="1"/>
  <c r="Q186" i="1"/>
  <c r="R185" i="1"/>
  <c r="O185" i="1"/>
  <c r="P185" i="1"/>
  <c r="Q185" i="1"/>
  <c r="R184" i="1"/>
  <c r="O184" i="1"/>
  <c r="P184" i="1"/>
  <c r="Q184" i="1"/>
  <c r="R183" i="1"/>
  <c r="O183" i="1"/>
  <c r="P183" i="1"/>
  <c r="Q183" i="1"/>
  <c r="R182" i="1"/>
  <c r="O182" i="1"/>
  <c r="P182" i="1"/>
  <c r="Q182" i="1"/>
  <c r="R181" i="1"/>
  <c r="O181" i="1"/>
  <c r="P181" i="1"/>
  <c r="Q181" i="1"/>
  <c r="R180" i="1"/>
  <c r="O180" i="1"/>
  <c r="P180" i="1"/>
  <c r="Q180" i="1"/>
  <c r="R179" i="1"/>
  <c r="O179" i="1"/>
  <c r="I179" i="1"/>
  <c r="K179" i="1" s="1"/>
  <c r="O178" i="1"/>
  <c r="R178" i="1"/>
  <c r="I178" i="1"/>
  <c r="K178" i="1"/>
  <c r="R177" i="1"/>
  <c r="O177" i="1"/>
  <c r="P177" i="1"/>
  <c r="Q177" i="1"/>
  <c r="O176" i="1"/>
  <c r="R176" i="1"/>
  <c r="P176" i="1"/>
  <c r="Q176" i="1"/>
  <c r="R175" i="1"/>
  <c r="O175" i="1"/>
  <c r="P175" i="1"/>
  <c r="Q175" i="1"/>
  <c r="R174" i="1"/>
  <c r="O174" i="1"/>
  <c r="P174" i="1"/>
  <c r="Q174" i="1"/>
  <c r="R173" i="1"/>
  <c r="O173" i="1"/>
  <c r="P173" i="1"/>
  <c r="Q173" i="1"/>
  <c r="O172" i="1"/>
  <c r="R172" i="1"/>
  <c r="P172" i="1"/>
  <c r="Q172" i="1"/>
  <c r="O171" i="1"/>
  <c r="R171" i="1"/>
  <c r="P171" i="1"/>
  <c r="Q171" i="1"/>
  <c r="R170" i="1"/>
  <c r="O170" i="1"/>
  <c r="P170" i="1"/>
  <c r="Q170" i="1"/>
  <c r="R169" i="1"/>
  <c r="O169" i="1"/>
  <c r="P169" i="1"/>
  <c r="Q169" i="1"/>
  <c r="O168" i="1"/>
  <c r="R168" i="1"/>
  <c r="P168" i="1"/>
  <c r="Q168" i="1"/>
  <c r="O167" i="1"/>
  <c r="R167" i="1"/>
  <c r="P167" i="1"/>
  <c r="Q167" i="1"/>
  <c r="O166" i="1"/>
  <c r="R166" i="1"/>
  <c r="P166" i="1"/>
  <c r="Q166" i="1"/>
  <c r="O165" i="1"/>
  <c r="R165" i="1"/>
  <c r="P165" i="1"/>
  <c r="Q165" i="1"/>
  <c r="O164" i="1"/>
  <c r="R164" i="1"/>
  <c r="P164" i="1"/>
  <c r="Q164" i="1"/>
  <c r="O163" i="1"/>
  <c r="R163" i="1"/>
  <c r="P163" i="1"/>
  <c r="Q163" i="1"/>
  <c r="O162" i="1"/>
  <c r="R162" i="1"/>
  <c r="P162" i="1"/>
  <c r="Q162" i="1"/>
  <c r="O161" i="1"/>
  <c r="R161" i="1"/>
  <c r="P161" i="1"/>
  <c r="Q161" i="1"/>
  <c r="O160" i="1"/>
  <c r="R160" i="1"/>
  <c r="P160" i="1"/>
  <c r="Q160" i="1"/>
  <c r="R159" i="1"/>
  <c r="O159" i="1"/>
  <c r="P159" i="1"/>
  <c r="Q159" i="1"/>
  <c r="R158" i="1"/>
  <c r="O158" i="1"/>
  <c r="P158" i="1"/>
  <c r="Q158" i="1"/>
  <c r="R157" i="1"/>
  <c r="O157" i="1"/>
  <c r="P157" i="1"/>
  <c r="Q157" i="1"/>
  <c r="R156" i="1"/>
  <c r="O156" i="1"/>
  <c r="P156" i="1"/>
  <c r="Q156" i="1"/>
  <c r="R155" i="1"/>
  <c r="O155" i="1"/>
  <c r="P155" i="1"/>
  <c r="Q155" i="1"/>
  <c r="R154" i="1"/>
  <c r="O154" i="1"/>
  <c r="P154" i="1"/>
  <c r="Q154" i="1"/>
  <c r="O153" i="1"/>
  <c r="R153" i="1"/>
  <c r="P153" i="1"/>
  <c r="Q153" i="1"/>
  <c r="R152" i="1"/>
  <c r="O152" i="1"/>
  <c r="P152" i="1"/>
  <c r="Q152" i="1"/>
  <c r="N150" i="1"/>
  <c r="L151" i="1"/>
  <c r="N151" i="1" s="1"/>
  <c r="I150" i="1"/>
  <c r="F151" i="1"/>
  <c r="H150" i="1"/>
  <c r="K150" i="1" s="1"/>
  <c r="E151" i="1"/>
  <c r="H151" i="1" s="1"/>
  <c r="R149" i="1"/>
  <c r="O149" i="1"/>
  <c r="P149" i="1"/>
  <c r="Q149" i="1"/>
  <c r="R148" i="1"/>
  <c r="O148" i="1"/>
  <c r="P148" i="1"/>
  <c r="Q148" i="1"/>
  <c r="O147" i="1"/>
  <c r="R147" i="1"/>
  <c r="P147" i="1"/>
  <c r="Q147" i="1"/>
  <c r="R146" i="1"/>
  <c r="O146" i="1"/>
  <c r="P146" i="1"/>
  <c r="Q146" i="1"/>
  <c r="O145" i="1"/>
  <c r="R145" i="1"/>
  <c r="P145" i="1"/>
  <c r="Q145" i="1"/>
  <c r="R144" i="1"/>
  <c r="O144" i="1"/>
  <c r="P144" i="1"/>
  <c r="Q144" i="1"/>
  <c r="O143" i="1"/>
  <c r="R143" i="1"/>
  <c r="P143" i="1"/>
  <c r="Q143" i="1"/>
  <c r="R142" i="1"/>
  <c r="O142" i="1"/>
  <c r="P142" i="1"/>
  <c r="Q142" i="1"/>
  <c r="O141" i="1"/>
  <c r="R141" i="1"/>
  <c r="P141" i="1"/>
  <c r="Q141" i="1"/>
  <c r="R140" i="1"/>
  <c r="O140" i="1"/>
  <c r="P140" i="1"/>
  <c r="Q140" i="1"/>
  <c r="O139" i="1"/>
  <c r="R139" i="1"/>
  <c r="P139" i="1"/>
  <c r="Q139" i="1"/>
  <c r="O138" i="1"/>
  <c r="R138" i="1"/>
  <c r="P138" i="1"/>
  <c r="Q138" i="1"/>
  <c r="R137" i="1"/>
  <c r="O137" i="1"/>
  <c r="P137" i="1"/>
  <c r="Q137" i="1"/>
  <c r="R136" i="1"/>
  <c r="O136" i="1"/>
  <c r="P136" i="1"/>
  <c r="Q136" i="1"/>
  <c r="O135" i="1"/>
  <c r="R135" i="1"/>
  <c r="P135" i="1"/>
  <c r="Q135" i="1"/>
  <c r="O134" i="1"/>
  <c r="R134" i="1"/>
  <c r="P134" i="1"/>
  <c r="Q134" i="1"/>
  <c r="O133" i="1"/>
  <c r="R133" i="1"/>
  <c r="P133" i="1"/>
  <c r="Q133" i="1"/>
  <c r="O132" i="1"/>
  <c r="R132" i="1"/>
  <c r="P132" i="1"/>
  <c r="Q132" i="1"/>
  <c r="O131" i="1"/>
  <c r="R131" i="1"/>
  <c r="P131" i="1"/>
  <c r="Q131" i="1"/>
  <c r="R130" i="1"/>
  <c r="O130" i="1"/>
  <c r="P130" i="1"/>
  <c r="Q130" i="1"/>
  <c r="O129" i="1"/>
  <c r="R129" i="1"/>
  <c r="P129" i="1"/>
  <c r="Q129" i="1"/>
  <c r="O128" i="1"/>
  <c r="R128" i="1"/>
  <c r="P128" i="1"/>
  <c r="Q128" i="1"/>
  <c r="O127" i="1"/>
  <c r="R127" i="1"/>
  <c r="P127" i="1"/>
  <c r="Q127" i="1"/>
  <c r="O126" i="1"/>
  <c r="R126" i="1"/>
  <c r="P126" i="1"/>
  <c r="Q126" i="1"/>
  <c r="O125" i="1"/>
  <c r="R125" i="1"/>
  <c r="P125" i="1"/>
  <c r="Q125" i="1"/>
  <c r="R124" i="1"/>
  <c r="O124" i="1"/>
  <c r="P124" i="1"/>
  <c r="Q124" i="1"/>
  <c r="O123" i="1"/>
  <c r="R123" i="1"/>
  <c r="P123" i="1"/>
  <c r="Q123" i="1"/>
  <c r="O122" i="1"/>
  <c r="R122" i="1"/>
  <c r="P122" i="1"/>
  <c r="Q122" i="1"/>
  <c r="O121" i="1"/>
  <c r="R121" i="1"/>
  <c r="P121" i="1"/>
  <c r="Q121" i="1"/>
  <c r="O120" i="1"/>
  <c r="R120" i="1"/>
  <c r="P120" i="1"/>
  <c r="Q120" i="1"/>
  <c r="R119" i="1"/>
  <c r="O119" i="1"/>
  <c r="P119" i="1"/>
  <c r="Q119" i="1"/>
  <c r="R118" i="1"/>
  <c r="O118" i="1"/>
  <c r="P118" i="1"/>
  <c r="Q118" i="1"/>
  <c r="R117" i="1"/>
  <c r="O117" i="1"/>
  <c r="P117" i="1"/>
  <c r="Q117" i="1"/>
  <c r="R116" i="1"/>
  <c r="O116" i="1"/>
  <c r="P116" i="1"/>
  <c r="Q116" i="1"/>
  <c r="R115" i="1"/>
  <c r="O115" i="1"/>
  <c r="P115" i="1"/>
  <c r="Q115" i="1"/>
  <c r="R114" i="1"/>
  <c r="O114" i="1"/>
  <c r="P114" i="1"/>
  <c r="Q114" i="1"/>
  <c r="R113" i="1"/>
  <c r="O113" i="1"/>
  <c r="P113" i="1"/>
  <c r="Q113" i="1"/>
  <c r="R112" i="1"/>
  <c r="O112" i="1"/>
  <c r="P112" i="1"/>
  <c r="Q112" i="1"/>
  <c r="R111" i="1"/>
  <c r="O111" i="1"/>
  <c r="P111" i="1"/>
  <c r="Q111" i="1"/>
  <c r="R110" i="1"/>
  <c r="O110" i="1"/>
  <c r="P110" i="1"/>
  <c r="Q110" i="1"/>
  <c r="R109" i="1"/>
  <c r="O109" i="1"/>
  <c r="P109" i="1"/>
  <c r="Q109" i="1"/>
  <c r="R108" i="1"/>
  <c r="O108" i="1"/>
  <c r="P108" i="1"/>
  <c r="Q108" i="1"/>
  <c r="R107" i="1"/>
  <c r="O107" i="1"/>
  <c r="P107" i="1"/>
  <c r="Q107" i="1"/>
  <c r="R106" i="1"/>
  <c r="O106" i="1"/>
  <c r="P106" i="1"/>
  <c r="Q106" i="1"/>
  <c r="O105" i="1"/>
  <c r="R105" i="1"/>
  <c r="P105" i="1"/>
  <c r="Q105" i="1"/>
  <c r="R104" i="1"/>
  <c r="O104" i="1"/>
  <c r="I104" i="1"/>
  <c r="K104" i="1" s="1"/>
  <c r="R103" i="1"/>
  <c r="O103" i="1"/>
  <c r="P103" i="1"/>
  <c r="Q103" i="1"/>
  <c r="O102" i="1"/>
  <c r="R102" i="1"/>
  <c r="P102" i="1"/>
  <c r="Q102" i="1"/>
  <c r="O101" i="1"/>
  <c r="R101" i="1"/>
  <c r="P101" i="1"/>
  <c r="Q101" i="1"/>
  <c r="R100" i="1"/>
  <c r="O100" i="1"/>
  <c r="P100" i="1"/>
  <c r="Q100" i="1"/>
  <c r="R99" i="1"/>
  <c r="O99" i="1"/>
  <c r="P99" i="1"/>
  <c r="Q99" i="1"/>
  <c r="R98" i="1"/>
  <c r="O98" i="1"/>
  <c r="P98" i="1"/>
  <c r="Q98" i="1"/>
  <c r="R97" i="1"/>
  <c r="O97" i="1"/>
  <c r="P97" i="1"/>
  <c r="Q97" i="1"/>
  <c r="R96" i="1"/>
  <c r="O96" i="1"/>
  <c r="P96" i="1"/>
  <c r="Q96" i="1"/>
  <c r="O95" i="1"/>
  <c r="R95" i="1"/>
  <c r="P95" i="1"/>
  <c r="Q95" i="1"/>
  <c r="O94" i="1"/>
  <c r="R94" i="1"/>
  <c r="P94" i="1"/>
  <c r="Q94" i="1"/>
  <c r="O93" i="1"/>
  <c r="R93" i="1"/>
  <c r="P93" i="1"/>
  <c r="Q93" i="1"/>
  <c r="R92" i="1"/>
  <c r="O92" i="1"/>
  <c r="P92" i="1"/>
  <c r="Q92" i="1"/>
  <c r="R91" i="1"/>
  <c r="O91" i="1"/>
  <c r="P91" i="1"/>
  <c r="Q91" i="1"/>
  <c r="O90" i="1"/>
  <c r="R90" i="1"/>
  <c r="P90" i="1"/>
  <c r="Q90" i="1"/>
  <c r="O89" i="1"/>
  <c r="R89" i="1"/>
  <c r="P89" i="1"/>
  <c r="Q89" i="1"/>
  <c r="O88" i="1"/>
  <c r="R88" i="1"/>
  <c r="P88" i="1"/>
  <c r="Q88" i="1"/>
  <c r="O87" i="1"/>
  <c r="R87" i="1"/>
  <c r="P87" i="1"/>
  <c r="Q87" i="1"/>
  <c r="O86" i="1"/>
  <c r="R86" i="1"/>
  <c r="P86" i="1"/>
  <c r="Q86" i="1"/>
  <c r="R85" i="1"/>
  <c r="O85" i="1"/>
  <c r="P85" i="1"/>
  <c r="Q85" i="1"/>
  <c r="O84" i="1"/>
  <c r="R84" i="1"/>
  <c r="P84" i="1"/>
  <c r="Q84" i="1"/>
  <c r="O83" i="1"/>
  <c r="R83" i="1"/>
  <c r="P83" i="1"/>
  <c r="Q83" i="1"/>
  <c r="R82" i="1"/>
  <c r="O82" i="1"/>
  <c r="P82" i="1"/>
  <c r="Q82" i="1"/>
  <c r="R81" i="1"/>
  <c r="O81" i="1"/>
  <c r="P81" i="1"/>
  <c r="Q81" i="1"/>
  <c r="R80" i="1"/>
  <c r="O80" i="1"/>
  <c r="P80" i="1"/>
  <c r="Q80" i="1"/>
  <c r="R79" i="1"/>
  <c r="O79" i="1"/>
  <c r="P79" i="1"/>
  <c r="Q79" i="1"/>
  <c r="R78" i="1"/>
  <c r="O78" i="1"/>
  <c r="P78" i="1"/>
  <c r="Q78" i="1"/>
  <c r="R77" i="1"/>
  <c r="O77" i="1"/>
  <c r="P77" i="1"/>
  <c r="Q77" i="1"/>
  <c r="O76" i="1"/>
  <c r="R76" i="1"/>
  <c r="P76" i="1"/>
  <c r="Q76" i="1"/>
  <c r="O75" i="1"/>
  <c r="R75" i="1"/>
  <c r="P75" i="1"/>
  <c r="Q75" i="1"/>
  <c r="O74" i="1"/>
  <c r="R74" i="1"/>
  <c r="P74" i="1"/>
  <c r="Q74" i="1"/>
  <c r="O73" i="1"/>
  <c r="R73" i="1"/>
  <c r="P73" i="1"/>
  <c r="Q73" i="1"/>
  <c r="R72" i="1"/>
  <c r="O72" i="1"/>
  <c r="P72" i="1"/>
  <c r="Q72" i="1"/>
  <c r="R71" i="1"/>
  <c r="O71" i="1"/>
  <c r="P71" i="1"/>
  <c r="Q71" i="1"/>
  <c r="R70" i="1"/>
  <c r="O70" i="1"/>
  <c r="P70" i="1"/>
  <c r="Q70" i="1"/>
  <c r="R69" i="1"/>
  <c r="O69" i="1"/>
  <c r="P69" i="1"/>
  <c r="Q69" i="1"/>
  <c r="R68" i="1"/>
  <c r="O68" i="1"/>
  <c r="P68" i="1"/>
  <c r="Q68" i="1"/>
  <c r="R67" i="1"/>
  <c r="O67" i="1"/>
  <c r="P67" i="1"/>
  <c r="Q67" i="1"/>
  <c r="R66" i="1"/>
  <c r="O66" i="1"/>
  <c r="P66" i="1"/>
  <c r="Q66" i="1"/>
  <c r="R65" i="1"/>
  <c r="O65" i="1"/>
  <c r="P65" i="1"/>
  <c r="Q65" i="1"/>
  <c r="R64" i="1"/>
  <c r="O64" i="1"/>
  <c r="P64" i="1"/>
  <c r="Q64" i="1"/>
  <c r="R63" i="1"/>
  <c r="O63" i="1"/>
  <c r="P63" i="1"/>
  <c r="Q63" i="1"/>
  <c r="R62" i="1"/>
  <c r="O62" i="1"/>
  <c r="P62" i="1"/>
  <c r="Q62" i="1"/>
  <c r="R61" i="1"/>
  <c r="O61" i="1"/>
  <c r="P61" i="1"/>
  <c r="Q61" i="1"/>
  <c r="R60" i="1"/>
  <c r="O60" i="1"/>
  <c r="P60" i="1"/>
  <c r="Q60" i="1"/>
  <c r="R59" i="1"/>
  <c r="O59" i="1"/>
  <c r="P59" i="1"/>
  <c r="Q59" i="1"/>
  <c r="R58" i="1"/>
  <c r="O58" i="1"/>
  <c r="P58" i="1"/>
  <c r="Q58" i="1"/>
  <c r="O57" i="1"/>
  <c r="R57" i="1"/>
  <c r="P57" i="1"/>
  <c r="Q57" i="1"/>
  <c r="R56" i="1"/>
  <c r="O56" i="1"/>
  <c r="P56" i="1"/>
  <c r="Q56" i="1"/>
  <c r="R55" i="1"/>
  <c r="O55" i="1"/>
  <c r="P55" i="1"/>
  <c r="Q55" i="1"/>
  <c r="O54" i="1"/>
  <c r="R54" i="1"/>
  <c r="P54" i="1"/>
  <c r="Q54" i="1"/>
  <c r="R53" i="1"/>
  <c r="O53" i="1"/>
  <c r="P53" i="1"/>
  <c r="Q53" i="1"/>
  <c r="R52" i="1"/>
  <c r="O52" i="1"/>
  <c r="P52" i="1"/>
  <c r="Q52" i="1"/>
  <c r="O51" i="1"/>
  <c r="R51" i="1"/>
  <c r="P51" i="1"/>
  <c r="Q51" i="1"/>
  <c r="O50" i="1"/>
  <c r="R50" i="1"/>
  <c r="P50" i="1"/>
  <c r="Q50" i="1"/>
  <c r="R49" i="1"/>
  <c r="O49" i="1"/>
  <c r="P49" i="1"/>
  <c r="Q49" i="1"/>
  <c r="R48" i="1"/>
  <c r="O48" i="1"/>
  <c r="P48" i="1"/>
  <c r="Q48" i="1"/>
  <c r="R47" i="1"/>
  <c r="O47" i="1"/>
  <c r="P47" i="1"/>
  <c r="Q47" i="1"/>
  <c r="R46" i="1"/>
  <c r="O46" i="1"/>
  <c r="P46" i="1"/>
  <c r="Q46" i="1"/>
  <c r="R45" i="1"/>
  <c r="O45" i="1"/>
  <c r="P45" i="1"/>
  <c r="Q45" i="1"/>
  <c r="R44" i="1"/>
  <c r="O44" i="1"/>
  <c r="P44" i="1"/>
  <c r="Q44" i="1"/>
  <c r="R43" i="1"/>
  <c r="O43" i="1"/>
  <c r="P43" i="1"/>
  <c r="Q43" i="1"/>
  <c r="R42" i="1"/>
  <c r="O42" i="1"/>
  <c r="P42" i="1"/>
  <c r="Q42" i="1"/>
  <c r="R41" i="1"/>
  <c r="O41" i="1"/>
  <c r="P41" i="1"/>
  <c r="Q41" i="1"/>
  <c r="R40" i="1"/>
  <c r="O40" i="1"/>
  <c r="P40" i="1"/>
  <c r="Q40" i="1"/>
  <c r="R39" i="1"/>
  <c r="O39" i="1"/>
  <c r="P39" i="1"/>
  <c r="Q39" i="1"/>
  <c r="R38" i="1"/>
  <c r="O38" i="1"/>
  <c r="P38" i="1"/>
  <c r="Q38" i="1"/>
  <c r="R37" i="1"/>
  <c r="O37" i="1"/>
  <c r="P37" i="1"/>
  <c r="Q37" i="1"/>
  <c r="O36" i="1"/>
  <c r="R36" i="1"/>
  <c r="P36" i="1"/>
  <c r="Q36" i="1"/>
  <c r="R35" i="1"/>
  <c r="O35" i="1"/>
  <c r="P35" i="1"/>
  <c r="Q35" i="1"/>
  <c r="R34" i="1"/>
  <c r="O34" i="1"/>
  <c r="P34" i="1"/>
  <c r="Q34" i="1"/>
  <c r="O33" i="1"/>
  <c r="R33" i="1"/>
  <c r="P33" i="1"/>
  <c r="Q33" i="1"/>
  <c r="O32" i="1"/>
  <c r="R32" i="1"/>
  <c r="P32" i="1"/>
  <c r="Q32" i="1"/>
  <c r="R31" i="1"/>
  <c r="O31" i="1"/>
  <c r="P31" i="1"/>
  <c r="Q31" i="1"/>
  <c r="O30" i="1"/>
  <c r="R30" i="1"/>
  <c r="P30" i="1"/>
  <c r="Q30" i="1"/>
  <c r="O29" i="1"/>
  <c r="R29" i="1"/>
  <c r="P29" i="1"/>
  <c r="Q29" i="1"/>
  <c r="O28" i="1"/>
  <c r="R28" i="1"/>
  <c r="P28" i="1"/>
  <c r="Q28" i="1"/>
  <c r="R27" i="1"/>
  <c r="O27" i="1"/>
  <c r="P27" i="1"/>
  <c r="Q27" i="1"/>
  <c r="O26" i="1"/>
  <c r="R26" i="1"/>
  <c r="P26" i="1"/>
  <c r="Q26" i="1"/>
  <c r="R25" i="1"/>
  <c r="O25" i="1"/>
  <c r="P25" i="1"/>
  <c r="Q25" i="1"/>
  <c r="O24" i="1"/>
  <c r="R24" i="1"/>
  <c r="P24" i="1"/>
  <c r="Q24" i="1"/>
  <c r="O23" i="1"/>
  <c r="R23" i="1"/>
  <c r="P23" i="1"/>
  <c r="Q23" i="1"/>
  <c r="R22" i="1"/>
  <c r="O22" i="1"/>
  <c r="P22" i="1"/>
  <c r="Q22" i="1"/>
  <c r="R21" i="1"/>
  <c r="O21" i="1"/>
  <c r="P21" i="1"/>
  <c r="Q21" i="1"/>
  <c r="R20" i="1"/>
  <c r="O20" i="1"/>
  <c r="P20" i="1"/>
  <c r="Q20" i="1"/>
  <c r="R19" i="1"/>
  <c r="O19" i="1"/>
  <c r="P19" i="1"/>
  <c r="Q19" i="1"/>
  <c r="R18" i="1"/>
  <c r="O18" i="1"/>
  <c r="P18" i="1"/>
  <c r="Q18" i="1"/>
  <c r="R17" i="1"/>
  <c r="O17" i="1"/>
  <c r="P17" i="1"/>
  <c r="Q17" i="1"/>
  <c r="R16" i="1"/>
  <c r="O16" i="1"/>
  <c r="P16" i="1"/>
  <c r="Q16" i="1"/>
  <c r="R15" i="1"/>
  <c r="O15" i="1"/>
  <c r="P15" i="1"/>
  <c r="Q15" i="1"/>
  <c r="R14" i="1"/>
  <c r="O14" i="1"/>
  <c r="P14" i="1"/>
  <c r="Q14" i="1"/>
  <c r="R13" i="1"/>
  <c r="O13" i="1"/>
  <c r="P13" i="1"/>
  <c r="Q13" i="1"/>
  <c r="R12" i="1"/>
  <c r="O12" i="1"/>
  <c r="P12" i="1"/>
  <c r="Q12" i="1"/>
  <c r="O11" i="1"/>
  <c r="R11" i="1"/>
  <c r="P11" i="1"/>
  <c r="Q11" i="1"/>
  <c r="R10" i="1"/>
  <c r="O10" i="1"/>
  <c r="P10" i="1"/>
  <c r="Q10" i="1"/>
  <c r="O9" i="1"/>
  <c r="R9" i="1"/>
  <c r="P9" i="1"/>
  <c r="Q9" i="1"/>
  <c r="R8" i="1"/>
  <c r="O8" i="1"/>
  <c r="P8" i="1"/>
  <c r="Q8" i="1"/>
  <c r="O7" i="1"/>
  <c r="R7" i="1"/>
  <c r="P7" i="1"/>
  <c r="Q7" i="1"/>
  <c r="O6" i="1"/>
  <c r="R6" i="1"/>
  <c r="P6" i="1"/>
  <c r="Q6" i="1"/>
  <c r="R5" i="1"/>
  <c r="O5" i="1"/>
  <c r="P5" i="1" s="1"/>
  <c r="Q5" i="1"/>
  <c r="R4" i="1"/>
  <c r="O4" i="1"/>
  <c r="P4" i="1"/>
  <c r="Q4" i="1"/>
  <c r="R3" i="1"/>
  <c r="O3" i="1"/>
  <c r="P3" i="1"/>
  <c r="Q3" i="1"/>
  <c r="O2" i="1"/>
  <c r="R2" i="1"/>
  <c r="P2" i="1"/>
  <c r="Q2" i="1"/>
  <c r="S2" i="1"/>
  <c r="A3" i="1"/>
  <c r="B3" i="1"/>
  <c r="P877" i="1" l="1"/>
  <c r="Q877" i="1"/>
  <c r="P876" i="1"/>
  <c r="Q876" i="1"/>
  <c r="P841" i="1"/>
  <c r="Q841" i="1"/>
  <c r="Q795" i="1"/>
  <c r="P795" i="1"/>
  <c r="Q794" i="1"/>
  <c r="P794" i="1"/>
  <c r="P781" i="1"/>
  <c r="Q781" i="1"/>
  <c r="P780" i="1"/>
  <c r="Q780" i="1"/>
  <c r="Q739" i="1"/>
  <c r="P739" i="1"/>
  <c r="Q738" i="1"/>
  <c r="P738" i="1"/>
  <c r="Q725" i="1"/>
  <c r="P725" i="1"/>
  <c r="Q724" i="1"/>
  <c r="P724" i="1"/>
  <c r="Q695" i="1"/>
  <c r="P695" i="1"/>
  <c r="Q694" i="1"/>
  <c r="P694" i="1"/>
  <c r="Q653" i="1"/>
  <c r="P653" i="1"/>
  <c r="Q652" i="1"/>
  <c r="P652" i="1"/>
  <c r="Q639" i="1"/>
  <c r="P639" i="1"/>
  <c r="Q638" i="1"/>
  <c r="P638" i="1"/>
  <c r="Q625" i="1"/>
  <c r="P625" i="1"/>
  <c r="Q624" i="1"/>
  <c r="P624" i="1"/>
  <c r="Q621" i="1"/>
  <c r="P621" i="1"/>
  <c r="Q620" i="1"/>
  <c r="P620" i="1"/>
  <c r="Q617" i="1"/>
  <c r="P617" i="1"/>
  <c r="Q616" i="1"/>
  <c r="P616" i="1"/>
  <c r="Q611" i="1"/>
  <c r="P611" i="1"/>
  <c r="Q610" i="1"/>
  <c r="P610" i="1"/>
  <c r="P586" i="1"/>
  <c r="Q586" i="1"/>
  <c r="P549" i="1"/>
  <c r="Q549" i="1"/>
  <c r="Q221" i="1"/>
  <c r="P221" i="1"/>
  <c r="Q220" i="1"/>
  <c r="P220" i="1"/>
  <c r="Q207" i="1"/>
  <c r="P207" i="1"/>
  <c r="Q206" i="1"/>
  <c r="P206" i="1"/>
  <c r="P193" i="1"/>
  <c r="Q193" i="1"/>
  <c r="P192" i="1"/>
  <c r="Q192" i="1"/>
  <c r="P179" i="1"/>
  <c r="Q179" i="1"/>
  <c r="P178" i="1"/>
  <c r="Q178" i="1"/>
  <c r="O150" i="1"/>
  <c r="R150" i="1"/>
  <c r="O151" i="1"/>
  <c r="R151" i="1"/>
  <c r="P150" i="1"/>
  <c r="Q150" i="1"/>
  <c r="I151" i="1"/>
  <c r="K151" i="1"/>
  <c r="P104" i="1"/>
  <c r="Q104" i="1"/>
  <c r="T3" i="1"/>
  <c r="U2" i="1" s="1"/>
  <c r="C3" i="1"/>
  <c r="D3" i="1"/>
  <c r="S3" i="1"/>
  <c r="A4" i="1"/>
  <c r="B4" i="1"/>
  <c r="P596" i="1"/>
  <c r="Q596" i="1"/>
  <c r="P289" i="1"/>
  <c r="Q289" i="1"/>
  <c r="P151" i="1" l="1"/>
  <c r="Q151" i="1"/>
  <c r="T4" i="1"/>
  <c r="U3" i="1" s="1"/>
  <c r="C4" i="1"/>
  <c r="D4" i="1"/>
  <c r="S4" i="1"/>
  <c r="A5" i="1"/>
  <c r="B5" i="1"/>
  <c r="T5" i="1" l="1"/>
  <c r="U4" i="1" s="1"/>
  <c r="C5" i="1"/>
  <c r="D5" i="1"/>
  <c r="S5" i="1"/>
  <c r="A6" i="1"/>
  <c r="B6" i="1"/>
  <c r="T6" i="1" l="1"/>
  <c r="U5" i="1" s="1"/>
  <c r="C6" i="1"/>
  <c r="D6" i="1"/>
  <c r="S6" i="1"/>
  <c r="A7" i="1"/>
  <c r="B7" i="1"/>
  <c r="T7" i="1" l="1"/>
  <c r="U6" i="1" s="1"/>
  <c r="C7" i="1"/>
  <c r="D7" i="1"/>
  <c r="S7" i="1"/>
  <c r="A8" i="1"/>
  <c r="B8" i="1"/>
  <c r="T8" i="1" l="1"/>
  <c r="U7" i="1" s="1"/>
  <c r="C8" i="1"/>
  <c r="D8" i="1"/>
  <c r="S8" i="1"/>
  <c r="A9" i="1"/>
  <c r="B9" i="1"/>
  <c r="T9" i="1" l="1"/>
  <c r="U8" i="1" s="1"/>
  <c r="C9" i="1"/>
  <c r="D9" i="1"/>
  <c r="S9" i="1"/>
  <c r="A10" i="1"/>
  <c r="B10" i="1"/>
  <c r="T10" i="1" l="1"/>
  <c r="U9" i="1" s="1"/>
  <c r="C10" i="1"/>
  <c r="D10" i="1"/>
  <c r="S10" i="1"/>
  <c r="A11" i="1"/>
  <c r="B11" i="1"/>
  <c r="T11" i="1" l="1"/>
  <c r="U10" i="1" s="1"/>
  <c r="C11" i="1"/>
  <c r="D11" i="1"/>
  <c r="S11" i="1"/>
  <c r="A12" i="1"/>
  <c r="B12" i="1"/>
  <c r="T12" i="1" l="1"/>
  <c r="U11" i="1" s="1"/>
  <c r="C12" i="1"/>
  <c r="D12" i="1"/>
  <c r="S12" i="1"/>
  <c r="A13" i="1"/>
  <c r="B13" i="1"/>
  <c r="T13" i="1" l="1"/>
  <c r="U12" i="1" s="1"/>
  <c r="C13" i="1"/>
  <c r="D13" i="1"/>
  <c r="S13" i="1"/>
  <c r="A14" i="1"/>
  <c r="B14" i="1"/>
  <c r="T14" i="1" l="1"/>
  <c r="U13" i="1" s="1"/>
  <c r="C14" i="1"/>
  <c r="D14" i="1"/>
  <c r="S14" i="1"/>
  <c r="A15" i="1"/>
  <c r="B15" i="1"/>
  <c r="T15" i="1" l="1"/>
  <c r="U14" i="1" s="1"/>
  <c r="C15" i="1"/>
  <c r="D15" i="1"/>
  <c r="S15" i="1"/>
  <c r="A16" i="1"/>
  <c r="B16" i="1"/>
  <c r="T16" i="1" l="1"/>
  <c r="U15" i="1" s="1"/>
  <c r="C16" i="1"/>
  <c r="D16" i="1"/>
  <c r="S16" i="1"/>
  <c r="A17" i="1"/>
  <c r="B17" i="1"/>
  <c r="T17" i="1" l="1"/>
  <c r="U16" i="1" s="1"/>
  <c r="C17" i="1"/>
  <c r="D17" i="1"/>
  <c r="S17" i="1"/>
  <c r="A18" i="1"/>
  <c r="B18" i="1"/>
  <c r="T18" i="1" l="1"/>
  <c r="U17" i="1" s="1"/>
  <c r="C18" i="1"/>
  <c r="D18" i="1"/>
  <c r="S18" i="1"/>
  <c r="A19" i="1"/>
  <c r="B19" i="1"/>
  <c r="T19" i="1" l="1"/>
  <c r="U18" i="1" s="1"/>
  <c r="C19" i="1"/>
  <c r="D19" i="1"/>
  <c r="S19" i="1"/>
  <c r="A20" i="1"/>
  <c r="B20" i="1"/>
  <c r="T20" i="1" l="1"/>
  <c r="U19" i="1" s="1"/>
  <c r="C20" i="1"/>
  <c r="D20" i="1"/>
  <c r="S20" i="1"/>
  <c r="A21" i="1"/>
  <c r="B21" i="1"/>
  <c r="T21" i="1" l="1"/>
  <c r="U20" i="1" s="1"/>
  <c r="C21" i="1"/>
  <c r="D21" i="1"/>
  <c r="S21" i="1"/>
  <c r="A22" i="1"/>
  <c r="B22" i="1"/>
  <c r="T22" i="1" l="1"/>
  <c r="U21" i="1" s="1"/>
  <c r="C22" i="1"/>
  <c r="D22" i="1"/>
  <c r="S22" i="1"/>
  <c r="A23" i="1"/>
  <c r="B23" i="1"/>
  <c r="T23" i="1" l="1"/>
  <c r="U22" i="1" s="1"/>
  <c r="C23" i="1"/>
  <c r="D23" i="1"/>
  <c r="S23" i="1"/>
  <c r="A24" i="1"/>
  <c r="B24" i="1"/>
  <c r="T24" i="1" l="1"/>
  <c r="U23" i="1" s="1"/>
  <c r="C24" i="1"/>
  <c r="D24" i="1"/>
  <c r="S24" i="1"/>
  <c r="A25" i="1"/>
  <c r="B25" i="1"/>
  <c r="T25" i="1" l="1"/>
  <c r="U24" i="1" s="1"/>
  <c r="C25" i="1"/>
  <c r="D25" i="1"/>
  <c r="S25" i="1"/>
  <c r="A26" i="1"/>
  <c r="B26" i="1"/>
  <c r="T26" i="1" l="1"/>
  <c r="U25" i="1" s="1"/>
  <c r="C26" i="1"/>
  <c r="D26" i="1"/>
  <c r="S26" i="1"/>
  <c r="A27" i="1"/>
  <c r="B27" i="1"/>
  <c r="T27" i="1" l="1"/>
  <c r="U26" i="1" s="1"/>
  <c r="C27" i="1"/>
  <c r="D27" i="1"/>
  <c r="S27" i="1"/>
  <c r="A28" i="1"/>
  <c r="B28" i="1"/>
  <c r="T28" i="1" l="1"/>
  <c r="U27" i="1" s="1"/>
  <c r="C28" i="1"/>
  <c r="D28" i="1"/>
  <c r="S28" i="1"/>
  <c r="A29" i="1"/>
  <c r="B29" i="1"/>
  <c r="T29" i="1" l="1"/>
  <c r="U28" i="1" s="1"/>
  <c r="C29" i="1"/>
  <c r="D29" i="1"/>
  <c r="S29" i="1"/>
  <c r="A30" i="1"/>
  <c r="B30" i="1"/>
  <c r="T30" i="1" l="1"/>
  <c r="U29" i="1" s="1"/>
  <c r="C30" i="1"/>
  <c r="D30" i="1"/>
  <c r="S30" i="1"/>
  <c r="A31" i="1"/>
  <c r="B31" i="1"/>
  <c r="T31" i="1" l="1"/>
  <c r="U30" i="1" s="1"/>
  <c r="C31" i="1"/>
  <c r="D31" i="1"/>
  <c r="S31" i="1"/>
  <c r="A32" i="1"/>
  <c r="B32" i="1"/>
  <c r="T32" i="1" l="1"/>
  <c r="U31" i="1" s="1"/>
  <c r="C32" i="1"/>
  <c r="D32" i="1"/>
  <c r="S32" i="1"/>
  <c r="A33" i="1"/>
  <c r="B33" i="1"/>
  <c r="T33" i="1" l="1"/>
  <c r="U32" i="1" s="1"/>
  <c r="C33" i="1"/>
  <c r="D33" i="1"/>
  <c r="S33" i="1"/>
  <c r="A34" i="1"/>
  <c r="B34" i="1"/>
  <c r="T34" i="1" l="1"/>
  <c r="U33" i="1" s="1"/>
  <c r="C34" i="1"/>
  <c r="D34" i="1"/>
  <c r="S34" i="1"/>
  <c r="A35" i="1"/>
  <c r="B35" i="1"/>
  <c r="T35" i="1" l="1"/>
  <c r="U34" i="1" s="1"/>
  <c r="C35" i="1"/>
  <c r="D35" i="1"/>
  <c r="S35" i="1"/>
  <c r="A36" i="1"/>
  <c r="B36" i="1"/>
  <c r="T36" i="1" l="1"/>
  <c r="U35" i="1" s="1"/>
  <c r="C36" i="1"/>
  <c r="D36" i="1"/>
  <c r="S36" i="1"/>
  <c r="A37" i="1"/>
  <c r="B37" i="1"/>
  <c r="T37" i="1" l="1"/>
  <c r="U36" i="1" s="1"/>
  <c r="C37" i="1"/>
  <c r="D37" i="1"/>
  <c r="S37" i="1"/>
  <c r="A38" i="1"/>
  <c r="B38" i="1"/>
  <c r="T38" i="1" l="1"/>
  <c r="U37" i="1" s="1"/>
  <c r="C38" i="1"/>
  <c r="D38" i="1"/>
  <c r="S38" i="1"/>
  <c r="A39" i="1"/>
  <c r="B39" i="1"/>
  <c r="T39" i="1" l="1"/>
  <c r="U38" i="1" s="1"/>
  <c r="C39" i="1"/>
  <c r="D39" i="1"/>
  <c r="S39" i="1"/>
  <c r="A40" i="1"/>
  <c r="B40" i="1"/>
  <c r="T40" i="1" l="1"/>
  <c r="U39" i="1" s="1"/>
  <c r="C40" i="1"/>
  <c r="D40" i="1"/>
  <c r="S40" i="1"/>
  <c r="A41" i="1"/>
  <c r="B41" i="1"/>
  <c r="T41" i="1" l="1"/>
  <c r="U40" i="1" s="1"/>
  <c r="C41" i="1"/>
  <c r="D41" i="1"/>
  <c r="S41" i="1"/>
  <c r="A42" i="1"/>
  <c r="B42" i="1"/>
  <c r="T42" i="1" l="1"/>
  <c r="U41" i="1" s="1"/>
  <c r="C42" i="1"/>
  <c r="D42" i="1"/>
  <c r="S42" i="1"/>
  <c r="A43" i="1"/>
  <c r="B43" i="1"/>
  <c r="T43" i="1" l="1"/>
  <c r="U42" i="1" s="1"/>
  <c r="C43" i="1"/>
  <c r="D43" i="1"/>
  <c r="S43" i="1"/>
  <c r="A44" i="1"/>
  <c r="B44" i="1"/>
  <c r="T44" i="1" l="1"/>
  <c r="U43" i="1" s="1"/>
  <c r="C44" i="1"/>
  <c r="D44" i="1"/>
  <c r="S44" i="1"/>
  <c r="A45" i="1"/>
  <c r="B45" i="1"/>
  <c r="T45" i="1" l="1"/>
  <c r="U44" i="1" s="1"/>
  <c r="C45" i="1"/>
  <c r="D45" i="1"/>
  <c r="S45" i="1"/>
  <c r="A46" i="1"/>
  <c r="B46" i="1"/>
  <c r="T46" i="1" l="1"/>
  <c r="U45" i="1" s="1"/>
  <c r="C46" i="1"/>
  <c r="D46" i="1"/>
  <c r="S46" i="1"/>
  <c r="A47" i="1"/>
  <c r="B47" i="1"/>
  <c r="T47" i="1" l="1"/>
  <c r="U46" i="1" s="1"/>
  <c r="C47" i="1"/>
  <c r="D47" i="1"/>
  <c r="S47" i="1"/>
  <c r="A48" i="1"/>
  <c r="B48" i="1"/>
  <c r="T48" i="1" l="1"/>
  <c r="U47" i="1" s="1"/>
  <c r="C48" i="1"/>
  <c r="D48" i="1"/>
  <c r="S48" i="1"/>
  <c r="A49" i="1"/>
  <c r="B49" i="1"/>
  <c r="T49" i="1" l="1"/>
  <c r="U48" i="1" s="1"/>
  <c r="C49" i="1"/>
  <c r="D49" i="1"/>
  <c r="S49" i="1"/>
  <c r="A50" i="1"/>
  <c r="B50" i="1"/>
  <c r="T50" i="1" l="1"/>
  <c r="U49" i="1" s="1"/>
  <c r="C50" i="1"/>
  <c r="D50" i="1"/>
  <c r="S50" i="1"/>
  <c r="A51" i="1"/>
  <c r="B51" i="1"/>
  <c r="T51" i="1" l="1"/>
  <c r="U50" i="1" s="1"/>
  <c r="C51" i="1"/>
  <c r="D51" i="1"/>
  <c r="S51" i="1"/>
  <c r="A52" i="1"/>
  <c r="B52" i="1"/>
  <c r="T52" i="1" l="1"/>
  <c r="U51" i="1" s="1"/>
  <c r="C52" i="1"/>
  <c r="D52" i="1"/>
  <c r="S52" i="1"/>
  <c r="A53" i="1"/>
  <c r="B53" i="1"/>
  <c r="T53" i="1" l="1"/>
  <c r="U52" i="1" s="1"/>
  <c r="C53" i="1"/>
  <c r="D53" i="1"/>
  <c r="S53" i="1"/>
  <c r="A54" i="1"/>
  <c r="B54" i="1"/>
  <c r="T54" i="1" l="1"/>
  <c r="U53" i="1" s="1"/>
  <c r="C54" i="1"/>
  <c r="D54" i="1"/>
  <c r="S54" i="1"/>
  <c r="A55" i="1"/>
  <c r="B55" i="1"/>
  <c r="T55" i="1" l="1"/>
  <c r="U54" i="1" s="1"/>
  <c r="C55" i="1"/>
  <c r="D55" i="1"/>
  <c r="S55" i="1"/>
  <c r="A56" i="1"/>
  <c r="B56" i="1"/>
  <c r="T56" i="1" l="1"/>
  <c r="U55" i="1" s="1"/>
  <c r="C56" i="1"/>
  <c r="D56" i="1"/>
  <c r="S56" i="1"/>
  <c r="A57" i="1"/>
  <c r="B57" i="1"/>
  <c r="T57" i="1" l="1"/>
  <c r="U56" i="1" s="1"/>
  <c r="C57" i="1"/>
  <c r="D57" i="1"/>
  <c r="S57" i="1"/>
  <c r="A58" i="1"/>
  <c r="B58" i="1"/>
  <c r="T58" i="1" l="1"/>
  <c r="U57" i="1" s="1"/>
  <c r="C58" i="1"/>
  <c r="D58" i="1"/>
  <c r="S58" i="1"/>
  <c r="A59" i="1"/>
  <c r="B59" i="1"/>
  <c r="T59" i="1" l="1"/>
  <c r="U58" i="1" s="1"/>
  <c r="C59" i="1"/>
  <c r="D59" i="1"/>
  <c r="S59" i="1"/>
  <c r="A60" i="1"/>
  <c r="B60" i="1"/>
  <c r="T60" i="1" l="1"/>
  <c r="U59" i="1" s="1"/>
  <c r="C60" i="1"/>
  <c r="D60" i="1"/>
  <c r="S60" i="1"/>
  <c r="A61" i="1"/>
  <c r="B61" i="1"/>
  <c r="T61" i="1" l="1"/>
  <c r="U60" i="1" s="1"/>
  <c r="C61" i="1"/>
  <c r="D61" i="1"/>
  <c r="S61" i="1"/>
  <c r="A62" i="1"/>
  <c r="B62" i="1"/>
  <c r="T62" i="1" l="1"/>
  <c r="U61" i="1" s="1"/>
  <c r="C62" i="1"/>
  <c r="D62" i="1"/>
  <c r="S62" i="1"/>
  <c r="A63" i="1"/>
  <c r="B63" i="1"/>
  <c r="T63" i="1" l="1"/>
  <c r="U62" i="1" s="1"/>
  <c r="C63" i="1"/>
  <c r="D63" i="1"/>
  <c r="S63" i="1"/>
  <c r="A64" i="1"/>
  <c r="B64" i="1"/>
  <c r="T64" i="1" l="1"/>
  <c r="U63" i="1" s="1"/>
  <c r="C64" i="1"/>
  <c r="D64" i="1"/>
  <c r="S64" i="1"/>
  <c r="A65" i="1"/>
  <c r="B65" i="1"/>
  <c r="T65" i="1" l="1"/>
  <c r="U64" i="1" s="1"/>
  <c r="C65" i="1"/>
  <c r="D65" i="1"/>
  <c r="S65" i="1"/>
  <c r="A66" i="1"/>
  <c r="B66" i="1"/>
  <c r="T66" i="1" l="1"/>
  <c r="U65" i="1" s="1"/>
  <c r="C66" i="1"/>
  <c r="D66" i="1"/>
  <c r="S66" i="1"/>
  <c r="A67" i="1"/>
  <c r="B67" i="1"/>
  <c r="T67" i="1" l="1"/>
  <c r="U66" i="1" s="1"/>
  <c r="C67" i="1"/>
  <c r="D67" i="1"/>
  <c r="S67" i="1"/>
  <c r="A68" i="1"/>
  <c r="B68" i="1"/>
  <c r="T68" i="1" l="1"/>
  <c r="U67" i="1" s="1"/>
  <c r="C68" i="1"/>
  <c r="D68" i="1"/>
  <c r="S68" i="1"/>
  <c r="A69" i="1"/>
  <c r="B69" i="1"/>
  <c r="T69" i="1" l="1"/>
  <c r="U68" i="1" s="1"/>
  <c r="C69" i="1"/>
  <c r="D69" i="1"/>
  <c r="S69" i="1"/>
  <c r="A70" i="1"/>
  <c r="B70" i="1"/>
  <c r="T70" i="1" l="1"/>
  <c r="U69" i="1" s="1"/>
  <c r="C70" i="1"/>
  <c r="D70" i="1"/>
  <c r="S70" i="1"/>
  <c r="A71" i="1"/>
  <c r="B71" i="1"/>
  <c r="T71" i="1" l="1"/>
  <c r="U70" i="1" s="1"/>
  <c r="C71" i="1"/>
  <c r="D71" i="1"/>
  <c r="S71" i="1"/>
  <c r="A72" i="1"/>
  <c r="B72" i="1"/>
  <c r="T72" i="1" l="1"/>
  <c r="U71" i="1" s="1"/>
  <c r="C72" i="1"/>
  <c r="D72" i="1"/>
  <c r="S72" i="1"/>
  <c r="A73" i="1"/>
  <c r="B73" i="1"/>
  <c r="T73" i="1" l="1"/>
  <c r="U72" i="1" s="1"/>
  <c r="C73" i="1"/>
  <c r="D73" i="1"/>
  <c r="S73" i="1"/>
  <c r="A74" i="1"/>
  <c r="B74" i="1"/>
  <c r="U73" i="1" l="1"/>
  <c r="T74" i="1"/>
  <c r="C74" i="1"/>
  <c r="D74" i="1"/>
  <c r="S74" i="1"/>
  <c r="A75" i="1"/>
  <c r="B75" i="1"/>
  <c r="T75" i="1" l="1"/>
  <c r="U74" i="1" s="1"/>
  <c r="C75" i="1"/>
  <c r="D75" i="1"/>
  <c r="S75" i="1"/>
  <c r="A76" i="1"/>
  <c r="B76" i="1"/>
  <c r="T76" i="1" l="1"/>
  <c r="U75" i="1" s="1"/>
  <c r="C76" i="1"/>
  <c r="D76" i="1"/>
  <c r="S76" i="1"/>
  <c r="A77" i="1"/>
  <c r="B77" i="1"/>
  <c r="T77" i="1" l="1"/>
  <c r="U76" i="1" s="1"/>
  <c r="C77" i="1"/>
  <c r="D77" i="1"/>
  <c r="S77" i="1"/>
  <c r="A78" i="1"/>
  <c r="B78" i="1"/>
  <c r="T78" i="1" l="1"/>
  <c r="U77" i="1" s="1"/>
  <c r="C78" i="1"/>
  <c r="D78" i="1"/>
  <c r="S78" i="1"/>
  <c r="A79" i="1"/>
  <c r="B79" i="1"/>
  <c r="T79" i="1" l="1"/>
  <c r="U78" i="1" s="1"/>
  <c r="C79" i="1"/>
  <c r="D79" i="1"/>
  <c r="S79" i="1"/>
  <c r="A80" i="1"/>
  <c r="B80" i="1"/>
  <c r="T80" i="1" l="1"/>
  <c r="U79" i="1" s="1"/>
  <c r="C80" i="1"/>
  <c r="D80" i="1"/>
  <c r="S80" i="1"/>
  <c r="A81" i="1"/>
  <c r="B81" i="1"/>
  <c r="T81" i="1" l="1"/>
  <c r="U80" i="1" s="1"/>
  <c r="C81" i="1"/>
  <c r="D81" i="1"/>
  <c r="S81" i="1"/>
  <c r="A82" i="1"/>
  <c r="B82" i="1"/>
  <c r="T82" i="1" l="1"/>
  <c r="U81" i="1" s="1"/>
  <c r="C82" i="1"/>
  <c r="D82" i="1"/>
  <c r="S82" i="1"/>
  <c r="A83" i="1"/>
  <c r="B83" i="1"/>
  <c r="T83" i="1" l="1"/>
  <c r="U82" i="1" s="1"/>
  <c r="C83" i="1"/>
  <c r="D83" i="1"/>
  <c r="S83" i="1"/>
  <c r="A84" i="1"/>
  <c r="B84" i="1"/>
  <c r="T84" i="1" l="1"/>
  <c r="U83" i="1" s="1"/>
  <c r="C84" i="1"/>
  <c r="D84" i="1"/>
  <c r="S84" i="1"/>
  <c r="A85" i="1"/>
  <c r="B85" i="1"/>
  <c r="T85" i="1" l="1"/>
  <c r="U84" i="1" s="1"/>
  <c r="C85" i="1"/>
  <c r="D85" i="1"/>
  <c r="S85" i="1"/>
  <c r="A86" i="1"/>
  <c r="B86" i="1"/>
  <c r="T86" i="1" l="1"/>
  <c r="U85" i="1" s="1"/>
  <c r="C86" i="1"/>
  <c r="D86" i="1"/>
  <c r="S86" i="1"/>
  <c r="A87" i="1"/>
  <c r="B87" i="1"/>
  <c r="T87" i="1" l="1"/>
  <c r="U86" i="1" s="1"/>
  <c r="C87" i="1"/>
  <c r="D87" i="1"/>
  <c r="S87" i="1"/>
  <c r="A88" i="1"/>
  <c r="B88" i="1"/>
  <c r="T88" i="1" l="1"/>
  <c r="U87" i="1" s="1"/>
  <c r="C88" i="1"/>
  <c r="D88" i="1"/>
  <c r="S88" i="1"/>
  <c r="A89" i="1"/>
  <c r="B89" i="1"/>
  <c r="T89" i="1" l="1"/>
  <c r="U88" i="1" s="1"/>
  <c r="C89" i="1"/>
  <c r="D89" i="1"/>
  <c r="S89" i="1"/>
  <c r="A90" i="1"/>
  <c r="B90" i="1"/>
  <c r="T90" i="1" l="1"/>
  <c r="U89" i="1" s="1"/>
  <c r="C90" i="1"/>
  <c r="D90" i="1"/>
  <c r="S90" i="1"/>
  <c r="A91" i="1"/>
  <c r="B91" i="1"/>
  <c r="T91" i="1" l="1"/>
  <c r="U90" i="1" s="1"/>
  <c r="C91" i="1"/>
  <c r="D91" i="1"/>
  <c r="S91" i="1"/>
  <c r="A92" i="1"/>
  <c r="B92" i="1"/>
  <c r="T92" i="1" l="1"/>
  <c r="U91" i="1" s="1"/>
  <c r="C92" i="1"/>
  <c r="D92" i="1"/>
  <c r="S92" i="1"/>
  <c r="A93" i="1"/>
  <c r="B93" i="1"/>
  <c r="T93" i="1" l="1"/>
  <c r="U92" i="1" s="1"/>
  <c r="C93" i="1"/>
  <c r="D93" i="1"/>
  <c r="S93" i="1"/>
  <c r="A94" i="1"/>
  <c r="B94" i="1"/>
  <c r="T94" i="1" l="1"/>
  <c r="U93" i="1" s="1"/>
  <c r="C94" i="1"/>
  <c r="D94" i="1"/>
  <c r="S94" i="1"/>
  <c r="A95" i="1"/>
  <c r="B95" i="1"/>
  <c r="T95" i="1" l="1"/>
  <c r="U94" i="1" s="1"/>
  <c r="C95" i="1"/>
  <c r="D95" i="1"/>
  <c r="S95" i="1"/>
  <c r="A96" i="1"/>
  <c r="B96" i="1"/>
  <c r="T96" i="1" l="1"/>
  <c r="U95" i="1" s="1"/>
  <c r="C96" i="1"/>
  <c r="D96" i="1"/>
  <c r="S96" i="1"/>
  <c r="A97" i="1"/>
  <c r="B97" i="1"/>
  <c r="T97" i="1" l="1"/>
  <c r="U96" i="1" s="1"/>
  <c r="C97" i="1"/>
  <c r="D97" i="1"/>
  <c r="S97" i="1"/>
  <c r="A98" i="1"/>
  <c r="B98" i="1"/>
  <c r="T98" i="1" l="1"/>
  <c r="U97" i="1" s="1"/>
  <c r="C98" i="1"/>
  <c r="D98" i="1"/>
  <c r="S98" i="1"/>
  <c r="A99" i="1"/>
  <c r="B99" i="1"/>
  <c r="T99" i="1" l="1"/>
  <c r="U98" i="1" s="1"/>
  <c r="C99" i="1"/>
  <c r="D99" i="1"/>
  <c r="S99" i="1"/>
  <c r="A100" i="1"/>
  <c r="B100" i="1"/>
  <c r="T100" i="1" l="1"/>
  <c r="U99" i="1" s="1"/>
  <c r="C100" i="1"/>
  <c r="D100" i="1"/>
  <c r="S100" i="1"/>
  <c r="A101" i="1"/>
  <c r="B101" i="1"/>
  <c r="T101" i="1" l="1"/>
  <c r="U100" i="1" s="1"/>
  <c r="C101" i="1"/>
  <c r="D101" i="1"/>
  <c r="S101" i="1"/>
  <c r="A102" i="1"/>
  <c r="B102" i="1"/>
  <c r="T102" i="1" l="1"/>
  <c r="U101" i="1" s="1"/>
  <c r="C102" i="1"/>
  <c r="D102" i="1"/>
  <c r="S102" i="1"/>
  <c r="A103" i="1"/>
  <c r="B103" i="1"/>
  <c r="T103" i="1" l="1"/>
  <c r="U102" i="1" s="1"/>
  <c r="C103" i="1"/>
  <c r="D103" i="1"/>
  <c r="S103" i="1"/>
  <c r="A104" i="1"/>
  <c r="B104" i="1"/>
  <c r="T104" i="1" l="1"/>
  <c r="U103" i="1" s="1"/>
  <c r="C104" i="1"/>
  <c r="D104" i="1"/>
  <c r="S104" i="1"/>
  <c r="A105" i="1"/>
  <c r="B105" i="1"/>
  <c r="T105" i="1" l="1"/>
  <c r="U104" i="1" s="1"/>
  <c r="C105" i="1"/>
  <c r="D105" i="1"/>
  <c r="S105" i="1"/>
  <c r="A106" i="1"/>
  <c r="B106" i="1"/>
  <c r="T106" i="1" l="1"/>
  <c r="U105" i="1" s="1"/>
  <c r="C106" i="1"/>
  <c r="D106" i="1"/>
  <c r="S106" i="1"/>
  <c r="A107" i="1"/>
  <c r="B107" i="1"/>
  <c r="T107" i="1" l="1"/>
  <c r="U106" i="1" s="1"/>
  <c r="C107" i="1"/>
  <c r="D107" i="1"/>
  <c r="S107" i="1"/>
  <c r="A108" i="1"/>
  <c r="B108" i="1"/>
  <c r="T108" i="1" l="1"/>
  <c r="U107" i="1" s="1"/>
  <c r="C108" i="1"/>
  <c r="D108" i="1"/>
  <c r="S108" i="1"/>
  <c r="A109" i="1"/>
  <c r="B109" i="1"/>
  <c r="T109" i="1" l="1"/>
  <c r="U108" i="1" s="1"/>
  <c r="C109" i="1"/>
  <c r="D109" i="1"/>
  <c r="S109" i="1"/>
  <c r="A110" i="1"/>
  <c r="B110" i="1"/>
  <c r="T110" i="1" l="1"/>
  <c r="U109" i="1" s="1"/>
  <c r="C110" i="1"/>
  <c r="D110" i="1"/>
  <c r="S110" i="1"/>
  <c r="A111" i="1"/>
  <c r="B111" i="1"/>
  <c r="T111" i="1" l="1"/>
  <c r="U110" i="1" s="1"/>
  <c r="C111" i="1"/>
  <c r="D111" i="1"/>
  <c r="S111" i="1"/>
  <c r="A112" i="1"/>
  <c r="B112" i="1"/>
  <c r="T112" i="1" l="1"/>
  <c r="U111" i="1" s="1"/>
  <c r="C112" i="1"/>
  <c r="D112" i="1"/>
  <c r="S112" i="1"/>
  <c r="A113" i="1"/>
  <c r="B113" i="1"/>
  <c r="T113" i="1" l="1"/>
  <c r="U112" i="1" s="1"/>
  <c r="C113" i="1"/>
  <c r="D113" i="1"/>
  <c r="S113" i="1"/>
  <c r="A114" i="1"/>
  <c r="B114" i="1"/>
  <c r="T114" i="1" l="1"/>
  <c r="U113" i="1" s="1"/>
  <c r="C114" i="1"/>
  <c r="D114" i="1"/>
  <c r="S114" i="1"/>
  <c r="A115" i="1"/>
  <c r="B115" i="1"/>
  <c r="T115" i="1" l="1"/>
  <c r="U114" i="1" s="1"/>
  <c r="C115" i="1"/>
  <c r="D115" i="1"/>
  <c r="S115" i="1"/>
  <c r="A116" i="1"/>
  <c r="B116" i="1"/>
  <c r="T116" i="1" l="1"/>
  <c r="U115" i="1" s="1"/>
  <c r="C116" i="1"/>
  <c r="D116" i="1"/>
  <c r="S116" i="1"/>
  <c r="A117" i="1"/>
  <c r="B117" i="1"/>
  <c r="T117" i="1" l="1"/>
  <c r="U116" i="1" s="1"/>
  <c r="C117" i="1"/>
  <c r="D117" i="1"/>
  <c r="S117" i="1"/>
  <c r="A118" i="1"/>
  <c r="B118" i="1"/>
  <c r="T118" i="1" l="1"/>
  <c r="U117" i="1" s="1"/>
  <c r="C118" i="1"/>
  <c r="D118" i="1"/>
  <c r="S118" i="1"/>
  <c r="A119" i="1"/>
  <c r="B119" i="1"/>
  <c r="T119" i="1" l="1"/>
  <c r="U118" i="1" s="1"/>
  <c r="C119" i="1"/>
  <c r="D119" i="1"/>
  <c r="S119" i="1"/>
  <c r="A120" i="1"/>
  <c r="B120" i="1"/>
  <c r="T120" i="1" l="1"/>
  <c r="U119" i="1" s="1"/>
  <c r="C120" i="1"/>
  <c r="D120" i="1"/>
  <c r="S120" i="1"/>
  <c r="A121" i="1"/>
  <c r="B121" i="1"/>
  <c r="T121" i="1" l="1"/>
  <c r="U120" i="1" s="1"/>
  <c r="C121" i="1"/>
  <c r="D121" i="1"/>
  <c r="S121" i="1"/>
  <c r="A122" i="1"/>
  <c r="B122" i="1"/>
  <c r="T122" i="1" l="1"/>
  <c r="U121" i="1" s="1"/>
  <c r="C122" i="1"/>
  <c r="D122" i="1"/>
  <c r="S122" i="1"/>
  <c r="A123" i="1"/>
  <c r="B123" i="1"/>
  <c r="T123" i="1" l="1"/>
  <c r="U122" i="1" s="1"/>
  <c r="C123" i="1"/>
  <c r="D123" i="1"/>
  <c r="S123" i="1"/>
  <c r="A124" i="1"/>
  <c r="B124" i="1"/>
  <c r="T124" i="1" l="1"/>
  <c r="U123" i="1" s="1"/>
  <c r="C124" i="1"/>
  <c r="D124" i="1"/>
  <c r="S124" i="1"/>
  <c r="A125" i="1"/>
  <c r="B125" i="1"/>
  <c r="T125" i="1" l="1"/>
  <c r="U124" i="1" s="1"/>
  <c r="C125" i="1"/>
  <c r="D125" i="1"/>
  <c r="S125" i="1"/>
  <c r="A126" i="1"/>
  <c r="B126" i="1"/>
  <c r="T126" i="1" l="1"/>
  <c r="U125" i="1" s="1"/>
  <c r="C126" i="1"/>
  <c r="D126" i="1"/>
  <c r="S126" i="1"/>
  <c r="A127" i="1"/>
  <c r="B127" i="1"/>
  <c r="T127" i="1" l="1"/>
  <c r="U126" i="1" s="1"/>
  <c r="C127" i="1"/>
  <c r="D127" i="1"/>
  <c r="S127" i="1"/>
  <c r="A128" i="1"/>
  <c r="B128" i="1"/>
  <c r="T128" i="1" l="1"/>
  <c r="U127" i="1" s="1"/>
  <c r="C128" i="1"/>
  <c r="D128" i="1"/>
  <c r="S128" i="1"/>
  <c r="A129" i="1"/>
  <c r="B129" i="1"/>
  <c r="T129" i="1" l="1"/>
  <c r="U128" i="1" s="1"/>
  <c r="C129" i="1"/>
  <c r="D129" i="1"/>
  <c r="S129" i="1"/>
  <c r="A130" i="1"/>
  <c r="B130" i="1"/>
  <c r="T130" i="1" l="1"/>
  <c r="U129" i="1" s="1"/>
  <c r="C130" i="1"/>
  <c r="D130" i="1"/>
  <c r="S130" i="1"/>
  <c r="A131" i="1"/>
  <c r="B131" i="1"/>
  <c r="T131" i="1" l="1"/>
  <c r="U130" i="1" s="1"/>
  <c r="C131" i="1"/>
  <c r="D131" i="1"/>
  <c r="S131" i="1"/>
  <c r="A132" i="1"/>
  <c r="B132" i="1"/>
  <c r="T132" i="1" l="1"/>
  <c r="U131" i="1" s="1"/>
  <c r="C132" i="1"/>
  <c r="D132" i="1"/>
  <c r="S132" i="1"/>
  <c r="A133" i="1"/>
  <c r="B133" i="1"/>
  <c r="T133" i="1" l="1"/>
  <c r="U132" i="1" s="1"/>
  <c r="C133" i="1"/>
  <c r="D133" i="1"/>
  <c r="S133" i="1"/>
  <c r="A134" i="1"/>
  <c r="B134" i="1"/>
  <c r="T134" i="1" l="1"/>
  <c r="U133" i="1" s="1"/>
  <c r="C134" i="1"/>
  <c r="D134" i="1"/>
  <c r="S134" i="1"/>
  <c r="A135" i="1"/>
  <c r="B135" i="1"/>
  <c r="T135" i="1" l="1"/>
  <c r="U134" i="1" s="1"/>
  <c r="C135" i="1"/>
  <c r="D135" i="1"/>
  <c r="S135" i="1"/>
  <c r="A136" i="1"/>
  <c r="B136" i="1"/>
  <c r="T136" i="1" l="1"/>
  <c r="U135" i="1" s="1"/>
  <c r="C136" i="1"/>
  <c r="D136" i="1"/>
  <c r="S136" i="1"/>
  <c r="A137" i="1"/>
  <c r="B137" i="1"/>
  <c r="T137" i="1" l="1"/>
  <c r="U136" i="1" s="1"/>
  <c r="C137" i="1"/>
  <c r="D137" i="1"/>
  <c r="S137" i="1"/>
  <c r="A138" i="1"/>
  <c r="B138" i="1"/>
  <c r="T138" i="1" l="1"/>
  <c r="U137" i="1" s="1"/>
  <c r="C138" i="1"/>
  <c r="D138" i="1"/>
  <c r="S138" i="1"/>
  <c r="A139" i="1"/>
  <c r="B139" i="1"/>
  <c r="T139" i="1" l="1"/>
  <c r="U138" i="1" s="1"/>
  <c r="C139" i="1"/>
  <c r="D139" i="1"/>
  <c r="S139" i="1"/>
  <c r="A140" i="1"/>
  <c r="B140" i="1"/>
  <c r="T140" i="1" l="1"/>
  <c r="U139" i="1" s="1"/>
  <c r="C140" i="1"/>
  <c r="D140" i="1"/>
  <c r="S140" i="1"/>
  <c r="A141" i="1"/>
  <c r="B141" i="1"/>
  <c r="T141" i="1" l="1"/>
  <c r="U140" i="1" s="1"/>
  <c r="C141" i="1"/>
  <c r="D141" i="1"/>
  <c r="S141" i="1"/>
  <c r="A142" i="1"/>
  <c r="B142" i="1"/>
  <c r="T142" i="1" l="1"/>
  <c r="U141" i="1" s="1"/>
  <c r="C142" i="1"/>
  <c r="D142" i="1"/>
  <c r="S142" i="1"/>
  <c r="A143" i="1"/>
  <c r="B143" i="1"/>
  <c r="T143" i="1" l="1"/>
  <c r="U142" i="1" s="1"/>
  <c r="C143" i="1"/>
  <c r="D143" i="1"/>
  <c r="S143" i="1"/>
  <c r="A144" i="1"/>
  <c r="B144" i="1"/>
  <c r="T144" i="1" l="1"/>
  <c r="U143" i="1" s="1"/>
  <c r="C144" i="1"/>
  <c r="D144" i="1"/>
  <c r="S144" i="1"/>
  <c r="A145" i="1"/>
  <c r="B145" i="1"/>
  <c r="T145" i="1" l="1"/>
  <c r="U144" i="1" s="1"/>
  <c r="C145" i="1"/>
  <c r="D145" i="1"/>
  <c r="S145" i="1"/>
  <c r="A146" i="1"/>
  <c r="B146" i="1"/>
  <c r="T146" i="1" l="1"/>
  <c r="U145" i="1" s="1"/>
  <c r="C146" i="1"/>
  <c r="D146" i="1"/>
  <c r="S146" i="1"/>
  <c r="A147" i="1"/>
  <c r="B147" i="1"/>
  <c r="T147" i="1" l="1"/>
  <c r="U146" i="1" s="1"/>
  <c r="C147" i="1"/>
  <c r="D147" i="1"/>
  <c r="S147" i="1"/>
  <c r="A148" i="1"/>
  <c r="B148" i="1"/>
  <c r="T148" i="1" l="1"/>
  <c r="U147" i="1" s="1"/>
  <c r="C148" i="1"/>
  <c r="D148" i="1"/>
  <c r="S148" i="1"/>
  <c r="A149" i="1"/>
  <c r="B149" i="1"/>
  <c r="T149" i="1" l="1"/>
  <c r="U148" i="1" s="1"/>
  <c r="C149" i="1"/>
  <c r="D149" i="1"/>
  <c r="S149" i="1"/>
  <c r="A150" i="1"/>
  <c r="B150" i="1"/>
  <c r="T150" i="1" l="1"/>
  <c r="U149" i="1" s="1"/>
  <c r="C150" i="1"/>
  <c r="D150" i="1"/>
  <c r="S150" i="1"/>
  <c r="A151" i="1"/>
  <c r="B151" i="1"/>
  <c r="T151" i="1" l="1"/>
  <c r="U150" i="1" s="1"/>
  <c r="C151" i="1"/>
  <c r="D151" i="1"/>
  <c r="S151" i="1"/>
  <c r="A152" i="1"/>
  <c r="B152" i="1"/>
  <c r="T152" i="1" l="1"/>
  <c r="U151" i="1" s="1"/>
  <c r="C152" i="1"/>
  <c r="D152" i="1"/>
  <c r="S152" i="1"/>
  <c r="A153" i="1"/>
  <c r="B153" i="1"/>
  <c r="T153" i="1" l="1"/>
  <c r="U152" i="1" s="1"/>
  <c r="C153" i="1"/>
  <c r="D153" i="1"/>
  <c r="S153" i="1"/>
  <c r="A154" i="1"/>
  <c r="B154" i="1"/>
  <c r="T154" i="1" l="1"/>
  <c r="U153" i="1" s="1"/>
  <c r="C154" i="1"/>
  <c r="D154" i="1"/>
  <c r="S154" i="1"/>
  <c r="A155" i="1"/>
  <c r="B155" i="1"/>
  <c r="T155" i="1" l="1"/>
  <c r="U154" i="1" s="1"/>
  <c r="C155" i="1"/>
  <c r="D155" i="1"/>
  <c r="S155" i="1"/>
  <c r="A156" i="1"/>
  <c r="B156" i="1"/>
  <c r="T156" i="1" l="1"/>
  <c r="U155" i="1" s="1"/>
  <c r="C156" i="1"/>
  <c r="D156" i="1"/>
  <c r="S156" i="1"/>
  <c r="A157" i="1"/>
  <c r="B157" i="1"/>
  <c r="T157" i="1" l="1"/>
  <c r="U156" i="1" s="1"/>
  <c r="C157" i="1"/>
  <c r="D157" i="1"/>
  <c r="S157" i="1"/>
  <c r="A158" i="1"/>
  <c r="B158" i="1"/>
  <c r="T158" i="1" l="1"/>
  <c r="U157" i="1" s="1"/>
  <c r="C158" i="1"/>
  <c r="D158" i="1"/>
  <c r="S158" i="1"/>
  <c r="A159" i="1"/>
  <c r="B159" i="1"/>
  <c r="T159" i="1" l="1"/>
  <c r="U158" i="1" s="1"/>
  <c r="C159" i="1"/>
  <c r="D159" i="1"/>
  <c r="S159" i="1"/>
  <c r="A160" i="1"/>
  <c r="B160" i="1"/>
  <c r="T160" i="1" l="1"/>
  <c r="U159" i="1" s="1"/>
  <c r="C160" i="1"/>
  <c r="D160" i="1"/>
  <c r="S160" i="1"/>
  <c r="A161" i="1"/>
  <c r="B161" i="1"/>
  <c r="T161" i="1" l="1"/>
  <c r="U160" i="1" s="1"/>
  <c r="C161" i="1"/>
  <c r="D161" i="1"/>
  <c r="S161" i="1"/>
  <c r="A162" i="1"/>
  <c r="B162" i="1"/>
  <c r="T162" i="1" l="1"/>
  <c r="U161" i="1" s="1"/>
  <c r="C162" i="1"/>
  <c r="D162" i="1"/>
  <c r="S162" i="1"/>
  <c r="A163" i="1"/>
  <c r="B163" i="1"/>
  <c r="T163" i="1" l="1"/>
  <c r="U162" i="1" s="1"/>
  <c r="C163" i="1"/>
  <c r="D163" i="1"/>
  <c r="S163" i="1"/>
  <c r="A164" i="1"/>
  <c r="B164" i="1"/>
  <c r="T164" i="1" l="1"/>
  <c r="U163" i="1" s="1"/>
  <c r="C164" i="1"/>
  <c r="D164" i="1"/>
  <c r="S164" i="1"/>
  <c r="A165" i="1"/>
  <c r="B165" i="1"/>
  <c r="T165" i="1" l="1"/>
  <c r="U164" i="1" s="1"/>
  <c r="C165" i="1"/>
  <c r="D165" i="1"/>
  <c r="S165" i="1"/>
  <c r="A166" i="1"/>
  <c r="B166" i="1"/>
  <c r="T166" i="1" l="1"/>
  <c r="U165" i="1" s="1"/>
  <c r="C166" i="1"/>
  <c r="D166" i="1"/>
  <c r="S166" i="1"/>
  <c r="A167" i="1"/>
  <c r="B167" i="1"/>
  <c r="T167" i="1" l="1"/>
  <c r="U166" i="1" s="1"/>
  <c r="C167" i="1"/>
  <c r="D167" i="1"/>
  <c r="S167" i="1"/>
  <c r="A168" i="1"/>
  <c r="B168" i="1"/>
  <c r="T168" i="1" l="1"/>
  <c r="U167" i="1" s="1"/>
  <c r="C168" i="1"/>
  <c r="D168" i="1"/>
  <c r="S168" i="1"/>
  <c r="A169" i="1"/>
  <c r="B169" i="1"/>
  <c r="T169" i="1" l="1"/>
  <c r="U168" i="1" s="1"/>
  <c r="C169" i="1"/>
  <c r="D169" i="1"/>
  <c r="S169" i="1"/>
  <c r="A170" i="1"/>
  <c r="B170" i="1"/>
  <c r="T170" i="1" l="1"/>
  <c r="U169" i="1" s="1"/>
  <c r="C170" i="1"/>
  <c r="D170" i="1"/>
  <c r="S170" i="1"/>
  <c r="A171" i="1"/>
  <c r="B171" i="1"/>
  <c r="T171" i="1" l="1"/>
  <c r="U170" i="1" s="1"/>
  <c r="C171" i="1"/>
  <c r="D171" i="1"/>
  <c r="S171" i="1"/>
  <c r="A172" i="1"/>
  <c r="B172" i="1"/>
  <c r="T172" i="1" l="1"/>
  <c r="U171" i="1" s="1"/>
  <c r="C172" i="1"/>
  <c r="D172" i="1"/>
  <c r="S172" i="1"/>
  <c r="A173" i="1"/>
  <c r="B173" i="1"/>
  <c r="T173" i="1" l="1"/>
  <c r="U172" i="1" s="1"/>
  <c r="C173" i="1"/>
  <c r="D173" i="1"/>
  <c r="S173" i="1"/>
  <c r="A174" i="1"/>
  <c r="B174" i="1"/>
  <c r="T174" i="1" l="1"/>
  <c r="U173" i="1" s="1"/>
  <c r="C174" i="1"/>
  <c r="D174" i="1"/>
  <c r="S174" i="1"/>
  <c r="A175" i="1"/>
  <c r="B175" i="1"/>
  <c r="T175" i="1" l="1"/>
  <c r="U174" i="1" s="1"/>
  <c r="C175" i="1"/>
  <c r="D175" i="1"/>
  <c r="S175" i="1"/>
  <c r="A176" i="1"/>
  <c r="B176" i="1"/>
  <c r="T176" i="1" l="1"/>
  <c r="U175" i="1" s="1"/>
  <c r="C176" i="1"/>
  <c r="D176" i="1"/>
  <c r="S176" i="1"/>
  <c r="A177" i="1"/>
  <c r="B177" i="1"/>
  <c r="T177" i="1" l="1"/>
  <c r="U176" i="1" s="1"/>
  <c r="C177" i="1"/>
  <c r="D177" i="1"/>
  <c r="S177" i="1"/>
  <c r="A178" i="1"/>
  <c r="B178" i="1"/>
  <c r="T178" i="1" l="1"/>
  <c r="U177" i="1" s="1"/>
  <c r="C178" i="1"/>
  <c r="D178" i="1"/>
  <c r="S178" i="1"/>
  <c r="A179" i="1"/>
  <c r="B179" i="1"/>
  <c r="T179" i="1" l="1"/>
  <c r="U178" i="1" s="1"/>
  <c r="C179" i="1"/>
  <c r="D179" i="1"/>
  <c r="S179" i="1"/>
  <c r="A180" i="1"/>
  <c r="B180" i="1"/>
  <c r="T180" i="1" l="1"/>
  <c r="U179" i="1" s="1"/>
  <c r="C180" i="1"/>
  <c r="D180" i="1"/>
  <c r="S180" i="1"/>
  <c r="A181" i="1"/>
  <c r="B181" i="1"/>
  <c r="T181" i="1" l="1"/>
  <c r="U180" i="1" s="1"/>
  <c r="C181" i="1"/>
  <c r="D181" i="1"/>
  <c r="S181" i="1"/>
  <c r="A182" i="1"/>
  <c r="B182" i="1"/>
  <c r="T182" i="1" l="1"/>
  <c r="U181" i="1" s="1"/>
  <c r="C182" i="1"/>
  <c r="D182" i="1"/>
  <c r="S182" i="1"/>
  <c r="A183" i="1"/>
  <c r="B183" i="1"/>
  <c r="T183" i="1" l="1"/>
  <c r="U182" i="1" s="1"/>
  <c r="C183" i="1"/>
  <c r="D183" i="1"/>
  <c r="S183" i="1"/>
  <c r="A184" i="1"/>
  <c r="B184" i="1"/>
  <c r="T184" i="1" l="1"/>
  <c r="U183" i="1" s="1"/>
  <c r="C184" i="1"/>
  <c r="D184" i="1"/>
  <c r="S184" i="1"/>
  <c r="A185" i="1"/>
  <c r="B185" i="1"/>
  <c r="T185" i="1" l="1"/>
  <c r="U184" i="1" s="1"/>
  <c r="C185" i="1"/>
  <c r="D185" i="1"/>
  <c r="S185" i="1"/>
  <c r="A186" i="1"/>
  <c r="B186" i="1"/>
  <c r="T186" i="1" l="1"/>
  <c r="U185" i="1" s="1"/>
  <c r="C186" i="1"/>
  <c r="D186" i="1"/>
  <c r="S186" i="1"/>
  <c r="A187" i="1"/>
  <c r="B187" i="1"/>
  <c r="T187" i="1" l="1"/>
  <c r="U186" i="1" s="1"/>
  <c r="C187" i="1"/>
  <c r="D187" i="1"/>
  <c r="S187" i="1"/>
  <c r="A188" i="1"/>
  <c r="B188" i="1"/>
  <c r="T188" i="1" l="1"/>
  <c r="U187" i="1" s="1"/>
  <c r="C188" i="1"/>
  <c r="D188" i="1"/>
  <c r="S188" i="1"/>
  <c r="A189" i="1"/>
  <c r="B189" i="1"/>
  <c r="T189" i="1" l="1"/>
  <c r="U188" i="1" s="1"/>
  <c r="C189" i="1"/>
  <c r="D189" i="1"/>
  <c r="S189" i="1"/>
  <c r="A190" i="1"/>
  <c r="B190" i="1"/>
  <c r="T190" i="1" l="1"/>
  <c r="U189" i="1" s="1"/>
  <c r="C190" i="1"/>
  <c r="D190" i="1"/>
  <c r="S190" i="1"/>
  <c r="A191" i="1"/>
  <c r="B191" i="1"/>
  <c r="T191" i="1" l="1"/>
  <c r="U190" i="1" s="1"/>
  <c r="C191" i="1"/>
  <c r="D191" i="1"/>
  <c r="S191" i="1"/>
  <c r="A192" i="1"/>
  <c r="B192" i="1"/>
  <c r="T192" i="1" l="1"/>
  <c r="U191" i="1" s="1"/>
  <c r="C192" i="1"/>
  <c r="D192" i="1"/>
  <c r="S192" i="1"/>
  <c r="A193" i="1"/>
  <c r="B193" i="1"/>
  <c r="T193" i="1" l="1"/>
  <c r="U192" i="1" s="1"/>
  <c r="C193" i="1"/>
  <c r="D193" i="1"/>
  <c r="S193" i="1"/>
  <c r="A194" i="1"/>
  <c r="B194" i="1"/>
  <c r="T194" i="1" l="1"/>
  <c r="U193" i="1" s="1"/>
  <c r="C194" i="1"/>
  <c r="D194" i="1"/>
  <c r="S194" i="1"/>
  <c r="A195" i="1"/>
  <c r="B195" i="1"/>
  <c r="T195" i="1" l="1"/>
  <c r="U194" i="1" s="1"/>
  <c r="C195" i="1"/>
  <c r="D195" i="1"/>
  <c r="S195" i="1"/>
  <c r="A196" i="1"/>
  <c r="B196" i="1"/>
  <c r="T196" i="1" l="1"/>
  <c r="U195" i="1" s="1"/>
  <c r="C196" i="1"/>
  <c r="D196" i="1"/>
  <c r="S196" i="1"/>
  <c r="A197" i="1"/>
  <c r="B197" i="1"/>
  <c r="T197" i="1" l="1"/>
  <c r="U196" i="1" s="1"/>
  <c r="C197" i="1"/>
  <c r="D197" i="1"/>
  <c r="S197" i="1"/>
  <c r="A198" i="1"/>
  <c r="B198" i="1"/>
  <c r="T198" i="1" l="1"/>
  <c r="U197" i="1" s="1"/>
  <c r="C198" i="1"/>
  <c r="D198" i="1"/>
  <c r="S198" i="1"/>
  <c r="A199" i="1"/>
  <c r="B199" i="1"/>
  <c r="T199" i="1" l="1"/>
  <c r="U198" i="1" s="1"/>
  <c r="C199" i="1"/>
  <c r="D199" i="1"/>
  <c r="S199" i="1"/>
  <c r="A200" i="1"/>
  <c r="B200" i="1"/>
  <c r="T200" i="1" l="1"/>
  <c r="U199" i="1" s="1"/>
  <c r="C200" i="1"/>
  <c r="D200" i="1"/>
  <c r="S200" i="1"/>
  <c r="A201" i="1"/>
  <c r="B201" i="1"/>
  <c r="T201" i="1" l="1"/>
  <c r="U200" i="1" s="1"/>
  <c r="C201" i="1"/>
  <c r="D201" i="1"/>
  <c r="S201" i="1"/>
  <c r="A202" i="1"/>
  <c r="B202" i="1"/>
  <c r="T202" i="1" l="1"/>
  <c r="U201" i="1" s="1"/>
  <c r="C202" i="1"/>
  <c r="D202" i="1"/>
  <c r="S202" i="1"/>
  <c r="A203" i="1"/>
  <c r="B203" i="1"/>
  <c r="T203" i="1" l="1"/>
  <c r="U202" i="1" s="1"/>
  <c r="C203" i="1"/>
  <c r="D203" i="1"/>
  <c r="S203" i="1"/>
  <c r="A204" i="1"/>
  <c r="B204" i="1"/>
  <c r="T204" i="1" l="1"/>
  <c r="U203" i="1" s="1"/>
  <c r="C204" i="1"/>
  <c r="D204" i="1"/>
  <c r="S204" i="1"/>
  <c r="A205" i="1"/>
  <c r="B205" i="1"/>
  <c r="T205" i="1" l="1"/>
  <c r="U204" i="1" s="1"/>
  <c r="C205" i="1"/>
  <c r="D205" i="1"/>
  <c r="S205" i="1"/>
  <c r="A206" i="1"/>
  <c r="B206" i="1"/>
  <c r="T206" i="1" l="1"/>
  <c r="U205" i="1" s="1"/>
  <c r="C206" i="1"/>
  <c r="D206" i="1"/>
  <c r="S206" i="1"/>
  <c r="A207" i="1"/>
  <c r="B207" i="1"/>
  <c r="T207" i="1" l="1"/>
  <c r="U206" i="1" s="1"/>
  <c r="C207" i="1"/>
  <c r="D207" i="1"/>
  <c r="S207" i="1"/>
  <c r="A208" i="1"/>
  <c r="B208" i="1"/>
  <c r="T208" i="1" l="1"/>
  <c r="U207" i="1" s="1"/>
  <c r="C208" i="1"/>
  <c r="D208" i="1"/>
  <c r="S208" i="1"/>
  <c r="A209" i="1"/>
  <c r="B209" i="1"/>
  <c r="T209" i="1" l="1"/>
  <c r="U208" i="1" s="1"/>
  <c r="C209" i="1"/>
  <c r="D209" i="1"/>
  <c r="S209" i="1"/>
  <c r="A210" i="1"/>
  <c r="B210" i="1"/>
  <c r="T210" i="1" l="1"/>
  <c r="U209" i="1" s="1"/>
  <c r="C210" i="1"/>
  <c r="D210" i="1"/>
  <c r="S210" i="1"/>
  <c r="A211" i="1"/>
  <c r="B211" i="1"/>
  <c r="T211" i="1" l="1"/>
  <c r="U210" i="1" s="1"/>
  <c r="C211" i="1"/>
  <c r="D211" i="1"/>
  <c r="S211" i="1"/>
  <c r="A212" i="1"/>
  <c r="B212" i="1"/>
  <c r="T212" i="1" l="1"/>
  <c r="U211" i="1" s="1"/>
  <c r="C212" i="1"/>
  <c r="D212" i="1"/>
  <c r="S212" i="1"/>
  <c r="A213" i="1"/>
  <c r="B213" i="1"/>
  <c r="T213" i="1" l="1"/>
  <c r="U212" i="1" s="1"/>
  <c r="C213" i="1"/>
  <c r="D213" i="1"/>
  <c r="S213" i="1"/>
  <c r="A214" i="1"/>
  <c r="B214" i="1"/>
  <c r="T214" i="1" l="1"/>
  <c r="U213" i="1" s="1"/>
  <c r="C214" i="1"/>
  <c r="D214" i="1"/>
  <c r="S214" i="1"/>
  <c r="A215" i="1"/>
  <c r="B215" i="1"/>
  <c r="T215" i="1" l="1"/>
  <c r="U214" i="1" s="1"/>
  <c r="C215" i="1"/>
  <c r="D215" i="1"/>
  <c r="S215" i="1"/>
  <c r="A216" i="1"/>
  <c r="B216" i="1"/>
  <c r="T216" i="1" l="1"/>
  <c r="U215" i="1" s="1"/>
  <c r="C216" i="1"/>
  <c r="D216" i="1"/>
  <c r="S216" i="1"/>
  <c r="A217" i="1"/>
  <c r="B217" i="1"/>
  <c r="T217" i="1" l="1"/>
  <c r="U216" i="1" s="1"/>
  <c r="C217" i="1"/>
  <c r="D217" i="1"/>
  <c r="S217" i="1"/>
  <c r="A218" i="1"/>
  <c r="B218" i="1"/>
  <c r="T218" i="1" l="1"/>
  <c r="U217" i="1" s="1"/>
  <c r="C218" i="1"/>
  <c r="D218" i="1"/>
  <c r="S218" i="1"/>
  <c r="A219" i="1"/>
  <c r="B219" i="1"/>
  <c r="T219" i="1" l="1"/>
  <c r="U218" i="1" s="1"/>
  <c r="C219" i="1"/>
  <c r="D219" i="1"/>
  <c r="S219" i="1"/>
  <c r="A220" i="1"/>
  <c r="B220" i="1"/>
  <c r="T220" i="1" l="1"/>
  <c r="U219" i="1" s="1"/>
  <c r="C220" i="1"/>
  <c r="D220" i="1"/>
  <c r="S220" i="1"/>
  <c r="A221" i="1"/>
  <c r="B221" i="1"/>
  <c r="T221" i="1" l="1"/>
  <c r="U220" i="1" s="1"/>
  <c r="C221" i="1"/>
  <c r="D221" i="1"/>
  <c r="S221" i="1"/>
  <c r="A222" i="1"/>
  <c r="B222" i="1"/>
  <c r="T222" i="1" l="1"/>
  <c r="U221" i="1" s="1"/>
  <c r="C222" i="1"/>
  <c r="D222" i="1"/>
  <c r="S222" i="1"/>
  <c r="A223" i="1"/>
  <c r="B223" i="1"/>
  <c r="T223" i="1" l="1"/>
  <c r="U222" i="1" s="1"/>
  <c r="C223" i="1"/>
  <c r="D223" i="1"/>
  <c r="S223" i="1"/>
  <c r="A224" i="1"/>
  <c r="B224" i="1"/>
  <c r="T224" i="1" l="1"/>
  <c r="U223" i="1" s="1"/>
  <c r="C224" i="1"/>
  <c r="D224" i="1"/>
  <c r="S224" i="1"/>
  <c r="A225" i="1"/>
  <c r="B225" i="1"/>
  <c r="T225" i="1" l="1"/>
  <c r="U224" i="1" s="1"/>
  <c r="C225" i="1"/>
  <c r="D225" i="1"/>
  <c r="S225" i="1"/>
  <c r="A226" i="1"/>
  <c r="B226" i="1"/>
  <c r="T226" i="1" l="1"/>
  <c r="U225" i="1" s="1"/>
  <c r="C226" i="1"/>
  <c r="D226" i="1"/>
  <c r="S226" i="1"/>
  <c r="A227" i="1"/>
  <c r="B227" i="1"/>
  <c r="T227" i="1" l="1"/>
  <c r="U226" i="1" s="1"/>
  <c r="C227" i="1"/>
  <c r="D227" i="1"/>
  <c r="S227" i="1"/>
  <c r="A228" i="1"/>
  <c r="B228" i="1"/>
  <c r="T228" i="1" l="1"/>
  <c r="U227" i="1" s="1"/>
  <c r="C228" i="1"/>
  <c r="D228" i="1"/>
  <c r="S228" i="1"/>
  <c r="A229" i="1"/>
  <c r="B229" i="1"/>
  <c r="T229" i="1" l="1"/>
  <c r="U228" i="1" s="1"/>
  <c r="C229" i="1"/>
  <c r="D229" i="1"/>
  <c r="S229" i="1"/>
  <c r="A230" i="1"/>
  <c r="B230" i="1"/>
  <c r="T230" i="1" l="1"/>
  <c r="U229" i="1" s="1"/>
  <c r="C230" i="1"/>
  <c r="D230" i="1"/>
  <c r="S230" i="1"/>
  <c r="A231" i="1"/>
  <c r="B231" i="1"/>
  <c r="T231" i="1" l="1"/>
  <c r="U230" i="1" s="1"/>
  <c r="C231" i="1"/>
  <c r="D231" i="1"/>
  <c r="S231" i="1"/>
  <c r="A232" i="1"/>
  <c r="B232" i="1"/>
  <c r="T232" i="1" l="1"/>
  <c r="U231" i="1" s="1"/>
  <c r="C232" i="1"/>
  <c r="D232" i="1"/>
  <c r="S232" i="1"/>
  <c r="A233" i="1"/>
  <c r="B233" i="1"/>
  <c r="T233" i="1" l="1"/>
  <c r="U232" i="1" s="1"/>
  <c r="C233" i="1"/>
  <c r="D233" i="1"/>
  <c r="S233" i="1"/>
  <c r="A234" i="1"/>
  <c r="B234" i="1"/>
  <c r="T234" i="1" l="1"/>
  <c r="U233" i="1" s="1"/>
  <c r="C234" i="1"/>
  <c r="D234" i="1"/>
  <c r="S234" i="1"/>
  <c r="A235" i="1"/>
  <c r="B235" i="1"/>
  <c r="T235" i="1" l="1"/>
  <c r="U234" i="1" s="1"/>
  <c r="C235" i="1"/>
  <c r="D235" i="1"/>
  <c r="S235" i="1"/>
  <c r="A236" i="1"/>
  <c r="B236" i="1"/>
  <c r="T236" i="1" l="1"/>
  <c r="U235" i="1" s="1"/>
  <c r="C236" i="1"/>
  <c r="D236" i="1"/>
  <c r="S236" i="1"/>
  <c r="A237" i="1"/>
  <c r="B237" i="1"/>
  <c r="T237" i="1" l="1"/>
  <c r="U236" i="1" s="1"/>
  <c r="C237" i="1"/>
  <c r="D237" i="1"/>
  <c r="S237" i="1"/>
  <c r="A238" i="1"/>
  <c r="B238" i="1"/>
  <c r="T238" i="1" l="1"/>
  <c r="U237" i="1" s="1"/>
  <c r="C238" i="1"/>
  <c r="D238" i="1"/>
  <c r="S238" i="1"/>
  <c r="A239" i="1"/>
  <c r="B239" i="1"/>
  <c r="T239" i="1" l="1"/>
  <c r="U238" i="1" s="1"/>
  <c r="C239" i="1"/>
  <c r="D239" i="1"/>
  <c r="S239" i="1"/>
  <c r="A240" i="1"/>
  <c r="B240" i="1"/>
  <c r="T240" i="1" l="1"/>
  <c r="U239" i="1" s="1"/>
  <c r="C240" i="1"/>
  <c r="D240" i="1"/>
  <c r="S240" i="1"/>
  <c r="A241" i="1"/>
  <c r="B241" i="1"/>
  <c r="T241" i="1" l="1"/>
  <c r="U240" i="1" s="1"/>
  <c r="C241" i="1"/>
  <c r="D241" i="1"/>
  <c r="S241" i="1"/>
  <c r="A242" i="1"/>
  <c r="B242" i="1"/>
  <c r="T242" i="1" l="1"/>
  <c r="U241" i="1" s="1"/>
  <c r="C242" i="1"/>
  <c r="D242" i="1"/>
  <c r="S242" i="1"/>
  <c r="A243" i="1"/>
  <c r="B243" i="1"/>
  <c r="T243" i="1" l="1"/>
  <c r="U242" i="1" s="1"/>
  <c r="C243" i="1"/>
  <c r="D243" i="1"/>
  <c r="S243" i="1"/>
  <c r="A244" i="1"/>
  <c r="B244" i="1"/>
  <c r="T244" i="1" l="1"/>
  <c r="U243" i="1" s="1"/>
  <c r="C244" i="1"/>
  <c r="D244" i="1"/>
  <c r="S244" i="1"/>
  <c r="A245" i="1"/>
  <c r="B245" i="1"/>
  <c r="T245" i="1" l="1"/>
  <c r="U244" i="1" s="1"/>
  <c r="C245" i="1"/>
  <c r="D245" i="1"/>
  <c r="S245" i="1"/>
  <c r="A246" i="1"/>
  <c r="B246" i="1"/>
  <c r="T246" i="1" l="1"/>
  <c r="U245" i="1" s="1"/>
  <c r="C246" i="1"/>
  <c r="D246" i="1"/>
  <c r="S246" i="1"/>
  <c r="A247" i="1"/>
  <c r="B247" i="1"/>
  <c r="T247" i="1" l="1"/>
  <c r="U246" i="1" s="1"/>
  <c r="C247" i="1"/>
  <c r="D247" i="1"/>
  <c r="S247" i="1"/>
  <c r="A248" i="1"/>
  <c r="B248" i="1"/>
  <c r="T248" i="1" l="1"/>
  <c r="U247" i="1" s="1"/>
  <c r="C248" i="1"/>
  <c r="D248" i="1"/>
  <c r="S248" i="1"/>
  <c r="A249" i="1"/>
  <c r="B249" i="1"/>
  <c r="T249" i="1" l="1"/>
  <c r="U248" i="1" s="1"/>
  <c r="C249" i="1"/>
  <c r="D249" i="1"/>
  <c r="S249" i="1"/>
  <c r="A250" i="1"/>
  <c r="B250" i="1"/>
  <c r="T250" i="1" l="1"/>
  <c r="U249" i="1" s="1"/>
  <c r="C250" i="1"/>
  <c r="D250" i="1"/>
  <c r="S250" i="1"/>
  <c r="A251" i="1"/>
  <c r="B251" i="1"/>
  <c r="T251" i="1" l="1"/>
  <c r="U250" i="1" s="1"/>
  <c r="C251" i="1"/>
  <c r="D251" i="1"/>
  <c r="S251" i="1"/>
  <c r="A252" i="1"/>
  <c r="B252" i="1"/>
  <c r="T252" i="1" l="1"/>
  <c r="U251" i="1" s="1"/>
  <c r="C252" i="1"/>
  <c r="D252" i="1"/>
  <c r="S252" i="1"/>
  <c r="A253" i="1"/>
  <c r="B253" i="1"/>
  <c r="T253" i="1" l="1"/>
  <c r="U252" i="1" s="1"/>
  <c r="C253" i="1"/>
  <c r="D253" i="1"/>
  <c r="S253" i="1"/>
  <c r="A254" i="1"/>
  <c r="B254" i="1"/>
  <c r="T254" i="1" l="1"/>
  <c r="U253" i="1" s="1"/>
  <c r="C254" i="1"/>
  <c r="D254" i="1"/>
  <c r="S254" i="1"/>
  <c r="A255" i="1"/>
  <c r="B255" i="1"/>
  <c r="T255" i="1" l="1"/>
  <c r="U254" i="1" s="1"/>
  <c r="C255" i="1"/>
  <c r="D255" i="1"/>
  <c r="S255" i="1"/>
  <c r="A256" i="1"/>
  <c r="B256" i="1"/>
  <c r="T256" i="1" l="1"/>
  <c r="U255" i="1" s="1"/>
  <c r="C256" i="1"/>
  <c r="D256" i="1"/>
  <c r="S256" i="1"/>
  <c r="A257" i="1"/>
  <c r="B257" i="1"/>
  <c r="T257" i="1" l="1"/>
  <c r="U256" i="1" s="1"/>
  <c r="C257" i="1"/>
  <c r="D257" i="1"/>
  <c r="S257" i="1"/>
  <c r="A258" i="1"/>
  <c r="B258" i="1"/>
  <c r="T258" i="1" l="1"/>
  <c r="U257" i="1" s="1"/>
  <c r="C258" i="1"/>
  <c r="D258" i="1"/>
  <c r="S258" i="1"/>
  <c r="A259" i="1"/>
  <c r="B259" i="1"/>
  <c r="T259" i="1" l="1"/>
  <c r="U258" i="1" s="1"/>
  <c r="C259" i="1"/>
  <c r="D259" i="1"/>
  <c r="S259" i="1"/>
  <c r="A260" i="1"/>
  <c r="B260" i="1"/>
  <c r="T260" i="1" l="1"/>
  <c r="U259" i="1" s="1"/>
  <c r="C260" i="1"/>
  <c r="D260" i="1"/>
  <c r="S260" i="1"/>
  <c r="A261" i="1"/>
  <c r="B261" i="1"/>
  <c r="T261" i="1" l="1"/>
  <c r="U260" i="1" s="1"/>
  <c r="C261" i="1"/>
  <c r="D261" i="1"/>
  <c r="S261" i="1"/>
  <c r="A262" i="1"/>
  <c r="B262" i="1"/>
  <c r="T262" i="1" l="1"/>
  <c r="U261" i="1" s="1"/>
  <c r="C262" i="1"/>
  <c r="D262" i="1"/>
  <c r="S262" i="1"/>
  <c r="A263" i="1"/>
  <c r="B263" i="1"/>
  <c r="T263" i="1" l="1"/>
  <c r="U262" i="1" s="1"/>
  <c r="C263" i="1"/>
  <c r="D263" i="1"/>
  <c r="S263" i="1"/>
  <c r="A264" i="1"/>
  <c r="B264" i="1"/>
  <c r="T264" i="1" l="1"/>
  <c r="U263" i="1" s="1"/>
  <c r="C264" i="1"/>
  <c r="D264" i="1"/>
  <c r="S264" i="1"/>
  <c r="A265" i="1"/>
  <c r="B265" i="1"/>
  <c r="T265" i="1" l="1"/>
  <c r="U264" i="1" s="1"/>
  <c r="C265" i="1"/>
  <c r="D265" i="1"/>
  <c r="S265" i="1"/>
  <c r="A266" i="1"/>
  <c r="B266" i="1"/>
  <c r="T266" i="1" l="1"/>
  <c r="U265" i="1" s="1"/>
  <c r="C266" i="1"/>
  <c r="D266" i="1"/>
  <c r="S266" i="1"/>
  <c r="A267" i="1"/>
  <c r="B267" i="1"/>
  <c r="T267" i="1" l="1"/>
  <c r="U266" i="1" s="1"/>
  <c r="C267" i="1"/>
  <c r="D267" i="1"/>
  <c r="S267" i="1"/>
  <c r="A268" i="1"/>
  <c r="B268" i="1"/>
  <c r="T268" i="1" l="1"/>
  <c r="U267" i="1" s="1"/>
  <c r="C268" i="1"/>
  <c r="D268" i="1"/>
  <c r="S268" i="1"/>
  <c r="A269" i="1"/>
  <c r="B269" i="1"/>
  <c r="T269" i="1" l="1"/>
  <c r="U268" i="1" s="1"/>
  <c r="C269" i="1"/>
  <c r="D269" i="1"/>
  <c r="S269" i="1"/>
  <c r="A270" i="1"/>
  <c r="B270" i="1"/>
  <c r="T270" i="1" l="1"/>
  <c r="U269" i="1" s="1"/>
  <c r="C270" i="1"/>
  <c r="D270" i="1"/>
  <c r="S270" i="1"/>
  <c r="A271" i="1"/>
  <c r="B271" i="1"/>
  <c r="T271" i="1" l="1"/>
  <c r="U270" i="1" s="1"/>
  <c r="C271" i="1"/>
  <c r="D271" i="1"/>
  <c r="S271" i="1"/>
  <c r="A272" i="1"/>
  <c r="B272" i="1"/>
  <c r="T272" i="1" l="1"/>
  <c r="U271" i="1" s="1"/>
  <c r="C272" i="1"/>
  <c r="D272" i="1"/>
  <c r="S272" i="1"/>
  <c r="A273" i="1"/>
  <c r="B273" i="1"/>
  <c r="T273" i="1" l="1"/>
  <c r="U272" i="1" s="1"/>
  <c r="C273" i="1"/>
  <c r="D273" i="1"/>
  <c r="S273" i="1"/>
  <c r="A274" i="1"/>
  <c r="B274" i="1"/>
  <c r="T274" i="1" l="1"/>
  <c r="U273" i="1" s="1"/>
  <c r="C274" i="1"/>
  <c r="D274" i="1"/>
  <c r="S274" i="1"/>
  <c r="A275" i="1"/>
  <c r="B275" i="1"/>
  <c r="T275" i="1" l="1"/>
  <c r="U274" i="1" s="1"/>
  <c r="C275" i="1"/>
  <c r="D275" i="1"/>
  <c r="S275" i="1"/>
  <c r="A276" i="1"/>
  <c r="B276" i="1"/>
  <c r="T276" i="1" l="1"/>
  <c r="U275" i="1" s="1"/>
  <c r="C276" i="1"/>
  <c r="D276" i="1"/>
  <c r="S276" i="1"/>
  <c r="A277" i="1"/>
  <c r="B277" i="1"/>
  <c r="T277" i="1" l="1"/>
  <c r="U276" i="1" s="1"/>
  <c r="C277" i="1"/>
  <c r="D277" i="1"/>
  <c r="S277" i="1"/>
  <c r="A278" i="1"/>
  <c r="B278" i="1"/>
  <c r="T278" i="1" l="1"/>
  <c r="U277" i="1" s="1"/>
  <c r="C278" i="1"/>
  <c r="D278" i="1"/>
  <c r="S278" i="1"/>
  <c r="A279" i="1"/>
  <c r="B279" i="1"/>
  <c r="T279" i="1" l="1"/>
  <c r="U278" i="1" s="1"/>
  <c r="C279" i="1"/>
  <c r="D279" i="1"/>
  <c r="S279" i="1"/>
  <c r="A280" i="1"/>
  <c r="B280" i="1"/>
  <c r="T280" i="1" l="1"/>
  <c r="U279" i="1" s="1"/>
  <c r="C280" i="1"/>
  <c r="D280" i="1"/>
  <c r="S280" i="1"/>
  <c r="A281" i="1"/>
  <c r="B281" i="1"/>
  <c r="T281" i="1" l="1"/>
  <c r="U280" i="1" s="1"/>
  <c r="C281" i="1"/>
  <c r="D281" i="1"/>
  <c r="S281" i="1"/>
  <c r="A282" i="1"/>
  <c r="B282" i="1"/>
  <c r="T282" i="1" l="1"/>
  <c r="U281" i="1" s="1"/>
  <c r="C282" i="1"/>
  <c r="D282" i="1"/>
  <c r="S282" i="1"/>
  <c r="A283" i="1"/>
  <c r="B283" i="1"/>
  <c r="T283" i="1" l="1"/>
  <c r="U282" i="1" s="1"/>
  <c r="C283" i="1"/>
  <c r="D283" i="1"/>
  <c r="S283" i="1"/>
  <c r="A284" i="1"/>
  <c r="B284" i="1"/>
  <c r="T284" i="1" l="1"/>
  <c r="U283" i="1" s="1"/>
  <c r="C284" i="1"/>
  <c r="D284" i="1"/>
  <c r="S284" i="1"/>
  <c r="A285" i="1"/>
  <c r="B285" i="1"/>
  <c r="T285" i="1" l="1"/>
  <c r="U284" i="1" s="1"/>
  <c r="C285" i="1"/>
  <c r="D285" i="1"/>
  <c r="S285" i="1"/>
  <c r="A286" i="1"/>
  <c r="B286" i="1"/>
  <c r="T286" i="1" l="1"/>
  <c r="U285" i="1" s="1"/>
  <c r="C286" i="1"/>
  <c r="D286" i="1"/>
  <c r="S286" i="1"/>
  <c r="A287" i="1"/>
  <c r="B287" i="1"/>
  <c r="T287" i="1" l="1"/>
  <c r="U286" i="1" s="1"/>
  <c r="C287" i="1"/>
  <c r="D287" i="1"/>
  <c r="S287" i="1"/>
  <c r="A288" i="1"/>
  <c r="B288" i="1"/>
  <c r="T288" i="1" l="1"/>
  <c r="U287" i="1" s="1"/>
  <c r="C288" i="1"/>
  <c r="D288" i="1"/>
  <c r="S288" i="1"/>
  <c r="A289" i="1"/>
  <c r="B289" i="1"/>
  <c r="T289" i="1" l="1"/>
  <c r="U288" i="1" s="1"/>
  <c r="C289" i="1"/>
  <c r="D289" i="1"/>
  <c r="S289" i="1"/>
  <c r="A290" i="1"/>
  <c r="B290" i="1"/>
  <c r="T290" i="1" l="1"/>
  <c r="U289" i="1" s="1"/>
  <c r="C290" i="1"/>
  <c r="D290" i="1"/>
  <c r="S290" i="1"/>
  <c r="A291" i="1"/>
  <c r="B291" i="1"/>
  <c r="T291" i="1" l="1"/>
  <c r="U290" i="1" s="1"/>
  <c r="C291" i="1"/>
  <c r="D291" i="1"/>
  <c r="S291" i="1"/>
  <c r="A292" i="1"/>
  <c r="B292" i="1"/>
  <c r="T292" i="1" l="1"/>
  <c r="U291" i="1" s="1"/>
  <c r="C292" i="1"/>
  <c r="D292" i="1"/>
  <c r="S292" i="1"/>
  <c r="A293" i="1"/>
  <c r="B293" i="1"/>
  <c r="T293" i="1" l="1"/>
  <c r="U292" i="1" s="1"/>
  <c r="C293" i="1"/>
  <c r="D293" i="1"/>
  <c r="S293" i="1"/>
  <c r="A294" i="1"/>
  <c r="B294" i="1"/>
  <c r="T294" i="1" l="1"/>
  <c r="U293" i="1" s="1"/>
  <c r="C294" i="1"/>
  <c r="D294" i="1"/>
  <c r="S294" i="1"/>
  <c r="A295" i="1"/>
  <c r="B295" i="1"/>
  <c r="T295" i="1" l="1"/>
  <c r="U294" i="1" s="1"/>
  <c r="C295" i="1"/>
  <c r="D295" i="1"/>
  <c r="S295" i="1"/>
  <c r="A296" i="1"/>
  <c r="B296" i="1"/>
  <c r="T296" i="1" l="1"/>
  <c r="U295" i="1" s="1"/>
  <c r="C296" i="1"/>
  <c r="D296" i="1"/>
  <c r="S296" i="1"/>
  <c r="A297" i="1"/>
  <c r="B297" i="1"/>
  <c r="T297" i="1" l="1"/>
  <c r="U296" i="1" s="1"/>
  <c r="C297" i="1"/>
  <c r="D297" i="1"/>
  <c r="S297" i="1"/>
  <c r="A298" i="1"/>
  <c r="B298" i="1"/>
  <c r="T298" i="1" l="1"/>
  <c r="U297" i="1" s="1"/>
  <c r="C298" i="1"/>
  <c r="D298" i="1"/>
  <c r="S298" i="1"/>
  <c r="A299" i="1"/>
  <c r="B299" i="1"/>
  <c r="T299" i="1" l="1"/>
  <c r="U298" i="1" s="1"/>
  <c r="C299" i="1"/>
  <c r="D299" i="1"/>
  <c r="S299" i="1"/>
  <c r="A300" i="1"/>
  <c r="B300" i="1"/>
  <c r="T300" i="1" l="1"/>
  <c r="U299" i="1" s="1"/>
  <c r="C300" i="1"/>
  <c r="D300" i="1"/>
  <c r="S300" i="1"/>
  <c r="A301" i="1"/>
  <c r="B301" i="1"/>
  <c r="T301" i="1" l="1"/>
  <c r="U300" i="1" s="1"/>
  <c r="C301" i="1"/>
  <c r="D301" i="1"/>
  <c r="S301" i="1"/>
  <c r="A302" i="1"/>
  <c r="B302" i="1"/>
  <c r="T302" i="1" l="1"/>
  <c r="U301" i="1" s="1"/>
  <c r="C302" i="1"/>
  <c r="D302" i="1"/>
  <c r="S302" i="1"/>
  <c r="A303" i="1"/>
  <c r="B303" i="1"/>
  <c r="T303" i="1" l="1"/>
  <c r="U302" i="1" s="1"/>
  <c r="C303" i="1"/>
  <c r="D303" i="1"/>
  <c r="S303" i="1"/>
  <c r="A304" i="1"/>
  <c r="B304" i="1"/>
  <c r="T304" i="1" l="1"/>
  <c r="U303" i="1" s="1"/>
  <c r="C304" i="1"/>
  <c r="D304" i="1"/>
  <c r="S304" i="1"/>
  <c r="A305" i="1"/>
  <c r="B305" i="1"/>
  <c r="T305" i="1" l="1"/>
  <c r="U304" i="1" s="1"/>
  <c r="C305" i="1"/>
  <c r="D305" i="1"/>
  <c r="S305" i="1"/>
  <c r="A306" i="1"/>
  <c r="B306" i="1"/>
  <c r="T306" i="1" l="1"/>
  <c r="U305" i="1" s="1"/>
  <c r="C306" i="1"/>
  <c r="D306" i="1"/>
  <c r="S306" i="1"/>
  <c r="A307" i="1"/>
  <c r="B307" i="1"/>
  <c r="T307" i="1" l="1"/>
  <c r="U306" i="1" s="1"/>
  <c r="C307" i="1"/>
  <c r="D307" i="1"/>
  <c r="S307" i="1"/>
  <c r="A308" i="1"/>
  <c r="B308" i="1"/>
  <c r="T308" i="1" l="1"/>
  <c r="U307" i="1" s="1"/>
  <c r="C308" i="1"/>
  <c r="D308" i="1"/>
  <c r="S308" i="1"/>
  <c r="A309" i="1"/>
  <c r="B309" i="1"/>
  <c r="T309" i="1" l="1"/>
  <c r="U308" i="1" s="1"/>
  <c r="C309" i="1"/>
  <c r="D309" i="1"/>
  <c r="S309" i="1"/>
  <c r="A310" i="1"/>
  <c r="B310" i="1"/>
  <c r="T310" i="1" l="1"/>
  <c r="U309" i="1" s="1"/>
  <c r="C310" i="1"/>
  <c r="D310" i="1"/>
  <c r="S310" i="1"/>
  <c r="A311" i="1"/>
  <c r="B311" i="1"/>
  <c r="T311" i="1" l="1"/>
  <c r="U310" i="1" s="1"/>
  <c r="C311" i="1"/>
  <c r="D311" i="1"/>
  <c r="S311" i="1"/>
  <c r="A312" i="1"/>
  <c r="B312" i="1"/>
  <c r="T312" i="1" l="1"/>
  <c r="U311" i="1" s="1"/>
  <c r="C312" i="1"/>
  <c r="D312" i="1"/>
  <c r="S312" i="1"/>
  <c r="A313" i="1"/>
  <c r="B313" i="1"/>
  <c r="T313" i="1" l="1"/>
  <c r="U312" i="1" s="1"/>
  <c r="C313" i="1"/>
  <c r="D313" i="1"/>
  <c r="S313" i="1"/>
  <c r="A314" i="1"/>
  <c r="B314" i="1"/>
  <c r="T314" i="1" l="1"/>
  <c r="U313" i="1" s="1"/>
  <c r="C314" i="1"/>
  <c r="D314" i="1"/>
  <c r="S314" i="1"/>
  <c r="A315" i="1"/>
  <c r="B315" i="1"/>
  <c r="T315" i="1" l="1"/>
  <c r="U314" i="1" s="1"/>
  <c r="C315" i="1"/>
  <c r="D315" i="1"/>
  <c r="S315" i="1"/>
  <c r="A316" i="1"/>
  <c r="B316" i="1"/>
  <c r="T316" i="1" l="1"/>
  <c r="U315" i="1" s="1"/>
  <c r="C316" i="1"/>
  <c r="D316" i="1"/>
  <c r="S316" i="1"/>
  <c r="A317" i="1"/>
  <c r="B317" i="1"/>
  <c r="T317" i="1" l="1"/>
  <c r="U316" i="1" s="1"/>
  <c r="C317" i="1"/>
  <c r="D317" i="1"/>
  <c r="S317" i="1"/>
  <c r="A318" i="1"/>
  <c r="B318" i="1"/>
  <c r="T318" i="1" l="1"/>
  <c r="U317" i="1" s="1"/>
  <c r="C318" i="1"/>
  <c r="D318" i="1"/>
  <c r="S318" i="1"/>
  <c r="A319" i="1"/>
  <c r="B319" i="1"/>
  <c r="T319" i="1" l="1"/>
  <c r="U318" i="1" s="1"/>
  <c r="C319" i="1"/>
  <c r="D319" i="1"/>
  <c r="S319" i="1"/>
  <c r="A320" i="1"/>
  <c r="B320" i="1"/>
  <c r="T320" i="1" l="1"/>
  <c r="U319" i="1" s="1"/>
  <c r="C320" i="1"/>
  <c r="D320" i="1"/>
  <c r="S320" i="1"/>
  <c r="A321" i="1"/>
  <c r="B321" i="1"/>
  <c r="T321" i="1" l="1"/>
  <c r="U320" i="1" s="1"/>
  <c r="C321" i="1"/>
  <c r="D321" i="1"/>
  <c r="S321" i="1"/>
  <c r="A322" i="1"/>
  <c r="B322" i="1"/>
  <c r="T322" i="1" l="1"/>
  <c r="U321" i="1" s="1"/>
  <c r="C322" i="1"/>
  <c r="D322" i="1"/>
  <c r="S322" i="1"/>
  <c r="A323" i="1"/>
  <c r="B323" i="1"/>
  <c r="T323" i="1" l="1"/>
  <c r="U322" i="1" s="1"/>
  <c r="C323" i="1"/>
  <c r="D323" i="1"/>
  <c r="S323" i="1"/>
  <c r="A324" i="1"/>
  <c r="B324" i="1"/>
  <c r="T324" i="1" l="1"/>
  <c r="U323" i="1" s="1"/>
  <c r="C324" i="1"/>
  <c r="D324" i="1"/>
  <c r="S324" i="1"/>
  <c r="A325" i="1"/>
  <c r="B325" i="1"/>
  <c r="T325" i="1" l="1"/>
  <c r="U324" i="1" s="1"/>
  <c r="C325" i="1"/>
  <c r="D325" i="1"/>
  <c r="S325" i="1"/>
  <c r="A326" i="1"/>
  <c r="B326" i="1"/>
  <c r="T326" i="1" l="1"/>
  <c r="U325" i="1" s="1"/>
  <c r="C326" i="1"/>
  <c r="D326" i="1"/>
  <c r="S326" i="1"/>
  <c r="A327" i="1"/>
  <c r="B327" i="1"/>
  <c r="T327" i="1" l="1"/>
  <c r="U326" i="1" s="1"/>
  <c r="C327" i="1"/>
  <c r="D327" i="1"/>
  <c r="S327" i="1"/>
  <c r="A328" i="1"/>
  <c r="B328" i="1"/>
  <c r="T328" i="1" l="1"/>
  <c r="U327" i="1" s="1"/>
  <c r="C328" i="1"/>
  <c r="D328" i="1"/>
  <c r="S328" i="1"/>
  <c r="A329" i="1"/>
  <c r="B329" i="1"/>
  <c r="T329" i="1" l="1"/>
  <c r="U328" i="1" s="1"/>
  <c r="C329" i="1"/>
  <c r="D329" i="1"/>
  <c r="S329" i="1"/>
  <c r="A330" i="1"/>
  <c r="B330" i="1"/>
  <c r="T330" i="1" l="1"/>
  <c r="U329" i="1" s="1"/>
  <c r="C330" i="1"/>
  <c r="D330" i="1"/>
  <c r="S330" i="1"/>
  <c r="A331" i="1"/>
  <c r="B331" i="1"/>
  <c r="T331" i="1" l="1"/>
  <c r="U330" i="1" s="1"/>
  <c r="C331" i="1"/>
  <c r="D331" i="1"/>
  <c r="S331" i="1"/>
  <c r="A332" i="1"/>
  <c r="B332" i="1"/>
  <c r="T332" i="1" l="1"/>
  <c r="U331" i="1" s="1"/>
  <c r="C332" i="1"/>
  <c r="D332" i="1"/>
  <c r="S332" i="1"/>
  <c r="A333" i="1"/>
  <c r="B333" i="1"/>
  <c r="T333" i="1" l="1"/>
  <c r="U332" i="1" s="1"/>
  <c r="C333" i="1"/>
  <c r="D333" i="1"/>
  <c r="S333" i="1"/>
  <c r="A334" i="1"/>
  <c r="B334" i="1"/>
  <c r="T334" i="1" l="1"/>
  <c r="U333" i="1" s="1"/>
  <c r="C334" i="1"/>
  <c r="D334" i="1"/>
  <c r="S334" i="1"/>
  <c r="A335" i="1"/>
  <c r="B335" i="1"/>
  <c r="T335" i="1" l="1"/>
  <c r="U334" i="1" s="1"/>
  <c r="C335" i="1"/>
  <c r="D335" i="1"/>
  <c r="S335" i="1"/>
  <c r="A336" i="1"/>
  <c r="B336" i="1"/>
  <c r="T336" i="1" l="1"/>
  <c r="U335" i="1" s="1"/>
  <c r="C336" i="1"/>
  <c r="D336" i="1"/>
  <c r="S336" i="1"/>
  <c r="A337" i="1"/>
  <c r="B337" i="1"/>
  <c r="T337" i="1" l="1"/>
  <c r="U336" i="1" s="1"/>
  <c r="C337" i="1"/>
  <c r="D337" i="1"/>
  <c r="S337" i="1"/>
  <c r="A338" i="1"/>
  <c r="B338" i="1"/>
  <c r="T338" i="1" l="1"/>
  <c r="U337" i="1" s="1"/>
  <c r="C338" i="1"/>
  <c r="D338" i="1"/>
  <c r="S338" i="1"/>
  <c r="A339" i="1"/>
  <c r="B339" i="1"/>
  <c r="T339" i="1" l="1"/>
  <c r="U338" i="1" s="1"/>
  <c r="C339" i="1"/>
  <c r="D339" i="1"/>
  <c r="S339" i="1"/>
  <c r="A340" i="1"/>
  <c r="B340" i="1"/>
  <c r="T340" i="1" l="1"/>
  <c r="U339" i="1" s="1"/>
  <c r="C340" i="1"/>
  <c r="D340" i="1"/>
  <c r="S340" i="1"/>
  <c r="A341" i="1"/>
  <c r="B341" i="1"/>
  <c r="T341" i="1" l="1"/>
  <c r="U340" i="1" s="1"/>
  <c r="C341" i="1"/>
  <c r="D341" i="1"/>
  <c r="S341" i="1"/>
  <c r="A342" i="1"/>
  <c r="B342" i="1"/>
  <c r="T342" i="1" l="1"/>
  <c r="U341" i="1" s="1"/>
  <c r="C342" i="1"/>
  <c r="D342" i="1"/>
  <c r="S342" i="1"/>
  <c r="A343" i="1"/>
  <c r="B343" i="1"/>
  <c r="T343" i="1" l="1"/>
  <c r="U342" i="1" s="1"/>
  <c r="C343" i="1"/>
  <c r="D343" i="1"/>
  <c r="S343" i="1"/>
  <c r="A344" i="1"/>
  <c r="B344" i="1"/>
  <c r="T344" i="1" l="1"/>
  <c r="U343" i="1" s="1"/>
  <c r="C344" i="1"/>
  <c r="D344" i="1"/>
  <c r="S344" i="1"/>
  <c r="A345" i="1"/>
  <c r="B345" i="1"/>
  <c r="T345" i="1" l="1"/>
  <c r="U344" i="1" s="1"/>
  <c r="C345" i="1"/>
  <c r="D345" i="1"/>
  <c r="S345" i="1"/>
  <c r="A346" i="1"/>
  <c r="B346" i="1"/>
  <c r="T346" i="1" l="1"/>
  <c r="U345" i="1" s="1"/>
  <c r="C346" i="1"/>
  <c r="D346" i="1"/>
  <c r="S346" i="1"/>
  <c r="A347" i="1"/>
  <c r="B347" i="1"/>
  <c r="T347" i="1" l="1"/>
  <c r="U346" i="1" s="1"/>
  <c r="C347" i="1"/>
  <c r="D347" i="1"/>
  <c r="S347" i="1"/>
  <c r="A348" i="1"/>
  <c r="B348" i="1"/>
  <c r="T348" i="1" l="1"/>
  <c r="U347" i="1" s="1"/>
  <c r="C348" i="1"/>
  <c r="D348" i="1"/>
  <c r="S348" i="1"/>
  <c r="A349" i="1"/>
  <c r="B349" i="1"/>
  <c r="T349" i="1" l="1"/>
  <c r="U348" i="1" s="1"/>
  <c r="C349" i="1"/>
  <c r="D349" i="1"/>
  <c r="S349" i="1"/>
  <c r="A350" i="1"/>
  <c r="B350" i="1"/>
  <c r="T350" i="1" l="1"/>
  <c r="U349" i="1" s="1"/>
  <c r="C350" i="1"/>
  <c r="D350" i="1"/>
  <c r="S350" i="1"/>
  <c r="A351" i="1"/>
  <c r="B351" i="1"/>
  <c r="T351" i="1" l="1"/>
  <c r="U350" i="1" s="1"/>
  <c r="C351" i="1"/>
  <c r="D351" i="1"/>
  <c r="S351" i="1"/>
  <c r="A352" i="1"/>
  <c r="B352" i="1"/>
  <c r="T352" i="1" l="1"/>
  <c r="U351" i="1" s="1"/>
  <c r="C352" i="1"/>
  <c r="D352" i="1"/>
  <c r="S352" i="1"/>
  <c r="A353" i="1"/>
  <c r="B353" i="1"/>
  <c r="T353" i="1" l="1"/>
  <c r="U352" i="1" s="1"/>
  <c r="C353" i="1"/>
  <c r="D353" i="1"/>
  <c r="S353" i="1"/>
  <c r="A354" i="1"/>
  <c r="B354" i="1"/>
  <c r="T354" i="1" l="1"/>
  <c r="U353" i="1" s="1"/>
  <c r="C354" i="1"/>
  <c r="D354" i="1"/>
  <c r="S354" i="1"/>
  <c r="A355" i="1"/>
  <c r="B355" i="1"/>
  <c r="T355" i="1" l="1"/>
  <c r="U354" i="1" s="1"/>
  <c r="C355" i="1"/>
  <c r="D355" i="1"/>
  <c r="S355" i="1"/>
  <c r="A356" i="1"/>
  <c r="B356" i="1"/>
  <c r="T356" i="1" l="1"/>
  <c r="U355" i="1" s="1"/>
  <c r="C356" i="1"/>
  <c r="D356" i="1"/>
  <c r="S356" i="1"/>
  <c r="A357" i="1"/>
  <c r="B357" i="1"/>
  <c r="T357" i="1" l="1"/>
  <c r="U356" i="1" s="1"/>
  <c r="C357" i="1"/>
  <c r="D357" i="1"/>
  <c r="S357" i="1"/>
  <c r="A358" i="1"/>
  <c r="B358" i="1"/>
  <c r="T358" i="1" l="1"/>
  <c r="U357" i="1" s="1"/>
  <c r="C358" i="1"/>
  <c r="D358" i="1"/>
  <c r="A359" i="1"/>
  <c r="S358" i="1"/>
  <c r="B359" i="1"/>
  <c r="C359" i="1" l="1"/>
  <c r="D359" i="1"/>
  <c r="U358" i="1"/>
  <c r="T359" i="1"/>
  <c r="S359" i="1"/>
  <c r="B360" i="1"/>
  <c r="A360" i="1"/>
  <c r="T360" i="1" l="1"/>
  <c r="U359" i="1" s="1"/>
  <c r="A361" i="1"/>
  <c r="B361" i="1"/>
  <c r="S360" i="1"/>
  <c r="C360" i="1"/>
  <c r="D360" i="1"/>
  <c r="C361" i="1" l="1"/>
  <c r="D361" i="1"/>
  <c r="B362" i="1"/>
  <c r="S361" i="1"/>
  <c r="A362" i="1"/>
  <c r="T361" i="1"/>
  <c r="U360" i="1" s="1"/>
  <c r="A363" i="1" l="1"/>
  <c r="B363" i="1"/>
  <c r="S362" i="1"/>
  <c r="T362" i="1"/>
  <c r="U361" i="1" s="1"/>
  <c r="C362" i="1"/>
  <c r="D362" i="1"/>
  <c r="C363" i="1" l="1"/>
  <c r="D363" i="1"/>
  <c r="A364" i="1"/>
  <c r="B364" i="1"/>
  <c r="S363" i="1"/>
  <c r="T363" i="1"/>
  <c r="U362" i="1" s="1"/>
  <c r="C364" i="1" l="1"/>
  <c r="D364" i="1"/>
  <c r="B365" i="1"/>
  <c r="S364" i="1"/>
  <c r="A365" i="1"/>
  <c r="T364" i="1"/>
  <c r="U363" i="1" s="1"/>
  <c r="B366" i="1" l="1"/>
  <c r="S365" i="1"/>
  <c r="A366" i="1"/>
  <c r="T365" i="1"/>
  <c r="U364" i="1" s="1"/>
  <c r="D365" i="1"/>
  <c r="C365" i="1"/>
  <c r="A367" i="1" l="1"/>
  <c r="S366" i="1"/>
  <c r="B367" i="1"/>
  <c r="T366" i="1"/>
  <c r="U365" i="1" s="1"/>
  <c r="C366" i="1"/>
  <c r="D366" i="1"/>
  <c r="C367" i="1" l="1"/>
  <c r="D367" i="1"/>
  <c r="U366" i="1"/>
  <c r="T367" i="1"/>
  <c r="S367" i="1"/>
  <c r="B368" i="1"/>
  <c r="A368" i="1"/>
  <c r="T368" i="1" l="1"/>
  <c r="U367" i="1" s="1"/>
  <c r="A369" i="1"/>
  <c r="S368" i="1"/>
  <c r="B369" i="1"/>
  <c r="C368" i="1"/>
  <c r="D368" i="1"/>
  <c r="D369" i="1" l="1"/>
  <c r="C369" i="1"/>
  <c r="T369" i="1"/>
  <c r="U368" i="1"/>
  <c r="A370" i="1"/>
  <c r="S369" i="1"/>
  <c r="B370" i="1"/>
  <c r="C370" i="1" l="1"/>
  <c r="D370" i="1"/>
  <c r="U369" i="1"/>
  <c r="T370" i="1"/>
  <c r="S370" i="1"/>
  <c r="A371" i="1"/>
  <c r="B371" i="1"/>
  <c r="T371" i="1" l="1"/>
  <c r="U370" i="1" s="1"/>
  <c r="C371" i="1"/>
  <c r="D371" i="1"/>
  <c r="B372" i="1"/>
  <c r="S371" i="1"/>
  <c r="A372" i="1"/>
  <c r="S372" i="1" l="1"/>
  <c r="B373" i="1"/>
  <c r="A373" i="1"/>
  <c r="T372" i="1"/>
  <c r="U371" i="1"/>
  <c r="C372" i="1"/>
  <c r="D372" i="1"/>
  <c r="T373" i="1" l="1"/>
  <c r="U372" i="1" s="1"/>
  <c r="S373" i="1"/>
  <c r="B374" i="1"/>
  <c r="A374" i="1"/>
  <c r="D373" i="1"/>
  <c r="C373" i="1"/>
  <c r="T374" i="1" l="1"/>
  <c r="U373" i="1"/>
  <c r="B375" i="1"/>
  <c r="S374" i="1"/>
  <c r="A375" i="1"/>
  <c r="C374" i="1"/>
  <c r="D374" i="1"/>
  <c r="S375" i="1" l="1"/>
  <c r="B376" i="1"/>
  <c r="A376" i="1"/>
  <c r="T375" i="1"/>
  <c r="U374" i="1" s="1"/>
  <c r="D375" i="1"/>
  <c r="C375" i="1"/>
  <c r="T376" i="1" l="1"/>
  <c r="U375" i="1" s="1"/>
  <c r="A377" i="1"/>
  <c r="S376" i="1"/>
  <c r="B377" i="1"/>
  <c r="C376" i="1"/>
  <c r="D376" i="1"/>
  <c r="C377" i="1" l="1"/>
  <c r="D377" i="1"/>
  <c r="T377" i="1"/>
  <c r="U376" i="1" s="1"/>
  <c r="A378" i="1"/>
  <c r="B378" i="1"/>
  <c r="S377" i="1"/>
  <c r="C378" i="1" l="1"/>
  <c r="D378" i="1"/>
  <c r="S378" i="1"/>
  <c r="A379" i="1"/>
  <c r="B379" i="1"/>
  <c r="T378" i="1"/>
  <c r="U377" i="1"/>
  <c r="T379" i="1" l="1"/>
  <c r="U378" i="1"/>
  <c r="D379" i="1"/>
  <c r="C379" i="1"/>
  <c r="A380" i="1"/>
  <c r="S379" i="1"/>
  <c r="B380" i="1"/>
  <c r="C380" i="1" l="1"/>
  <c r="D380" i="1"/>
  <c r="U379" i="1"/>
  <c r="T380" i="1"/>
  <c r="A381" i="1"/>
  <c r="S380" i="1"/>
  <c r="B381" i="1"/>
  <c r="C381" i="1" l="1"/>
  <c r="D381" i="1"/>
  <c r="T381" i="1"/>
  <c r="U380" i="1" s="1"/>
  <c r="A382" i="1"/>
  <c r="S381" i="1"/>
  <c r="B382" i="1"/>
  <c r="C382" i="1" l="1"/>
  <c r="D382" i="1"/>
  <c r="T382" i="1"/>
  <c r="U381" i="1" s="1"/>
  <c r="A383" i="1"/>
  <c r="B383" i="1"/>
  <c r="S382" i="1"/>
  <c r="D383" i="1" l="1"/>
  <c r="C383" i="1"/>
  <c r="A384" i="1"/>
  <c r="S383" i="1"/>
  <c r="B384" i="1"/>
  <c r="T383" i="1"/>
  <c r="U382" i="1" s="1"/>
  <c r="C384" i="1" l="1"/>
  <c r="D384" i="1"/>
  <c r="U383" i="1"/>
  <c r="T384" i="1"/>
  <c r="A385" i="1"/>
  <c r="S384" i="1"/>
  <c r="B385" i="1"/>
  <c r="C385" i="1" l="1"/>
  <c r="D385" i="1"/>
  <c r="U384" i="1"/>
  <c r="T385" i="1"/>
  <c r="B386" i="1"/>
  <c r="S385" i="1"/>
  <c r="A386" i="1"/>
  <c r="S386" i="1" l="1"/>
  <c r="A387" i="1"/>
  <c r="B387" i="1"/>
  <c r="T386" i="1"/>
  <c r="U385" i="1" s="1"/>
  <c r="C386" i="1"/>
  <c r="D386" i="1"/>
  <c r="T387" i="1" l="1"/>
  <c r="U386" i="1" s="1"/>
  <c r="C387" i="1"/>
  <c r="D387" i="1"/>
  <c r="B388" i="1"/>
  <c r="A388" i="1"/>
  <c r="S387" i="1"/>
  <c r="A389" i="1" l="1"/>
  <c r="B389" i="1"/>
  <c r="S388" i="1"/>
  <c r="C388" i="1"/>
  <c r="D388" i="1"/>
  <c r="T388" i="1"/>
  <c r="U387" i="1" s="1"/>
  <c r="C389" i="1" l="1"/>
  <c r="D389" i="1"/>
  <c r="B390" i="1"/>
  <c r="S389" i="1"/>
  <c r="A390" i="1"/>
  <c r="T389" i="1"/>
  <c r="U388" i="1" s="1"/>
  <c r="A391" i="1" l="1"/>
  <c r="S390" i="1"/>
  <c r="B391" i="1"/>
  <c r="T390" i="1"/>
  <c r="U389" i="1" s="1"/>
  <c r="C390" i="1"/>
  <c r="D390" i="1"/>
  <c r="C391" i="1" l="1"/>
  <c r="D391" i="1"/>
  <c r="U390" i="1"/>
  <c r="T391" i="1"/>
  <c r="S391" i="1"/>
  <c r="B392" i="1"/>
  <c r="A392" i="1"/>
  <c r="T392" i="1" l="1"/>
  <c r="U391" i="1" s="1"/>
  <c r="A393" i="1"/>
  <c r="S392" i="1"/>
  <c r="B393" i="1"/>
  <c r="C392" i="1"/>
  <c r="D392" i="1"/>
  <c r="C393" i="1" l="1"/>
  <c r="D393" i="1"/>
  <c r="U392" i="1"/>
  <c r="T393" i="1"/>
  <c r="A394" i="1"/>
  <c r="S393" i="1"/>
  <c r="B394" i="1"/>
  <c r="C394" i="1" l="1"/>
  <c r="D394" i="1"/>
  <c r="U393" i="1"/>
  <c r="T394" i="1"/>
  <c r="A395" i="1"/>
  <c r="B395" i="1"/>
  <c r="S394" i="1"/>
  <c r="C395" i="1" l="1"/>
  <c r="D395" i="1"/>
  <c r="B396" i="1"/>
  <c r="S395" i="1"/>
  <c r="A396" i="1"/>
  <c r="U394" i="1"/>
  <c r="T395" i="1"/>
  <c r="S396" i="1" l="1"/>
  <c r="B397" i="1"/>
  <c r="A397" i="1"/>
  <c r="T396" i="1"/>
  <c r="U395" i="1" s="1"/>
  <c r="D396" i="1"/>
  <c r="C396" i="1"/>
  <c r="T397" i="1" l="1"/>
  <c r="U396" i="1" s="1"/>
  <c r="A398" i="1"/>
  <c r="S397" i="1"/>
  <c r="B398" i="1"/>
  <c r="C397" i="1"/>
  <c r="D397" i="1"/>
  <c r="C398" i="1" l="1"/>
  <c r="D398" i="1"/>
  <c r="U397" i="1"/>
  <c r="T398" i="1"/>
  <c r="B399" i="1"/>
  <c r="S398" i="1"/>
  <c r="A399" i="1"/>
  <c r="A400" i="1" l="1"/>
  <c r="S399" i="1"/>
  <c r="B400" i="1"/>
  <c r="T399" i="1"/>
  <c r="U398" i="1" s="1"/>
  <c r="C399" i="1"/>
  <c r="D399" i="1"/>
  <c r="C400" i="1" l="1"/>
  <c r="D400" i="1"/>
  <c r="U399" i="1"/>
  <c r="T400" i="1"/>
  <c r="A401" i="1"/>
  <c r="S400" i="1"/>
  <c r="B401" i="1"/>
  <c r="C401" i="1" l="1"/>
  <c r="D401" i="1"/>
  <c r="U400" i="1"/>
  <c r="T401" i="1"/>
  <c r="B402" i="1"/>
  <c r="S401" i="1"/>
  <c r="A402" i="1"/>
  <c r="S402" i="1" l="1"/>
  <c r="B403" i="1"/>
  <c r="A403" i="1"/>
  <c r="T402" i="1"/>
  <c r="U401" i="1"/>
  <c r="C402" i="1"/>
  <c r="D402" i="1"/>
  <c r="T403" i="1" l="1"/>
  <c r="U402" i="1" s="1"/>
  <c r="A404" i="1"/>
  <c r="S403" i="1"/>
  <c r="B404" i="1"/>
  <c r="C403" i="1"/>
  <c r="D403" i="1"/>
  <c r="C404" i="1" l="1"/>
  <c r="D404" i="1"/>
  <c r="U403" i="1"/>
  <c r="T404" i="1"/>
  <c r="A405" i="1"/>
  <c r="S404" i="1"/>
  <c r="B405" i="1"/>
  <c r="C405" i="1" l="1"/>
  <c r="D405" i="1"/>
  <c r="T405" i="1"/>
  <c r="U404" i="1" s="1"/>
  <c r="A406" i="1"/>
  <c r="S405" i="1"/>
  <c r="B406" i="1"/>
  <c r="D406" i="1" l="1"/>
  <c r="C406" i="1"/>
  <c r="U405" i="1"/>
  <c r="T406" i="1"/>
  <c r="B407" i="1"/>
  <c r="S406" i="1"/>
  <c r="A407" i="1"/>
  <c r="A408" i="1" l="1"/>
  <c r="S407" i="1"/>
  <c r="B408" i="1"/>
  <c r="T407" i="1"/>
  <c r="U406" i="1" s="1"/>
  <c r="C407" i="1"/>
  <c r="D407" i="1"/>
  <c r="C408" i="1" l="1"/>
  <c r="D408" i="1"/>
  <c r="U407" i="1"/>
  <c r="T408" i="1"/>
  <c r="B409" i="1"/>
  <c r="S408" i="1"/>
  <c r="A409" i="1"/>
  <c r="B410" i="1" l="1"/>
  <c r="S409" i="1"/>
  <c r="A410" i="1"/>
  <c r="T409" i="1"/>
  <c r="U408" i="1" s="1"/>
  <c r="C409" i="1"/>
  <c r="D409" i="1"/>
  <c r="A411" i="1" l="1"/>
  <c r="S410" i="1"/>
  <c r="B411" i="1"/>
  <c r="T410" i="1"/>
  <c r="U409" i="1" s="1"/>
  <c r="C410" i="1"/>
  <c r="D410" i="1"/>
  <c r="C411" i="1" l="1"/>
  <c r="D411" i="1"/>
  <c r="T411" i="1"/>
  <c r="U410" i="1" s="1"/>
  <c r="A412" i="1"/>
  <c r="S411" i="1"/>
  <c r="B412" i="1"/>
  <c r="C412" i="1" l="1"/>
  <c r="D412" i="1"/>
  <c r="T412" i="1"/>
  <c r="U411" i="1" s="1"/>
  <c r="S412" i="1"/>
  <c r="B413" i="1"/>
  <c r="A413" i="1"/>
  <c r="T413" i="1" l="1"/>
  <c r="U412" i="1" s="1"/>
  <c r="A414" i="1"/>
  <c r="B414" i="1"/>
  <c r="S413" i="1"/>
  <c r="C413" i="1"/>
  <c r="D413" i="1"/>
  <c r="D414" i="1" l="1"/>
  <c r="C414" i="1"/>
  <c r="B415" i="1"/>
  <c r="S414" i="1"/>
  <c r="A415" i="1"/>
  <c r="T414" i="1"/>
  <c r="U413" i="1" s="1"/>
  <c r="S415" i="1" l="1"/>
  <c r="A416" i="1"/>
  <c r="B416" i="1"/>
  <c r="T415" i="1"/>
  <c r="U414" i="1" s="1"/>
  <c r="C415" i="1"/>
  <c r="D415" i="1"/>
  <c r="T416" i="1" l="1"/>
  <c r="U415" i="1" s="1"/>
  <c r="C416" i="1"/>
  <c r="D416" i="1"/>
  <c r="S416" i="1"/>
  <c r="A417" i="1"/>
  <c r="B417" i="1"/>
  <c r="T417" i="1" l="1"/>
  <c r="U416" i="1" s="1"/>
  <c r="D417" i="1"/>
  <c r="C417" i="1"/>
  <c r="S417" i="1"/>
  <c r="A418" i="1"/>
  <c r="B418" i="1"/>
  <c r="T418" i="1" l="1"/>
  <c r="U417" i="1" s="1"/>
  <c r="C418" i="1"/>
  <c r="D418" i="1"/>
  <c r="A419" i="1"/>
  <c r="S418" i="1"/>
  <c r="B419" i="1"/>
  <c r="C419" i="1" l="1"/>
  <c r="D419" i="1"/>
  <c r="U418" i="1"/>
  <c r="T419" i="1"/>
  <c r="B420" i="1"/>
  <c r="S419" i="1"/>
  <c r="A420" i="1"/>
  <c r="S420" i="1" l="1"/>
  <c r="B421" i="1"/>
  <c r="A421" i="1"/>
  <c r="T420" i="1"/>
  <c r="U419" i="1" s="1"/>
  <c r="C420" i="1"/>
  <c r="D420" i="1"/>
  <c r="T421" i="1" l="1"/>
  <c r="U420" i="1" s="1"/>
  <c r="A422" i="1"/>
  <c r="S421" i="1"/>
  <c r="B422" i="1"/>
  <c r="C421" i="1"/>
  <c r="D421" i="1"/>
  <c r="C422" i="1" l="1"/>
  <c r="D422" i="1"/>
  <c r="T422" i="1"/>
  <c r="U421" i="1" s="1"/>
  <c r="S422" i="1"/>
  <c r="B423" i="1"/>
  <c r="A423" i="1"/>
  <c r="T423" i="1" l="1"/>
  <c r="U422" i="1" s="1"/>
  <c r="A424" i="1"/>
  <c r="S423" i="1"/>
  <c r="B424" i="1"/>
  <c r="C423" i="1"/>
  <c r="D423" i="1"/>
  <c r="C424" i="1" l="1"/>
  <c r="D424" i="1"/>
  <c r="T424" i="1"/>
  <c r="U423" i="1" s="1"/>
  <c r="B425" i="1"/>
  <c r="S424" i="1"/>
  <c r="A425" i="1"/>
  <c r="S425" i="1" l="1"/>
  <c r="B426" i="1"/>
  <c r="A426" i="1"/>
  <c r="T425" i="1"/>
  <c r="U424" i="1" s="1"/>
  <c r="C425" i="1"/>
  <c r="D425" i="1"/>
  <c r="T426" i="1" l="1"/>
  <c r="U425" i="1"/>
  <c r="S426" i="1"/>
  <c r="B427" i="1"/>
  <c r="A427" i="1"/>
  <c r="C426" i="1"/>
  <c r="D426" i="1"/>
  <c r="T427" i="1" l="1"/>
  <c r="U426" i="1" s="1"/>
  <c r="A428" i="1"/>
  <c r="S427" i="1"/>
  <c r="B428" i="1"/>
  <c r="C427" i="1"/>
  <c r="D427" i="1"/>
  <c r="C428" i="1" l="1"/>
  <c r="D428" i="1"/>
  <c r="U427" i="1"/>
  <c r="T428" i="1"/>
  <c r="A429" i="1"/>
  <c r="S428" i="1"/>
  <c r="B429" i="1"/>
  <c r="C429" i="1" l="1"/>
  <c r="D429" i="1"/>
  <c r="U428" i="1"/>
  <c r="T429" i="1"/>
  <c r="A430" i="1"/>
  <c r="S429" i="1"/>
  <c r="B430" i="1"/>
  <c r="D430" i="1" l="1"/>
  <c r="C430" i="1"/>
  <c r="T430" i="1"/>
  <c r="U429" i="1" s="1"/>
  <c r="A431" i="1"/>
  <c r="S430" i="1"/>
  <c r="B431" i="1"/>
  <c r="C431" i="1" l="1"/>
  <c r="D431" i="1"/>
  <c r="U430" i="1"/>
  <c r="T431" i="1"/>
  <c r="S431" i="1"/>
  <c r="A432" i="1"/>
  <c r="B432" i="1"/>
  <c r="T432" i="1" l="1"/>
  <c r="U431" i="1" s="1"/>
  <c r="C432" i="1"/>
  <c r="D432" i="1"/>
  <c r="A433" i="1"/>
  <c r="B433" i="1"/>
  <c r="S432" i="1"/>
  <c r="D433" i="1" l="1"/>
  <c r="C433" i="1"/>
  <c r="S433" i="1"/>
  <c r="A434" i="1"/>
  <c r="B434" i="1"/>
  <c r="T433" i="1"/>
  <c r="U432" i="1" s="1"/>
  <c r="T434" i="1" l="1"/>
  <c r="U433" i="1" s="1"/>
  <c r="C434" i="1"/>
  <c r="D434" i="1"/>
  <c r="A435" i="1"/>
  <c r="S434" i="1"/>
  <c r="B435" i="1"/>
  <c r="C435" i="1" l="1"/>
  <c r="D435" i="1"/>
  <c r="T435" i="1"/>
  <c r="U434" i="1" s="1"/>
  <c r="A436" i="1"/>
  <c r="S435" i="1"/>
  <c r="B436" i="1"/>
  <c r="C436" i="1" l="1"/>
  <c r="D436" i="1"/>
  <c r="T436" i="1"/>
  <c r="U435" i="1" s="1"/>
  <c r="S436" i="1"/>
  <c r="A437" i="1"/>
  <c r="B437" i="1"/>
  <c r="T437" i="1" l="1"/>
  <c r="U436" i="1" s="1"/>
  <c r="C437" i="1"/>
  <c r="D437" i="1"/>
  <c r="S437" i="1"/>
  <c r="A438" i="1"/>
  <c r="B438" i="1"/>
  <c r="T438" i="1" l="1"/>
  <c r="U437" i="1" s="1"/>
  <c r="C438" i="1"/>
  <c r="D438" i="1"/>
  <c r="S438" i="1"/>
  <c r="B439" i="1"/>
  <c r="A439" i="1"/>
  <c r="T439" i="1" l="1"/>
  <c r="U438" i="1" s="1"/>
  <c r="B440" i="1"/>
  <c r="S439" i="1"/>
  <c r="A440" i="1"/>
  <c r="C439" i="1"/>
  <c r="D439" i="1"/>
  <c r="B441" i="1" l="1"/>
  <c r="S440" i="1"/>
  <c r="A441" i="1"/>
  <c r="T440" i="1"/>
  <c r="U439" i="1" s="1"/>
  <c r="C440" i="1"/>
  <c r="D440" i="1"/>
  <c r="A442" i="1" l="1"/>
  <c r="B442" i="1"/>
  <c r="S441" i="1"/>
  <c r="T441" i="1"/>
  <c r="U440" i="1" s="1"/>
  <c r="C441" i="1"/>
  <c r="D441" i="1"/>
  <c r="C442" i="1" l="1"/>
  <c r="D442" i="1"/>
  <c r="S442" i="1"/>
  <c r="A443" i="1"/>
  <c r="B443" i="1"/>
  <c r="T442" i="1"/>
  <c r="U441" i="1" s="1"/>
  <c r="T443" i="1" l="1"/>
  <c r="U442" i="1" s="1"/>
  <c r="C443" i="1"/>
  <c r="D443" i="1"/>
  <c r="S443" i="1"/>
  <c r="B444" i="1"/>
  <c r="A444" i="1"/>
  <c r="T444" i="1" l="1"/>
  <c r="U443" i="1" s="1"/>
  <c r="A445" i="1"/>
  <c r="S444" i="1"/>
  <c r="B445" i="1"/>
  <c r="C444" i="1"/>
  <c r="D444" i="1"/>
  <c r="C445" i="1" l="1"/>
  <c r="D445" i="1"/>
  <c r="U444" i="1"/>
  <c r="T445" i="1"/>
  <c r="S445" i="1"/>
  <c r="A446" i="1"/>
  <c r="B446" i="1"/>
  <c r="T446" i="1" l="1"/>
  <c r="U445" i="1" s="1"/>
  <c r="C446" i="1"/>
  <c r="D446" i="1"/>
  <c r="A447" i="1"/>
  <c r="S446" i="1"/>
  <c r="B447" i="1"/>
  <c r="C447" i="1" l="1"/>
  <c r="D447" i="1"/>
  <c r="U446" i="1"/>
  <c r="T447" i="1"/>
  <c r="B448" i="1"/>
  <c r="S447" i="1"/>
  <c r="A448" i="1"/>
  <c r="S448" i="1" l="1"/>
  <c r="B449" i="1"/>
  <c r="A449" i="1"/>
  <c r="T448" i="1"/>
  <c r="U447" i="1" s="1"/>
  <c r="C448" i="1"/>
  <c r="D448" i="1"/>
  <c r="T449" i="1" l="1"/>
  <c r="U448" i="1" s="1"/>
  <c r="S449" i="1"/>
  <c r="A450" i="1"/>
  <c r="B450" i="1"/>
  <c r="C449" i="1"/>
  <c r="D449" i="1"/>
  <c r="T450" i="1" l="1"/>
  <c r="U449" i="1" s="1"/>
  <c r="C450" i="1"/>
  <c r="D450" i="1"/>
  <c r="B451" i="1"/>
  <c r="S450" i="1"/>
  <c r="A451" i="1"/>
  <c r="B452" i="1" l="1"/>
  <c r="S451" i="1"/>
  <c r="A452" i="1"/>
  <c r="T451" i="1"/>
  <c r="U450" i="1"/>
  <c r="D451" i="1"/>
  <c r="C451" i="1"/>
  <c r="S452" i="1" l="1"/>
  <c r="A453" i="1"/>
  <c r="B453" i="1"/>
  <c r="T452" i="1"/>
  <c r="U451" i="1"/>
  <c r="C452" i="1"/>
  <c r="D452" i="1"/>
  <c r="T453" i="1" l="1"/>
  <c r="U452" i="1" s="1"/>
  <c r="C453" i="1"/>
  <c r="D453" i="1"/>
  <c r="A454" i="1"/>
  <c r="S453" i="1"/>
  <c r="B454" i="1"/>
  <c r="C454" i="1" l="1"/>
  <c r="D454" i="1"/>
  <c r="T454" i="1"/>
  <c r="U453" i="1" s="1"/>
  <c r="A455" i="1"/>
  <c r="S454" i="1"/>
  <c r="B455" i="1"/>
  <c r="C455" i="1" l="1"/>
  <c r="D455" i="1"/>
  <c r="T455" i="1"/>
  <c r="U454" i="1" s="1"/>
  <c r="S455" i="1"/>
  <c r="B456" i="1"/>
  <c r="A456" i="1"/>
  <c r="T456" i="1" l="1"/>
  <c r="U455" i="1" s="1"/>
  <c r="B457" i="1"/>
  <c r="S456" i="1"/>
  <c r="A457" i="1"/>
  <c r="C456" i="1"/>
  <c r="D456" i="1"/>
  <c r="S457" i="1" l="1"/>
  <c r="B458" i="1"/>
  <c r="A458" i="1"/>
  <c r="T457" i="1"/>
  <c r="U456" i="1" s="1"/>
  <c r="C457" i="1"/>
  <c r="D457" i="1"/>
  <c r="T458" i="1" l="1"/>
  <c r="U457" i="1" s="1"/>
  <c r="S458" i="1"/>
  <c r="A459" i="1"/>
  <c r="B459" i="1"/>
  <c r="C458" i="1"/>
  <c r="D458" i="1"/>
  <c r="T459" i="1" l="1"/>
  <c r="U458" i="1" s="1"/>
  <c r="C459" i="1"/>
  <c r="D459" i="1"/>
  <c r="A460" i="1"/>
  <c r="B460" i="1"/>
  <c r="S459" i="1"/>
  <c r="D460" i="1" l="1"/>
  <c r="C460" i="1"/>
  <c r="A461" i="1"/>
  <c r="S460" i="1"/>
  <c r="B461" i="1"/>
  <c r="T460" i="1"/>
  <c r="U459" i="1" s="1"/>
  <c r="C461" i="1" l="1"/>
  <c r="D461" i="1"/>
  <c r="U460" i="1"/>
  <c r="T461" i="1"/>
  <c r="S461" i="1"/>
  <c r="B462" i="1"/>
  <c r="A462" i="1"/>
  <c r="T462" i="1" l="1"/>
  <c r="U461" i="1" s="1"/>
  <c r="S462" i="1"/>
  <c r="B463" i="1"/>
  <c r="A463" i="1"/>
  <c r="C462" i="1"/>
  <c r="D462" i="1"/>
  <c r="T463" i="1" l="1"/>
  <c r="U462" i="1" s="1"/>
  <c r="S463" i="1"/>
  <c r="A464" i="1"/>
  <c r="B464" i="1"/>
  <c r="C463" i="1"/>
  <c r="D463" i="1"/>
  <c r="T464" i="1" l="1"/>
  <c r="U463" i="1" s="1"/>
  <c r="C464" i="1"/>
  <c r="D464" i="1"/>
  <c r="S464" i="1"/>
  <c r="A465" i="1"/>
  <c r="B465" i="1"/>
  <c r="T465" i="1" l="1"/>
  <c r="U464" i="1" s="1"/>
  <c r="C465" i="1"/>
  <c r="D465" i="1"/>
  <c r="S465" i="1"/>
  <c r="A466" i="1"/>
  <c r="B466" i="1"/>
  <c r="T466" i="1" l="1"/>
  <c r="U465" i="1" s="1"/>
  <c r="C466" i="1"/>
  <c r="D466" i="1"/>
  <c r="S466" i="1"/>
  <c r="A467" i="1"/>
  <c r="B467" i="1"/>
  <c r="T467" i="1" l="1"/>
  <c r="U466" i="1" s="1"/>
  <c r="D467" i="1"/>
  <c r="C467" i="1"/>
  <c r="S467" i="1"/>
  <c r="A468" i="1"/>
  <c r="B468" i="1"/>
  <c r="T468" i="1" l="1"/>
  <c r="U467" i="1" s="1"/>
  <c r="C468" i="1"/>
  <c r="D468" i="1"/>
  <c r="S468" i="1"/>
  <c r="A469" i="1"/>
  <c r="B469" i="1"/>
  <c r="T469" i="1" l="1"/>
  <c r="U468" i="1" s="1"/>
  <c r="C469" i="1"/>
  <c r="D469" i="1"/>
  <c r="S469" i="1"/>
  <c r="B470" i="1"/>
  <c r="A470" i="1"/>
  <c r="T470" i="1" l="1"/>
  <c r="U469" i="1" s="1"/>
  <c r="S470" i="1"/>
  <c r="B471" i="1"/>
  <c r="A471" i="1"/>
  <c r="C470" i="1"/>
  <c r="D470" i="1"/>
  <c r="T471" i="1" l="1"/>
  <c r="U470" i="1" s="1"/>
  <c r="S471" i="1"/>
  <c r="B472" i="1"/>
  <c r="A472" i="1"/>
  <c r="C471" i="1"/>
  <c r="D471" i="1"/>
  <c r="T472" i="1" l="1"/>
  <c r="U471" i="1" s="1"/>
  <c r="S472" i="1"/>
  <c r="B473" i="1"/>
  <c r="A473" i="1"/>
  <c r="C472" i="1"/>
  <c r="D472" i="1"/>
  <c r="T473" i="1" l="1"/>
  <c r="U472" i="1" s="1"/>
  <c r="A474" i="1"/>
  <c r="S473" i="1"/>
  <c r="B474" i="1"/>
  <c r="C473" i="1"/>
  <c r="D473" i="1"/>
  <c r="C474" i="1" l="1"/>
  <c r="D474" i="1"/>
  <c r="T474" i="1"/>
  <c r="U473" i="1" s="1"/>
  <c r="S474" i="1"/>
  <c r="A475" i="1"/>
  <c r="B475" i="1"/>
  <c r="T475" i="1" l="1"/>
  <c r="U474" i="1" s="1"/>
  <c r="C475" i="1"/>
  <c r="D475" i="1"/>
  <c r="S475" i="1"/>
  <c r="A476" i="1"/>
  <c r="B476" i="1"/>
  <c r="T476" i="1" l="1"/>
  <c r="U475" i="1"/>
  <c r="C476" i="1"/>
  <c r="D476" i="1"/>
  <c r="S476" i="1"/>
  <c r="B477" i="1"/>
  <c r="A477" i="1"/>
  <c r="T477" i="1" l="1"/>
  <c r="U476" i="1" s="1"/>
  <c r="B478" i="1"/>
  <c r="S477" i="1"/>
  <c r="A478" i="1"/>
  <c r="C477" i="1"/>
  <c r="D477" i="1"/>
  <c r="S478" i="1" l="1"/>
  <c r="A479" i="1"/>
  <c r="B479" i="1"/>
  <c r="T478" i="1"/>
  <c r="U477" i="1" s="1"/>
  <c r="C478" i="1"/>
  <c r="D478" i="1"/>
  <c r="T479" i="1" l="1"/>
  <c r="U478" i="1" s="1"/>
  <c r="C479" i="1"/>
  <c r="D479" i="1"/>
  <c r="B480" i="1"/>
  <c r="S479" i="1"/>
  <c r="A480" i="1"/>
  <c r="S480" i="1" l="1"/>
  <c r="A481" i="1"/>
  <c r="B481" i="1"/>
  <c r="T480" i="1"/>
  <c r="U479" i="1" s="1"/>
  <c r="C480" i="1"/>
  <c r="D480" i="1"/>
  <c r="T481" i="1" l="1"/>
  <c r="U480" i="1" s="1"/>
  <c r="C481" i="1"/>
  <c r="D481" i="1"/>
  <c r="S481" i="1"/>
  <c r="B482" i="1"/>
  <c r="A482" i="1"/>
  <c r="T482" i="1" l="1"/>
  <c r="U481" i="1" s="1"/>
  <c r="B483" i="1"/>
  <c r="S482" i="1"/>
  <c r="A483" i="1"/>
  <c r="C482" i="1"/>
  <c r="D482" i="1"/>
  <c r="S483" i="1" l="1"/>
  <c r="B484" i="1"/>
  <c r="A484" i="1"/>
  <c r="T483" i="1"/>
  <c r="U482" i="1"/>
  <c r="D483" i="1"/>
  <c r="C483" i="1"/>
  <c r="T484" i="1" l="1"/>
  <c r="U483" i="1" s="1"/>
  <c r="A485" i="1"/>
  <c r="S484" i="1"/>
  <c r="B485" i="1"/>
  <c r="C484" i="1"/>
  <c r="D484" i="1"/>
  <c r="C485" i="1" l="1"/>
  <c r="D485" i="1"/>
  <c r="U484" i="1"/>
  <c r="T485" i="1"/>
  <c r="A486" i="1"/>
  <c r="S485" i="1"/>
  <c r="B486" i="1"/>
  <c r="C486" i="1" l="1"/>
  <c r="D486" i="1"/>
  <c r="U485" i="1"/>
  <c r="T486" i="1"/>
  <c r="S486" i="1"/>
  <c r="A487" i="1"/>
  <c r="B487" i="1"/>
  <c r="T487" i="1" l="1"/>
  <c r="U486" i="1" s="1"/>
  <c r="C487" i="1"/>
  <c r="D487" i="1"/>
  <c r="A488" i="1"/>
  <c r="S487" i="1"/>
  <c r="B488" i="1"/>
  <c r="D488" i="1" l="1"/>
  <c r="C488" i="1"/>
  <c r="U487" i="1"/>
  <c r="T488" i="1"/>
  <c r="A489" i="1"/>
  <c r="S488" i="1"/>
  <c r="B489" i="1"/>
  <c r="C489" i="1" l="1"/>
  <c r="D489" i="1"/>
  <c r="U488" i="1"/>
  <c r="T489" i="1"/>
  <c r="A490" i="1"/>
  <c r="S489" i="1"/>
  <c r="B490" i="1"/>
  <c r="D490" i="1" l="1"/>
  <c r="C490" i="1"/>
  <c r="U489" i="1"/>
  <c r="T490" i="1"/>
  <c r="S490" i="1"/>
  <c r="A491" i="1"/>
  <c r="B491" i="1"/>
  <c r="T491" i="1" l="1"/>
  <c r="U490" i="1" s="1"/>
  <c r="C491" i="1"/>
  <c r="D491" i="1"/>
  <c r="A492" i="1"/>
  <c r="S491" i="1"/>
  <c r="B492" i="1"/>
  <c r="C492" i="1" l="1"/>
  <c r="D492" i="1"/>
  <c r="U491" i="1"/>
  <c r="T492" i="1"/>
  <c r="S492" i="1"/>
  <c r="A493" i="1"/>
  <c r="B493" i="1"/>
  <c r="T493" i="1" l="1"/>
  <c r="U492" i="1" s="1"/>
  <c r="C493" i="1"/>
  <c r="D493" i="1"/>
  <c r="S493" i="1"/>
  <c r="A494" i="1"/>
  <c r="B494" i="1"/>
  <c r="T494" i="1" l="1"/>
  <c r="U493" i="1" s="1"/>
  <c r="C494" i="1"/>
  <c r="D494" i="1"/>
  <c r="S494" i="1"/>
  <c r="A495" i="1"/>
  <c r="B495" i="1"/>
  <c r="T495" i="1" l="1"/>
  <c r="U494" i="1" s="1"/>
  <c r="C495" i="1"/>
  <c r="D495" i="1"/>
  <c r="S495" i="1"/>
  <c r="A496" i="1"/>
  <c r="B496" i="1"/>
  <c r="T496" i="1" l="1"/>
  <c r="U495" i="1" s="1"/>
  <c r="C496" i="1"/>
  <c r="D496" i="1"/>
  <c r="S496" i="1"/>
  <c r="A497" i="1"/>
  <c r="B497" i="1"/>
  <c r="T497" i="1" l="1"/>
  <c r="U496" i="1" s="1"/>
  <c r="C497" i="1"/>
  <c r="D497" i="1"/>
  <c r="S497" i="1"/>
  <c r="A498" i="1"/>
  <c r="B498" i="1"/>
  <c r="T498" i="1" l="1"/>
  <c r="U497" i="1" s="1"/>
  <c r="C498" i="1"/>
  <c r="D498" i="1"/>
  <c r="S498" i="1"/>
  <c r="A499" i="1"/>
  <c r="B499" i="1"/>
  <c r="T499" i="1" l="1"/>
  <c r="U498" i="1" s="1"/>
  <c r="C499" i="1"/>
  <c r="D499" i="1"/>
  <c r="S499" i="1"/>
  <c r="A500" i="1"/>
  <c r="B500" i="1"/>
  <c r="T500" i="1" l="1"/>
  <c r="U499" i="1" s="1"/>
  <c r="C500" i="1"/>
  <c r="D500" i="1"/>
  <c r="S500" i="1"/>
  <c r="B501" i="1"/>
  <c r="A501" i="1"/>
  <c r="T501" i="1" l="1"/>
  <c r="U500" i="1" s="1"/>
  <c r="S501" i="1"/>
  <c r="B502" i="1"/>
  <c r="A502" i="1"/>
  <c r="C501" i="1"/>
  <c r="D501" i="1"/>
  <c r="T502" i="1" l="1"/>
  <c r="U501" i="1" s="1"/>
  <c r="A503" i="1"/>
  <c r="S502" i="1"/>
  <c r="B503" i="1"/>
  <c r="C502" i="1"/>
  <c r="D502" i="1"/>
  <c r="C503" i="1" l="1"/>
  <c r="D503" i="1"/>
  <c r="U502" i="1"/>
  <c r="T503" i="1"/>
  <c r="A504" i="1"/>
  <c r="S503" i="1"/>
  <c r="B504" i="1"/>
  <c r="C504" i="1" l="1"/>
  <c r="D504" i="1"/>
  <c r="T504" i="1"/>
  <c r="U503" i="1" s="1"/>
  <c r="S504" i="1"/>
  <c r="B505" i="1"/>
  <c r="A505" i="1"/>
  <c r="T505" i="1" l="1"/>
  <c r="U504" i="1" s="1"/>
  <c r="S505" i="1"/>
  <c r="B506" i="1"/>
  <c r="A506" i="1"/>
  <c r="C505" i="1"/>
  <c r="D505" i="1"/>
  <c r="T506" i="1" l="1"/>
  <c r="U505" i="1" s="1"/>
  <c r="S506" i="1"/>
  <c r="A507" i="1"/>
  <c r="B507" i="1"/>
  <c r="C506" i="1"/>
  <c r="D506" i="1"/>
  <c r="T507" i="1" l="1"/>
  <c r="U506" i="1" s="1"/>
  <c r="C507" i="1"/>
  <c r="D507" i="1"/>
  <c r="A508" i="1"/>
  <c r="S507" i="1"/>
  <c r="B508" i="1"/>
  <c r="C508" i="1" l="1"/>
  <c r="D508" i="1"/>
  <c r="T508" i="1"/>
  <c r="U507" i="1" s="1"/>
  <c r="A509" i="1"/>
  <c r="S508" i="1"/>
  <c r="B509" i="1"/>
  <c r="C509" i="1" l="1"/>
  <c r="D509" i="1"/>
  <c r="U508" i="1"/>
  <c r="T509" i="1"/>
  <c r="S509" i="1"/>
  <c r="A510" i="1"/>
  <c r="B510" i="1"/>
  <c r="T510" i="1" l="1"/>
  <c r="U509" i="1" s="1"/>
  <c r="C510" i="1"/>
  <c r="D510" i="1"/>
  <c r="A511" i="1"/>
  <c r="S510" i="1"/>
  <c r="B511" i="1"/>
  <c r="C511" i="1" l="1"/>
  <c r="D511" i="1"/>
  <c r="T511" i="1"/>
  <c r="U510" i="1" s="1"/>
  <c r="S511" i="1"/>
  <c r="B512" i="1"/>
  <c r="A512" i="1"/>
  <c r="T512" i="1" l="1"/>
  <c r="U511" i="1" s="1"/>
  <c r="S512" i="1"/>
  <c r="A513" i="1"/>
  <c r="B513" i="1"/>
  <c r="C512" i="1"/>
  <c r="D512" i="1"/>
  <c r="T513" i="1" l="1"/>
  <c r="U512" i="1" s="1"/>
  <c r="C513" i="1"/>
  <c r="D513" i="1"/>
  <c r="S513" i="1"/>
  <c r="A514" i="1"/>
  <c r="B514" i="1"/>
  <c r="T514" i="1" l="1"/>
  <c r="U513" i="1" s="1"/>
  <c r="C514" i="1"/>
  <c r="D514" i="1"/>
  <c r="A515" i="1"/>
  <c r="S514" i="1"/>
  <c r="B515" i="1"/>
  <c r="C515" i="1" l="1"/>
  <c r="D515" i="1"/>
  <c r="U514" i="1"/>
  <c r="T515" i="1"/>
  <c r="A516" i="1"/>
  <c r="B516" i="1"/>
  <c r="S515" i="1"/>
  <c r="C516" i="1" l="1"/>
  <c r="D516" i="1"/>
  <c r="A517" i="1"/>
  <c r="S516" i="1"/>
  <c r="B517" i="1"/>
  <c r="T516" i="1"/>
  <c r="U515" i="1" s="1"/>
  <c r="C517" i="1" l="1"/>
  <c r="D517" i="1"/>
  <c r="T517" i="1"/>
  <c r="U516" i="1" s="1"/>
  <c r="S517" i="1"/>
  <c r="B518" i="1"/>
  <c r="A518" i="1"/>
  <c r="T518" i="1" l="1"/>
  <c r="U517" i="1" s="1"/>
  <c r="S518" i="1"/>
  <c r="A519" i="1"/>
  <c r="B519" i="1"/>
  <c r="C518" i="1"/>
  <c r="D518" i="1"/>
  <c r="T519" i="1" l="1"/>
  <c r="U518" i="1" s="1"/>
  <c r="C519" i="1"/>
  <c r="D519" i="1"/>
  <c r="S519" i="1"/>
  <c r="A520" i="1"/>
  <c r="B520" i="1"/>
  <c r="T520" i="1" l="1"/>
  <c r="U519" i="1"/>
  <c r="C520" i="1"/>
  <c r="D520" i="1"/>
  <c r="S520" i="1"/>
  <c r="A521" i="1"/>
  <c r="B521" i="1"/>
  <c r="T521" i="1" l="1"/>
  <c r="U520" i="1" s="1"/>
  <c r="C521" i="1"/>
  <c r="D521" i="1"/>
  <c r="A522" i="1"/>
  <c r="S521" i="1"/>
  <c r="B522" i="1"/>
  <c r="C522" i="1" l="1"/>
  <c r="D522" i="1"/>
  <c r="U521" i="1"/>
  <c r="T522" i="1"/>
  <c r="A523" i="1"/>
  <c r="S522" i="1"/>
  <c r="B523" i="1"/>
  <c r="C523" i="1" l="1"/>
  <c r="D523" i="1"/>
  <c r="U522" i="1"/>
  <c r="T523" i="1"/>
  <c r="A524" i="1"/>
  <c r="B524" i="1"/>
  <c r="S523" i="1"/>
  <c r="C524" i="1" l="1"/>
  <c r="D524" i="1"/>
  <c r="B525" i="1"/>
  <c r="S524" i="1"/>
  <c r="A525" i="1"/>
  <c r="T524" i="1"/>
  <c r="U523" i="1" s="1"/>
  <c r="A526" i="1" l="1"/>
  <c r="S525" i="1"/>
  <c r="B526" i="1"/>
  <c r="T525" i="1"/>
  <c r="U524" i="1" s="1"/>
  <c r="D525" i="1"/>
  <c r="C525" i="1"/>
  <c r="C526" i="1" l="1"/>
  <c r="D526" i="1"/>
  <c r="U525" i="1"/>
  <c r="T526" i="1"/>
  <c r="S526" i="1"/>
  <c r="A527" i="1"/>
  <c r="B527" i="1"/>
  <c r="T527" i="1" l="1"/>
  <c r="U526" i="1" s="1"/>
  <c r="C527" i="1"/>
  <c r="D527" i="1"/>
  <c r="S527" i="1"/>
  <c r="B528" i="1"/>
  <c r="A528" i="1"/>
  <c r="T528" i="1" l="1"/>
  <c r="U527" i="1" s="1"/>
  <c r="S528" i="1"/>
  <c r="B529" i="1"/>
  <c r="A529" i="1"/>
  <c r="C528" i="1"/>
  <c r="D528" i="1"/>
  <c r="T529" i="1" l="1"/>
  <c r="U528" i="1" s="1"/>
  <c r="A530" i="1"/>
  <c r="S529" i="1"/>
  <c r="B530" i="1"/>
  <c r="C529" i="1"/>
  <c r="D529" i="1"/>
  <c r="C530" i="1" l="1"/>
  <c r="D530" i="1"/>
  <c r="T530" i="1"/>
  <c r="U529" i="1" s="1"/>
  <c r="B531" i="1"/>
  <c r="S530" i="1"/>
  <c r="A531" i="1"/>
  <c r="A532" i="1" l="1"/>
  <c r="B532" i="1"/>
  <c r="S531" i="1"/>
  <c r="T531" i="1"/>
  <c r="U530" i="1" s="1"/>
  <c r="D531" i="1"/>
  <c r="C531" i="1"/>
  <c r="C532" i="1" l="1"/>
  <c r="D532" i="1"/>
  <c r="A533" i="1"/>
  <c r="S532" i="1"/>
  <c r="B533" i="1"/>
  <c r="T532" i="1"/>
  <c r="U531" i="1" s="1"/>
  <c r="C533" i="1" l="1"/>
  <c r="D533" i="1"/>
  <c r="U532" i="1"/>
  <c r="T533" i="1"/>
  <c r="A534" i="1"/>
  <c r="S533" i="1"/>
  <c r="B534" i="1"/>
  <c r="C534" i="1" l="1"/>
  <c r="D534" i="1"/>
  <c r="T534" i="1"/>
  <c r="U533" i="1" s="1"/>
  <c r="S534" i="1"/>
  <c r="B535" i="1"/>
  <c r="A535" i="1"/>
  <c r="T535" i="1" l="1"/>
  <c r="U534" i="1" s="1"/>
  <c r="S535" i="1"/>
  <c r="A536" i="1"/>
  <c r="B536" i="1"/>
  <c r="C535" i="1"/>
  <c r="D535" i="1"/>
  <c r="T536" i="1" l="1"/>
  <c r="U535" i="1" s="1"/>
  <c r="C536" i="1"/>
  <c r="D536" i="1"/>
  <c r="S536" i="1"/>
  <c r="A537" i="1"/>
  <c r="B537" i="1"/>
  <c r="T537" i="1" l="1"/>
  <c r="U536" i="1" s="1"/>
  <c r="D537" i="1"/>
  <c r="C537" i="1"/>
  <c r="A538" i="1"/>
  <c r="S537" i="1"/>
  <c r="B538" i="1"/>
  <c r="C538" i="1" l="1"/>
  <c r="D538" i="1"/>
  <c r="T538" i="1"/>
  <c r="U537" i="1" s="1"/>
  <c r="B539" i="1"/>
  <c r="S538" i="1"/>
  <c r="A539" i="1"/>
  <c r="S539" i="1" l="1"/>
  <c r="A540" i="1"/>
  <c r="B540" i="1"/>
  <c r="T539" i="1"/>
  <c r="U538" i="1" s="1"/>
  <c r="C539" i="1"/>
  <c r="D539" i="1"/>
  <c r="T540" i="1" l="1"/>
  <c r="U539" i="1" s="1"/>
  <c r="C540" i="1"/>
  <c r="D540" i="1"/>
  <c r="S540" i="1"/>
  <c r="B541" i="1"/>
  <c r="A541" i="1"/>
  <c r="T541" i="1" l="1"/>
  <c r="U540" i="1" s="1"/>
  <c r="B542" i="1"/>
  <c r="S541" i="1"/>
  <c r="A542" i="1"/>
  <c r="D541" i="1"/>
  <c r="C541" i="1"/>
  <c r="A543" i="1" l="1"/>
  <c r="S542" i="1"/>
  <c r="B543" i="1"/>
  <c r="T542" i="1"/>
  <c r="U541" i="1" s="1"/>
  <c r="D542" i="1"/>
  <c r="C542" i="1"/>
  <c r="C543" i="1" l="1"/>
  <c r="D543" i="1"/>
  <c r="U542" i="1"/>
  <c r="T543" i="1"/>
  <c r="S543" i="1"/>
  <c r="B544" i="1"/>
  <c r="A544" i="1"/>
  <c r="T544" i="1" l="1"/>
  <c r="U543" i="1" s="1"/>
  <c r="B545" i="1"/>
  <c r="S544" i="1"/>
  <c r="A545" i="1"/>
  <c r="C544" i="1"/>
  <c r="D544" i="1"/>
  <c r="S545" i="1" l="1"/>
  <c r="B546" i="1"/>
  <c r="A546" i="1"/>
  <c r="T545" i="1"/>
  <c r="U544" i="1" s="1"/>
  <c r="C545" i="1"/>
  <c r="D545" i="1"/>
  <c r="T546" i="1" l="1"/>
  <c r="U545" i="1" s="1"/>
  <c r="S546" i="1"/>
  <c r="B547" i="1"/>
  <c r="A547" i="1"/>
  <c r="D546" i="1"/>
  <c r="C546" i="1"/>
  <c r="T547" i="1" l="1"/>
  <c r="U546" i="1" s="1"/>
  <c r="S547" i="1"/>
  <c r="B548" i="1"/>
  <c r="A548" i="1"/>
  <c r="C547" i="1"/>
  <c r="D547" i="1"/>
  <c r="T548" i="1" l="1"/>
  <c r="U547" i="1" s="1"/>
  <c r="A549" i="1"/>
  <c r="S548" i="1"/>
  <c r="B549" i="1"/>
  <c r="C548" i="1"/>
  <c r="D548" i="1"/>
  <c r="C549" i="1" l="1"/>
  <c r="D549" i="1"/>
  <c r="U548" i="1"/>
  <c r="T549" i="1"/>
  <c r="S549" i="1"/>
  <c r="A550" i="1"/>
  <c r="B550" i="1"/>
  <c r="T550" i="1" l="1"/>
  <c r="U549" i="1" s="1"/>
  <c r="C550" i="1"/>
  <c r="D550" i="1"/>
  <c r="S550" i="1"/>
  <c r="A551" i="1"/>
  <c r="B551" i="1"/>
  <c r="T551" i="1" l="1"/>
  <c r="U550" i="1" s="1"/>
  <c r="C551" i="1"/>
  <c r="D551" i="1"/>
  <c r="S551" i="1"/>
  <c r="B552" i="1"/>
  <c r="A552" i="1"/>
  <c r="T552" i="1" l="1"/>
  <c r="U551" i="1" s="1"/>
  <c r="S552" i="1"/>
  <c r="A553" i="1"/>
  <c r="B553" i="1"/>
  <c r="C552" i="1"/>
  <c r="D552" i="1"/>
  <c r="T553" i="1" l="1"/>
  <c r="U552" i="1" s="1"/>
  <c r="C553" i="1"/>
  <c r="D553" i="1"/>
  <c r="S553" i="1"/>
  <c r="A554" i="1"/>
  <c r="B554" i="1"/>
  <c r="T554" i="1" l="1"/>
  <c r="U553" i="1" s="1"/>
  <c r="C554" i="1"/>
  <c r="D554" i="1"/>
  <c r="S554" i="1"/>
  <c r="A555" i="1"/>
  <c r="B555" i="1"/>
  <c r="T555" i="1" l="1"/>
  <c r="U554" i="1" s="1"/>
  <c r="C555" i="1"/>
  <c r="D555" i="1"/>
  <c r="S555" i="1"/>
  <c r="A556" i="1"/>
  <c r="B556" i="1"/>
  <c r="T556" i="1" l="1"/>
  <c r="U555" i="1" s="1"/>
  <c r="C556" i="1"/>
  <c r="D556" i="1"/>
  <c r="S556" i="1"/>
  <c r="A557" i="1"/>
  <c r="B557" i="1"/>
  <c r="T557" i="1" l="1"/>
  <c r="U556" i="1" s="1"/>
  <c r="C557" i="1"/>
  <c r="D557" i="1"/>
  <c r="S557" i="1"/>
  <c r="A558" i="1"/>
  <c r="B558" i="1"/>
  <c r="T558" i="1" l="1"/>
  <c r="U557" i="1" s="1"/>
  <c r="C558" i="1"/>
  <c r="D558" i="1"/>
  <c r="S558" i="1"/>
  <c r="A559" i="1"/>
  <c r="B559" i="1"/>
  <c r="T559" i="1" l="1"/>
  <c r="U558" i="1" s="1"/>
  <c r="C559" i="1"/>
  <c r="D559" i="1"/>
  <c r="S559" i="1"/>
  <c r="A560" i="1"/>
  <c r="B560" i="1"/>
  <c r="T560" i="1" l="1"/>
  <c r="U559" i="1" s="1"/>
  <c r="C560" i="1"/>
  <c r="D560" i="1"/>
  <c r="S560" i="1"/>
  <c r="A561" i="1"/>
  <c r="B561" i="1"/>
  <c r="T561" i="1" l="1"/>
  <c r="U560" i="1" s="1"/>
  <c r="C561" i="1"/>
  <c r="D561" i="1"/>
  <c r="S561" i="1"/>
  <c r="A562" i="1"/>
  <c r="B562" i="1"/>
  <c r="T562" i="1" l="1"/>
  <c r="U561" i="1" s="1"/>
  <c r="C562" i="1"/>
  <c r="D562" i="1"/>
  <c r="S562" i="1"/>
  <c r="A563" i="1"/>
  <c r="B563" i="1"/>
  <c r="T563" i="1" l="1"/>
  <c r="U562" i="1" s="1"/>
  <c r="C563" i="1"/>
  <c r="D563" i="1"/>
  <c r="S563" i="1"/>
  <c r="A564" i="1"/>
  <c r="B564" i="1"/>
  <c r="T564" i="1" l="1"/>
  <c r="U563" i="1" s="1"/>
  <c r="C564" i="1"/>
  <c r="D564" i="1"/>
  <c r="S564" i="1"/>
  <c r="A565" i="1"/>
  <c r="B565" i="1"/>
  <c r="T565" i="1" l="1"/>
  <c r="U564" i="1" s="1"/>
  <c r="C565" i="1"/>
  <c r="D565" i="1"/>
  <c r="S565" i="1"/>
  <c r="A566" i="1"/>
  <c r="B566" i="1"/>
  <c r="T566" i="1" l="1"/>
  <c r="U565" i="1" s="1"/>
  <c r="C566" i="1"/>
  <c r="D566" i="1"/>
  <c r="S566" i="1"/>
  <c r="A567" i="1"/>
  <c r="B567" i="1"/>
  <c r="T567" i="1" l="1"/>
  <c r="U566" i="1" s="1"/>
  <c r="C567" i="1"/>
  <c r="D567" i="1"/>
  <c r="S567" i="1"/>
  <c r="A568" i="1"/>
  <c r="B568" i="1"/>
  <c r="T568" i="1" l="1"/>
  <c r="U567" i="1" s="1"/>
  <c r="C568" i="1"/>
  <c r="D568" i="1"/>
  <c r="A569" i="1"/>
  <c r="S568" i="1"/>
  <c r="B569" i="1"/>
  <c r="C569" i="1" l="1"/>
  <c r="D569" i="1"/>
  <c r="U568" i="1"/>
  <c r="T569" i="1"/>
  <c r="A570" i="1"/>
  <c r="S569" i="1"/>
  <c r="B570" i="1"/>
  <c r="C570" i="1" l="1"/>
  <c r="D570" i="1"/>
  <c r="U569" i="1"/>
  <c r="T570" i="1"/>
  <c r="A571" i="1"/>
  <c r="S570" i="1"/>
  <c r="B571" i="1"/>
  <c r="C571" i="1" l="1"/>
  <c r="D571" i="1"/>
  <c r="U570" i="1"/>
  <c r="T571" i="1"/>
  <c r="B572" i="1"/>
  <c r="S571" i="1"/>
  <c r="A572" i="1"/>
  <c r="A573" i="1" l="1"/>
  <c r="B573" i="1"/>
  <c r="S572" i="1"/>
  <c r="T572" i="1"/>
  <c r="U571" i="1" s="1"/>
  <c r="C572" i="1"/>
  <c r="D572" i="1"/>
  <c r="C573" i="1" l="1"/>
  <c r="D573" i="1"/>
  <c r="S573" i="1"/>
  <c r="A574" i="1"/>
  <c r="B574" i="1"/>
  <c r="T573" i="1"/>
  <c r="U572" i="1" s="1"/>
  <c r="T574" i="1" l="1"/>
  <c r="U573" i="1" s="1"/>
  <c r="C574" i="1"/>
  <c r="D574" i="1"/>
  <c r="B575" i="1"/>
  <c r="S574" i="1"/>
  <c r="A575" i="1"/>
  <c r="A576" i="1" l="1"/>
  <c r="S575" i="1"/>
  <c r="B576" i="1"/>
  <c r="T575" i="1"/>
  <c r="U574" i="1" s="1"/>
  <c r="C575" i="1"/>
  <c r="D575" i="1"/>
  <c r="C576" i="1" l="1"/>
  <c r="D576" i="1"/>
  <c r="U575" i="1"/>
  <c r="T576" i="1"/>
  <c r="B577" i="1"/>
  <c r="S576" i="1"/>
  <c r="A577" i="1"/>
  <c r="A578" i="1" l="1"/>
  <c r="S577" i="1"/>
  <c r="B578" i="1"/>
  <c r="U576" i="1"/>
  <c r="T577" i="1"/>
  <c r="D577" i="1"/>
  <c r="C577" i="1"/>
  <c r="D578" i="1" l="1"/>
  <c r="C578" i="1"/>
  <c r="T578" i="1"/>
  <c r="U577" i="1" s="1"/>
  <c r="A579" i="1"/>
  <c r="S578" i="1"/>
  <c r="B579" i="1"/>
  <c r="C579" i="1" l="1"/>
  <c r="D579" i="1"/>
  <c r="T579" i="1"/>
  <c r="U578" i="1" s="1"/>
  <c r="A580" i="1"/>
  <c r="S579" i="1"/>
  <c r="B580" i="1"/>
  <c r="C580" i="1" l="1"/>
  <c r="D580" i="1"/>
  <c r="T580" i="1"/>
  <c r="U579" i="1" s="1"/>
  <c r="S580" i="1"/>
  <c r="B581" i="1"/>
  <c r="A581" i="1"/>
  <c r="T581" i="1" l="1"/>
  <c r="U580" i="1" s="1"/>
  <c r="S581" i="1"/>
  <c r="A582" i="1"/>
  <c r="B582" i="1"/>
  <c r="D581" i="1"/>
  <c r="C581" i="1"/>
  <c r="T582" i="1" l="1"/>
  <c r="U581" i="1" s="1"/>
  <c r="C582" i="1"/>
  <c r="D582" i="1"/>
  <c r="S582" i="1"/>
  <c r="A583" i="1"/>
  <c r="B583" i="1"/>
  <c r="T583" i="1" l="1"/>
  <c r="U582" i="1" s="1"/>
  <c r="C583" i="1"/>
  <c r="D583" i="1"/>
  <c r="S583" i="1"/>
  <c r="B584" i="1"/>
  <c r="A584" i="1"/>
  <c r="T584" i="1" l="1"/>
  <c r="U583" i="1" s="1"/>
  <c r="S584" i="1"/>
  <c r="B585" i="1"/>
  <c r="A585" i="1"/>
  <c r="C584" i="1"/>
  <c r="D584" i="1"/>
  <c r="T585" i="1" l="1"/>
  <c r="U584" i="1" s="1"/>
  <c r="A586" i="1"/>
  <c r="S585" i="1"/>
  <c r="B586" i="1"/>
  <c r="C585" i="1"/>
  <c r="D585" i="1"/>
  <c r="C586" i="1" l="1"/>
  <c r="D586" i="1"/>
  <c r="T586" i="1"/>
  <c r="U585" i="1" s="1"/>
  <c r="A587" i="1"/>
  <c r="B587" i="1"/>
  <c r="S586" i="1"/>
  <c r="D587" i="1" l="1"/>
  <c r="C587" i="1"/>
  <c r="S587" i="1"/>
  <c r="B588" i="1"/>
  <c r="A588" i="1"/>
  <c r="T587" i="1"/>
  <c r="U586" i="1" s="1"/>
  <c r="T588" i="1" l="1"/>
  <c r="U587" i="1" s="1"/>
  <c r="A589" i="1"/>
  <c r="S588" i="1"/>
  <c r="B589" i="1"/>
  <c r="D588" i="1"/>
  <c r="C588" i="1"/>
  <c r="C589" i="1" l="1"/>
  <c r="D589" i="1"/>
  <c r="T589" i="1"/>
  <c r="U588" i="1" s="1"/>
  <c r="A590" i="1"/>
  <c r="S589" i="1"/>
  <c r="B590" i="1"/>
  <c r="C590" i="1" l="1"/>
  <c r="D590" i="1"/>
  <c r="T590" i="1"/>
  <c r="U589" i="1" s="1"/>
  <c r="A591" i="1"/>
  <c r="S590" i="1"/>
  <c r="B591" i="1"/>
  <c r="C591" i="1" l="1"/>
  <c r="D591" i="1"/>
  <c r="U590" i="1"/>
  <c r="T591" i="1"/>
  <c r="S591" i="1"/>
  <c r="B592" i="1"/>
  <c r="A592" i="1"/>
  <c r="T592" i="1" l="1"/>
  <c r="U591" i="1" s="1"/>
  <c r="S592" i="1"/>
  <c r="B593" i="1"/>
  <c r="A593" i="1"/>
  <c r="C592" i="1"/>
  <c r="D592" i="1"/>
  <c r="T593" i="1" l="1"/>
  <c r="U592" i="1" s="1"/>
  <c r="A594" i="1"/>
  <c r="S593" i="1"/>
  <c r="B594" i="1"/>
  <c r="C593" i="1"/>
  <c r="D593" i="1"/>
  <c r="C594" i="1" l="1"/>
  <c r="D594" i="1"/>
  <c r="U593" i="1"/>
  <c r="T594" i="1"/>
  <c r="S594" i="1"/>
  <c r="B595" i="1"/>
  <c r="A595" i="1"/>
  <c r="T595" i="1" l="1"/>
  <c r="U594" i="1" s="1"/>
  <c r="S595" i="1"/>
  <c r="B596" i="1"/>
  <c r="A596" i="1"/>
  <c r="C595" i="1"/>
  <c r="D595" i="1"/>
  <c r="T596" i="1" l="1"/>
  <c r="U595" i="1" s="1"/>
  <c r="A597" i="1"/>
  <c r="S596" i="1"/>
  <c r="B597" i="1"/>
  <c r="C596" i="1"/>
  <c r="D596" i="1"/>
  <c r="C597" i="1" l="1"/>
  <c r="D597" i="1"/>
  <c r="U596" i="1"/>
  <c r="T597" i="1"/>
  <c r="S597" i="1"/>
  <c r="B598" i="1"/>
  <c r="A598" i="1"/>
  <c r="T598" i="1" l="1"/>
  <c r="U597" i="1" s="1"/>
  <c r="S598" i="1"/>
  <c r="B599" i="1"/>
  <c r="A599" i="1"/>
  <c r="C598" i="1"/>
  <c r="D598" i="1"/>
  <c r="T599" i="1" l="1"/>
  <c r="U598" i="1" s="1"/>
  <c r="A600" i="1"/>
  <c r="S599" i="1"/>
  <c r="B600" i="1"/>
  <c r="C599" i="1"/>
  <c r="D599" i="1"/>
  <c r="C600" i="1" l="1"/>
  <c r="D600" i="1"/>
  <c r="T600" i="1"/>
  <c r="U599" i="1" s="1"/>
  <c r="S600" i="1"/>
  <c r="B601" i="1"/>
  <c r="A601" i="1"/>
  <c r="T601" i="1" l="1"/>
  <c r="U600" i="1" s="1"/>
  <c r="S601" i="1"/>
  <c r="B602" i="1"/>
  <c r="A602" i="1"/>
  <c r="C601" i="1"/>
  <c r="D601" i="1"/>
  <c r="T602" i="1" l="1"/>
  <c r="U601" i="1" s="1"/>
  <c r="A603" i="1"/>
  <c r="S602" i="1"/>
  <c r="B603" i="1"/>
  <c r="C602" i="1"/>
  <c r="D602" i="1"/>
  <c r="C603" i="1" l="1"/>
  <c r="D603" i="1"/>
  <c r="U602" i="1"/>
  <c r="T603" i="1"/>
  <c r="A604" i="1"/>
  <c r="S603" i="1"/>
  <c r="B604" i="1"/>
  <c r="C604" i="1" l="1"/>
  <c r="D604" i="1"/>
  <c r="U603" i="1"/>
  <c r="T604" i="1"/>
  <c r="B605" i="1"/>
  <c r="S604" i="1"/>
  <c r="A605" i="1"/>
  <c r="A606" i="1" l="1"/>
  <c r="S605" i="1"/>
  <c r="B606" i="1"/>
  <c r="T605" i="1"/>
  <c r="U604" i="1" s="1"/>
  <c r="C605" i="1"/>
  <c r="D605" i="1"/>
  <c r="D606" i="1" l="1"/>
  <c r="C606" i="1"/>
  <c r="U605" i="1"/>
  <c r="T606" i="1"/>
  <c r="S606" i="1"/>
  <c r="A607" i="1"/>
  <c r="B607" i="1"/>
  <c r="T607" i="1" l="1"/>
  <c r="U606" i="1" s="1"/>
  <c r="C607" i="1"/>
  <c r="D607" i="1"/>
  <c r="A608" i="1"/>
  <c r="S607" i="1"/>
  <c r="B608" i="1"/>
  <c r="C608" i="1" l="1"/>
  <c r="D608" i="1"/>
  <c r="U607" i="1"/>
  <c r="T608" i="1"/>
  <c r="A609" i="1"/>
  <c r="S608" i="1"/>
  <c r="B609" i="1"/>
  <c r="C609" i="1" l="1"/>
  <c r="D609" i="1"/>
  <c r="T609" i="1"/>
  <c r="U608" i="1" s="1"/>
  <c r="A610" i="1"/>
  <c r="S609" i="1"/>
  <c r="B610" i="1"/>
  <c r="C610" i="1" l="1"/>
  <c r="D610" i="1"/>
  <c r="U609" i="1"/>
  <c r="T610" i="1"/>
  <c r="S610" i="1"/>
  <c r="B611" i="1"/>
  <c r="A611" i="1"/>
  <c r="T611" i="1" l="1"/>
  <c r="U610" i="1" s="1"/>
  <c r="S611" i="1"/>
  <c r="A612" i="1"/>
  <c r="B612" i="1"/>
  <c r="C611" i="1"/>
  <c r="D611" i="1"/>
  <c r="T612" i="1" l="1"/>
  <c r="U611" i="1" s="1"/>
  <c r="C612" i="1"/>
  <c r="D612" i="1"/>
  <c r="S612" i="1"/>
  <c r="A613" i="1"/>
  <c r="B613" i="1"/>
  <c r="T613" i="1" l="1"/>
  <c r="U612" i="1" s="1"/>
  <c r="C613" i="1"/>
  <c r="D613" i="1"/>
  <c r="B614" i="1"/>
  <c r="S613" i="1"/>
  <c r="A614" i="1"/>
  <c r="A615" i="1" l="1"/>
  <c r="S614" i="1"/>
  <c r="B615" i="1"/>
  <c r="U613" i="1"/>
  <c r="T614" i="1"/>
  <c r="C614" i="1"/>
  <c r="D614" i="1"/>
  <c r="C615" i="1" l="1"/>
  <c r="D615" i="1"/>
  <c r="U614" i="1"/>
  <c r="T615" i="1"/>
  <c r="S615" i="1"/>
  <c r="B616" i="1"/>
  <c r="A616" i="1"/>
  <c r="T616" i="1" l="1"/>
  <c r="U615" i="1" s="1"/>
  <c r="S616" i="1"/>
  <c r="A617" i="1"/>
  <c r="B617" i="1"/>
  <c r="D616" i="1"/>
  <c r="C616" i="1"/>
  <c r="T617" i="1" l="1"/>
  <c r="U616" i="1" s="1"/>
  <c r="C617" i="1"/>
  <c r="D617" i="1"/>
  <c r="S617" i="1"/>
  <c r="B618" i="1"/>
  <c r="A618" i="1"/>
  <c r="T618" i="1" l="1"/>
  <c r="U617" i="1" s="1"/>
  <c r="S618" i="1"/>
  <c r="A619" i="1"/>
  <c r="B619" i="1"/>
  <c r="C618" i="1"/>
  <c r="D618" i="1"/>
  <c r="T619" i="1" l="1"/>
  <c r="U618" i="1" s="1"/>
  <c r="C619" i="1"/>
  <c r="D619" i="1"/>
  <c r="S619" i="1"/>
  <c r="B620" i="1"/>
  <c r="A620" i="1"/>
  <c r="U619" i="1" l="1"/>
  <c r="T620" i="1"/>
  <c r="A621" i="1"/>
  <c r="S620" i="1"/>
  <c r="B621" i="1"/>
  <c r="C620" i="1"/>
  <c r="D620" i="1"/>
  <c r="D621" i="1" l="1"/>
  <c r="C621" i="1"/>
  <c r="U620" i="1"/>
  <c r="T621" i="1"/>
  <c r="B622" i="1"/>
  <c r="S621" i="1"/>
  <c r="A622" i="1"/>
  <c r="S622" i="1" l="1"/>
  <c r="A623" i="1"/>
  <c r="B623" i="1"/>
  <c r="T622" i="1"/>
  <c r="U621" i="1"/>
  <c r="C622" i="1"/>
  <c r="D622" i="1"/>
  <c r="T623" i="1" l="1"/>
  <c r="U622" i="1" s="1"/>
  <c r="D623" i="1"/>
  <c r="C623" i="1"/>
  <c r="S623" i="1"/>
  <c r="B624" i="1"/>
  <c r="A624" i="1"/>
  <c r="T624" i="1" l="1"/>
  <c r="U623" i="1" s="1"/>
  <c r="A625" i="1"/>
  <c r="S624" i="1"/>
  <c r="B625" i="1"/>
  <c r="C624" i="1"/>
  <c r="D624" i="1"/>
  <c r="C625" i="1" l="1"/>
  <c r="D625" i="1"/>
  <c r="U624" i="1"/>
  <c r="T625" i="1"/>
  <c r="S625" i="1"/>
  <c r="A626" i="1"/>
  <c r="B626" i="1"/>
  <c r="T626" i="1" l="1"/>
  <c r="U625" i="1" s="1"/>
  <c r="C626" i="1"/>
  <c r="D626" i="1"/>
  <c r="S626" i="1"/>
  <c r="A627" i="1"/>
  <c r="B627" i="1"/>
  <c r="T627" i="1" l="1"/>
  <c r="U626" i="1" s="1"/>
  <c r="C627" i="1"/>
  <c r="D627" i="1"/>
  <c r="S627" i="1"/>
  <c r="A628" i="1"/>
  <c r="B628" i="1"/>
  <c r="T628" i="1" l="1"/>
  <c r="U627" i="1" s="1"/>
  <c r="C628" i="1"/>
  <c r="D628" i="1"/>
  <c r="S628" i="1"/>
  <c r="B629" i="1"/>
  <c r="A629" i="1"/>
  <c r="T629" i="1" l="1"/>
  <c r="U628" i="1" s="1"/>
  <c r="S629" i="1"/>
  <c r="B630" i="1"/>
  <c r="A630" i="1"/>
  <c r="C629" i="1"/>
  <c r="D629" i="1"/>
  <c r="T630" i="1" l="1"/>
  <c r="U629" i="1" s="1"/>
  <c r="S630" i="1"/>
  <c r="B631" i="1"/>
  <c r="A631" i="1"/>
  <c r="C630" i="1"/>
  <c r="D630" i="1"/>
  <c r="T631" i="1" l="1"/>
  <c r="U630" i="1" s="1"/>
  <c r="A632" i="1"/>
  <c r="S631" i="1"/>
  <c r="B632" i="1"/>
  <c r="C631" i="1"/>
  <c r="D631" i="1"/>
  <c r="C632" i="1" l="1"/>
  <c r="D632" i="1"/>
  <c r="U631" i="1"/>
  <c r="T632" i="1"/>
  <c r="S632" i="1"/>
  <c r="A633" i="1"/>
  <c r="B633" i="1"/>
  <c r="T633" i="1" l="1"/>
  <c r="U632" i="1" s="1"/>
  <c r="C633" i="1"/>
  <c r="D633" i="1"/>
  <c r="S633" i="1"/>
  <c r="B634" i="1"/>
  <c r="A634" i="1"/>
  <c r="T634" i="1" l="1"/>
  <c r="U633" i="1" s="1"/>
  <c r="S634" i="1"/>
  <c r="A635" i="1"/>
  <c r="B635" i="1"/>
  <c r="C634" i="1"/>
  <c r="D634" i="1"/>
  <c r="T635" i="1" l="1"/>
  <c r="U634" i="1"/>
  <c r="C635" i="1"/>
  <c r="D635" i="1"/>
  <c r="S635" i="1"/>
  <c r="B636" i="1"/>
  <c r="A636" i="1"/>
  <c r="T636" i="1" l="1"/>
  <c r="U635" i="1" s="1"/>
  <c r="A637" i="1"/>
  <c r="S636" i="1"/>
  <c r="B637" i="1"/>
  <c r="C636" i="1"/>
  <c r="D636" i="1"/>
  <c r="C637" i="1" l="1"/>
  <c r="D637" i="1"/>
  <c r="T637" i="1"/>
  <c r="U636" i="1"/>
  <c r="S637" i="1"/>
  <c r="A638" i="1"/>
  <c r="B638" i="1"/>
  <c r="U637" i="1" l="1"/>
  <c r="T638" i="1"/>
  <c r="C638" i="1"/>
  <c r="D638" i="1"/>
  <c r="B639" i="1"/>
  <c r="S638" i="1"/>
  <c r="A639" i="1"/>
  <c r="B640" i="1" l="1"/>
  <c r="S639" i="1"/>
  <c r="A640" i="1"/>
  <c r="T639" i="1"/>
  <c r="U638" i="1"/>
  <c r="C639" i="1"/>
  <c r="D639" i="1"/>
  <c r="S640" i="1" l="1"/>
  <c r="B641" i="1"/>
  <c r="A641" i="1"/>
  <c r="T640" i="1"/>
  <c r="U639" i="1"/>
  <c r="C640" i="1"/>
  <c r="D640" i="1"/>
  <c r="T641" i="1" l="1"/>
  <c r="U640" i="1" s="1"/>
  <c r="S641" i="1"/>
  <c r="B642" i="1"/>
  <c r="A642" i="1"/>
  <c r="C641" i="1"/>
  <c r="D641" i="1"/>
  <c r="T642" i="1" l="1"/>
  <c r="U641" i="1" s="1"/>
  <c r="S642" i="1"/>
  <c r="B643" i="1"/>
  <c r="A643" i="1"/>
  <c r="C642" i="1"/>
  <c r="D642" i="1"/>
  <c r="T643" i="1" l="1"/>
  <c r="U642" i="1" s="1"/>
  <c r="S643" i="1"/>
  <c r="A644" i="1"/>
  <c r="B644" i="1"/>
  <c r="C643" i="1"/>
  <c r="D643" i="1"/>
  <c r="T644" i="1" l="1"/>
  <c r="U643" i="1" s="1"/>
  <c r="C644" i="1"/>
  <c r="D644" i="1"/>
  <c r="B645" i="1"/>
  <c r="S644" i="1"/>
  <c r="A645" i="1"/>
  <c r="S645" i="1" l="1"/>
  <c r="B646" i="1"/>
  <c r="A646" i="1"/>
  <c r="T645" i="1"/>
  <c r="U644" i="1" s="1"/>
  <c r="C645" i="1"/>
  <c r="D645" i="1"/>
  <c r="T646" i="1" l="1"/>
  <c r="U645" i="1" s="1"/>
  <c r="A647" i="1"/>
  <c r="S646" i="1"/>
  <c r="B647" i="1"/>
  <c r="C646" i="1"/>
  <c r="D646" i="1"/>
  <c r="C647" i="1" l="1"/>
  <c r="D647" i="1"/>
  <c r="U646" i="1"/>
  <c r="T647" i="1"/>
  <c r="A648" i="1"/>
  <c r="B648" i="1"/>
  <c r="S647" i="1"/>
  <c r="C648" i="1" l="1"/>
  <c r="D648" i="1"/>
  <c r="S648" i="1"/>
  <c r="A649" i="1"/>
  <c r="B649" i="1"/>
  <c r="T648" i="1"/>
  <c r="U647" i="1" s="1"/>
  <c r="T649" i="1" l="1"/>
  <c r="U648" i="1" s="1"/>
  <c r="C649" i="1"/>
  <c r="D649" i="1"/>
  <c r="A650" i="1"/>
  <c r="S649" i="1"/>
  <c r="B650" i="1"/>
  <c r="C650" i="1" l="1"/>
  <c r="D650" i="1"/>
  <c r="T650" i="1"/>
  <c r="U649" i="1" s="1"/>
  <c r="S650" i="1"/>
  <c r="A651" i="1"/>
  <c r="B651" i="1"/>
  <c r="T651" i="1" l="1"/>
  <c r="U650" i="1" s="1"/>
  <c r="C651" i="1"/>
  <c r="D651" i="1"/>
  <c r="S651" i="1"/>
  <c r="B652" i="1"/>
  <c r="A652" i="1"/>
  <c r="U651" i="1" l="1"/>
  <c r="T652" i="1"/>
  <c r="S652" i="1"/>
  <c r="A653" i="1"/>
  <c r="B653" i="1"/>
  <c r="C652" i="1"/>
  <c r="D652" i="1"/>
  <c r="T653" i="1" l="1"/>
  <c r="U652" i="1" s="1"/>
  <c r="C653" i="1"/>
  <c r="D653" i="1"/>
  <c r="S653" i="1"/>
  <c r="A654" i="1"/>
  <c r="B654" i="1"/>
  <c r="T654" i="1" l="1"/>
  <c r="U653" i="1" s="1"/>
  <c r="C654" i="1"/>
  <c r="D654" i="1"/>
  <c r="S654" i="1"/>
  <c r="A655" i="1"/>
  <c r="B655" i="1"/>
  <c r="T655" i="1" l="1"/>
  <c r="U654" i="1" s="1"/>
  <c r="C655" i="1"/>
  <c r="D655" i="1"/>
  <c r="A656" i="1"/>
  <c r="S655" i="1"/>
  <c r="B656" i="1"/>
  <c r="C656" i="1" l="1"/>
  <c r="D656" i="1"/>
  <c r="T656" i="1"/>
  <c r="U655" i="1" s="1"/>
  <c r="S656" i="1"/>
  <c r="A657" i="1"/>
  <c r="B657" i="1"/>
  <c r="T657" i="1" l="1"/>
  <c r="U656" i="1" s="1"/>
  <c r="D657" i="1"/>
  <c r="C657" i="1"/>
  <c r="A658" i="1"/>
  <c r="S657" i="1"/>
  <c r="B658" i="1"/>
  <c r="C658" i="1" l="1"/>
  <c r="D658" i="1"/>
  <c r="U657" i="1"/>
  <c r="T658" i="1"/>
  <c r="B659" i="1"/>
  <c r="S658" i="1"/>
  <c r="A659" i="1"/>
  <c r="B660" i="1" l="1"/>
  <c r="S659" i="1"/>
  <c r="A660" i="1"/>
  <c r="U658" i="1"/>
  <c r="T659" i="1"/>
  <c r="C659" i="1"/>
  <c r="D659" i="1"/>
  <c r="S660" i="1" l="1"/>
  <c r="B661" i="1"/>
  <c r="A661" i="1"/>
  <c r="T660" i="1"/>
  <c r="U659" i="1" s="1"/>
  <c r="C660" i="1"/>
  <c r="D660" i="1"/>
  <c r="U660" i="1" l="1"/>
  <c r="T661" i="1"/>
  <c r="S661" i="1"/>
  <c r="B662" i="1"/>
  <c r="A662" i="1"/>
  <c r="C661" i="1"/>
  <c r="D661" i="1"/>
  <c r="U661" i="1" l="1"/>
  <c r="T662" i="1"/>
  <c r="S662" i="1"/>
  <c r="A663" i="1"/>
  <c r="B663" i="1"/>
  <c r="C662" i="1"/>
  <c r="D662" i="1"/>
  <c r="T663" i="1" l="1"/>
  <c r="U662" i="1" s="1"/>
  <c r="C663" i="1"/>
  <c r="D663" i="1"/>
  <c r="A664" i="1"/>
  <c r="B664" i="1"/>
  <c r="S663" i="1"/>
  <c r="C664" i="1" l="1"/>
  <c r="D664" i="1"/>
  <c r="S664" i="1"/>
  <c r="B665" i="1"/>
  <c r="A665" i="1"/>
  <c r="U663" i="1"/>
  <c r="T664" i="1"/>
  <c r="T665" i="1" l="1"/>
  <c r="U664" i="1" s="1"/>
  <c r="B666" i="1"/>
  <c r="S665" i="1"/>
  <c r="A666" i="1"/>
  <c r="C665" i="1"/>
  <c r="D665" i="1"/>
  <c r="A667" i="1" l="1"/>
  <c r="S666" i="1"/>
  <c r="B667" i="1"/>
  <c r="U665" i="1"/>
  <c r="T666" i="1"/>
  <c r="C666" i="1"/>
  <c r="D666" i="1"/>
  <c r="C667" i="1" l="1"/>
  <c r="D667" i="1"/>
  <c r="U666" i="1"/>
  <c r="T667" i="1"/>
  <c r="A668" i="1"/>
  <c r="S667" i="1"/>
  <c r="B668" i="1"/>
  <c r="C668" i="1" l="1"/>
  <c r="D668" i="1"/>
  <c r="T668" i="1"/>
  <c r="U667" i="1"/>
  <c r="S668" i="1"/>
  <c r="A669" i="1"/>
  <c r="B669" i="1"/>
  <c r="T669" i="1" l="1"/>
  <c r="U668" i="1" s="1"/>
  <c r="C669" i="1"/>
  <c r="D669" i="1"/>
  <c r="S669" i="1"/>
  <c r="A670" i="1"/>
  <c r="B670" i="1"/>
  <c r="U669" i="1" l="1"/>
  <c r="T670" i="1"/>
  <c r="C670" i="1"/>
  <c r="D670" i="1"/>
  <c r="S670" i="1"/>
  <c r="A671" i="1"/>
  <c r="B671" i="1"/>
  <c r="T671" i="1" l="1"/>
  <c r="U670" i="1"/>
  <c r="C671" i="1"/>
  <c r="D671" i="1"/>
  <c r="A672" i="1"/>
  <c r="S671" i="1"/>
  <c r="B672" i="1"/>
  <c r="C672" i="1" l="1"/>
  <c r="D672" i="1"/>
  <c r="T672" i="1"/>
  <c r="U671" i="1"/>
  <c r="S672" i="1"/>
  <c r="A673" i="1"/>
  <c r="B673" i="1"/>
  <c r="T673" i="1" l="1"/>
  <c r="U672" i="1"/>
  <c r="C673" i="1"/>
  <c r="D673" i="1"/>
  <c r="S673" i="1"/>
  <c r="A674" i="1"/>
  <c r="B674" i="1"/>
  <c r="T674" i="1" l="1"/>
  <c r="U673" i="1" s="1"/>
  <c r="D674" i="1"/>
  <c r="C674" i="1"/>
  <c r="B675" i="1"/>
  <c r="S674" i="1"/>
  <c r="A675" i="1"/>
  <c r="S675" i="1" l="1"/>
  <c r="A676" i="1"/>
  <c r="B676" i="1"/>
  <c r="T675" i="1"/>
  <c r="U674" i="1"/>
  <c r="C675" i="1"/>
  <c r="D675" i="1"/>
  <c r="T676" i="1" l="1"/>
  <c r="U675" i="1" s="1"/>
  <c r="C676" i="1"/>
  <c r="D676" i="1"/>
  <c r="S676" i="1"/>
  <c r="A677" i="1"/>
  <c r="B677" i="1"/>
  <c r="T677" i="1" l="1"/>
  <c r="U676" i="1" s="1"/>
  <c r="C677" i="1"/>
  <c r="D677" i="1"/>
  <c r="A678" i="1"/>
  <c r="S677" i="1"/>
  <c r="B678" i="1"/>
  <c r="D678" i="1" l="1"/>
  <c r="C678" i="1"/>
  <c r="T678" i="1"/>
  <c r="U677" i="1" s="1"/>
  <c r="A679" i="1"/>
  <c r="S678" i="1"/>
  <c r="B679" i="1"/>
  <c r="C679" i="1" l="1"/>
  <c r="D679" i="1"/>
  <c r="T679" i="1"/>
  <c r="U678" i="1" s="1"/>
  <c r="S679" i="1"/>
  <c r="B680" i="1"/>
  <c r="A680" i="1"/>
  <c r="T680" i="1" l="1"/>
  <c r="U679" i="1" s="1"/>
  <c r="S680" i="1"/>
  <c r="A681" i="1"/>
  <c r="B681" i="1"/>
  <c r="C680" i="1"/>
  <c r="D680" i="1"/>
  <c r="T681" i="1" l="1"/>
  <c r="U680" i="1" s="1"/>
  <c r="C681" i="1"/>
  <c r="D681" i="1"/>
  <c r="S681" i="1"/>
  <c r="A682" i="1"/>
  <c r="B682" i="1"/>
  <c r="T682" i="1" l="1"/>
  <c r="U681" i="1" s="1"/>
  <c r="C682" i="1"/>
  <c r="D682" i="1"/>
  <c r="S682" i="1"/>
  <c r="A683" i="1"/>
  <c r="B683" i="1"/>
  <c r="T683" i="1" l="1"/>
  <c r="U682" i="1"/>
  <c r="C683" i="1"/>
  <c r="D683" i="1"/>
  <c r="S683" i="1"/>
  <c r="A684" i="1"/>
  <c r="B684" i="1"/>
  <c r="T684" i="1" l="1"/>
  <c r="U683" i="1" s="1"/>
  <c r="C684" i="1"/>
  <c r="D684" i="1"/>
  <c r="S684" i="1"/>
  <c r="B685" i="1"/>
  <c r="A685" i="1"/>
  <c r="T685" i="1" l="1"/>
  <c r="U684" i="1" s="1"/>
  <c r="S685" i="1"/>
  <c r="B686" i="1"/>
  <c r="A686" i="1"/>
  <c r="C685" i="1"/>
  <c r="D685" i="1"/>
  <c r="T686" i="1" l="1"/>
  <c r="U685" i="1" s="1"/>
  <c r="S686" i="1"/>
  <c r="B687" i="1"/>
  <c r="A687" i="1"/>
  <c r="C686" i="1"/>
  <c r="D686" i="1"/>
  <c r="T687" i="1" l="1"/>
  <c r="U686" i="1" s="1"/>
  <c r="S687" i="1"/>
  <c r="A688" i="1"/>
  <c r="B688" i="1"/>
  <c r="C687" i="1"/>
  <c r="D687" i="1"/>
  <c r="T688" i="1" l="1"/>
  <c r="U687" i="1" s="1"/>
  <c r="C688" i="1"/>
  <c r="D688" i="1"/>
  <c r="A689" i="1"/>
  <c r="S688" i="1"/>
  <c r="B689" i="1"/>
  <c r="C689" i="1" l="1"/>
  <c r="D689" i="1"/>
  <c r="U688" i="1"/>
  <c r="T689" i="1"/>
  <c r="B690" i="1"/>
  <c r="S689" i="1"/>
  <c r="A690" i="1"/>
  <c r="B691" i="1" l="1"/>
  <c r="S690" i="1"/>
  <c r="A691" i="1"/>
  <c r="T690" i="1"/>
  <c r="U689" i="1" s="1"/>
  <c r="C690" i="1"/>
  <c r="D690" i="1"/>
  <c r="S691" i="1" l="1"/>
  <c r="B692" i="1"/>
  <c r="A692" i="1"/>
  <c r="T691" i="1"/>
  <c r="U690" i="1" s="1"/>
  <c r="C691" i="1"/>
  <c r="D691" i="1"/>
  <c r="T692" i="1" l="1"/>
  <c r="U691" i="1" s="1"/>
  <c r="A693" i="1"/>
  <c r="S692" i="1"/>
  <c r="B693" i="1"/>
  <c r="C692" i="1"/>
  <c r="D692" i="1"/>
  <c r="C693" i="1" l="1"/>
  <c r="D693" i="1"/>
  <c r="U692" i="1"/>
  <c r="T693" i="1"/>
  <c r="S693" i="1"/>
  <c r="B694" i="1"/>
  <c r="A694" i="1"/>
  <c r="T694" i="1" l="1"/>
  <c r="U693" i="1" s="1"/>
  <c r="S694" i="1"/>
  <c r="B695" i="1"/>
  <c r="A695" i="1"/>
  <c r="C694" i="1"/>
  <c r="D694" i="1"/>
  <c r="T695" i="1" l="1"/>
  <c r="U694" i="1" s="1"/>
  <c r="S695" i="1"/>
  <c r="B696" i="1"/>
  <c r="A696" i="1"/>
  <c r="C695" i="1"/>
  <c r="D695" i="1"/>
  <c r="T696" i="1" l="1"/>
  <c r="U695" i="1" s="1"/>
  <c r="S696" i="1"/>
  <c r="B697" i="1"/>
  <c r="A697" i="1"/>
  <c r="C696" i="1"/>
  <c r="D696" i="1"/>
  <c r="T697" i="1" l="1"/>
  <c r="U696" i="1" s="1"/>
  <c r="S697" i="1"/>
  <c r="A698" i="1"/>
  <c r="B698" i="1"/>
  <c r="C697" i="1"/>
  <c r="D697" i="1"/>
  <c r="T698" i="1" l="1"/>
  <c r="U697" i="1" s="1"/>
  <c r="C698" i="1"/>
  <c r="D698" i="1"/>
  <c r="S698" i="1"/>
  <c r="B699" i="1"/>
  <c r="A699" i="1"/>
  <c r="T699" i="1" l="1"/>
  <c r="U698" i="1" s="1"/>
  <c r="B700" i="1"/>
  <c r="S699" i="1"/>
  <c r="A700" i="1"/>
  <c r="C699" i="1"/>
  <c r="D699" i="1"/>
  <c r="A701" i="1" l="1"/>
  <c r="S700" i="1"/>
  <c r="B701" i="1"/>
  <c r="T700" i="1"/>
  <c r="U699" i="1" s="1"/>
  <c r="C700" i="1"/>
  <c r="D700" i="1"/>
  <c r="C701" i="1" l="1"/>
  <c r="D701" i="1"/>
  <c r="U700" i="1"/>
  <c r="T701" i="1"/>
  <c r="S701" i="1"/>
  <c r="A702" i="1"/>
  <c r="B702" i="1"/>
  <c r="T702" i="1" l="1"/>
  <c r="U701" i="1" s="1"/>
  <c r="C702" i="1"/>
  <c r="D702" i="1"/>
  <c r="S702" i="1"/>
  <c r="A703" i="1"/>
  <c r="B703" i="1"/>
  <c r="T703" i="1" l="1"/>
  <c r="U702" i="1" s="1"/>
  <c r="C703" i="1"/>
  <c r="D703" i="1"/>
  <c r="A704" i="1"/>
  <c r="B704" i="1"/>
  <c r="S703" i="1"/>
  <c r="C704" i="1" l="1"/>
  <c r="D704" i="1"/>
  <c r="S704" i="1"/>
  <c r="B705" i="1"/>
  <c r="A705" i="1"/>
  <c r="T704" i="1"/>
  <c r="U703" i="1" s="1"/>
  <c r="T705" i="1" l="1"/>
  <c r="U704" i="1" s="1"/>
  <c r="S705" i="1"/>
  <c r="B706" i="1"/>
  <c r="A706" i="1"/>
  <c r="D705" i="1"/>
  <c r="C705" i="1"/>
  <c r="T706" i="1" l="1"/>
  <c r="U705" i="1" s="1"/>
  <c r="S706" i="1"/>
  <c r="B707" i="1"/>
  <c r="A707" i="1"/>
  <c r="C706" i="1"/>
  <c r="D706" i="1"/>
  <c r="T707" i="1" l="1"/>
  <c r="U706" i="1"/>
  <c r="S707" i="1"/>
  <c r="A708" i="1"/>
  <c r="B708" i="1"/>
  <c r="D707" i="1"/>
  <c r="C707" i="1"/>
  <c r="T708" i="1" l="1"/>
  <c r="U707" i="1" s="1"/>
  <c r="C708" i="1"/>
  <c r="D708" i="1"/>
  <c r="S708" i="1"/>
  <c r="A709" i="1"/>
  <c r="B709" i="1"/>
  <c r="T709" i="1" l="1"/>
  <c r="U708" i="1" s="1"/>
  <c r="C709" i="1"/>
  <c r="D709" i="1"/>
  <c r="S709" i="1"/>
  <c r="A710" i="1"/>
  <c r="B710" i="1"/>
  <c r="T710" i="1" l="1"/>
  <c r="U709" i="1" s="1"/>
  <c r="C710" i="1"/>
  <c r="D710" i="1"/>
  <c r="S710" i="1"/>
  <c r="A711" i="1"/>
  <c r="B711" i="1"/>
  <c r="T711" i="1" l="1"/>
  <c r="U710" i="1" s="1"/>
  <c r="C711" i="1"/>
  <c r="D711" i="1"/>
  <c r="S711" i="1"/>
  <c r="A712" i="1"/>
  <c r="B712" i="1"/>
  <c r="T712" i="1" l="1"/>
  <c r="U711" i="1" s="1"/>
  <c r="C712" i="1"/>
  <c r="D712" i="1"/>
  <c r="S712" i="1"/>
  <c r="A713" i="1"/>
  <c r="B713" i="1"/>
  <c r="T713" i="1" l="1"/>
  <c r="U712" i="1" s="1"/>
  <c r="C713" i="1"/>
  <c r="D713" i="1"/>
  <c r="A714" i="1"/>
  <c r="S713" i="1"/>
  <c r="B714" i="1"/>
  <c r="C714" i="1" l="1"/>
  <c r="D714" i="1"/>
  <c r="U713" i="1"/>
  <c r="T714" i="1"/>
  <c r="S714" i="1"/>
  <c r="A715" i="1"/>
  <c r="B715" i="1"/>
  <c r="T715" i="1" l="1"/>
  <c r="U714" i="1" s="1"/>
  <c r="C715" i="1"/>
  <c r="D715" i="1"/>
  <c r="A716" i="1"/>
  <c r="S715" i="1"/>
  <c r="B716" i="1"/>
  <c r="C716" i="1" l="1"/>
  <c r="D716" i="1"/>
  <c r="U715" i="1"/>
  <c r="T716" i="1"/>
  <c r="S716" i="1"/>
  <c r="B717" i="1"/>
  <c r="A717" i="1"/>
  <c r="T717" i="1" l="1"/>
  <c r="U716" i="1" s="1"/>
  <c r="S717" i="1"/>
  <c r="B718" i="1"/>
  <c r="A718" i="1"/>
  <c r="D717" i="1"/>
  <c r="C717" i="1"/>
  <c r="T718" i="1" l="1"/>
  <c r="U717" i="1" s="1"/>
  <c r="S718" i="1"/>
  <c r="A719" i="1"/>
  <c r="B719" i="1"/>
  <c r="C718" i="1"/>
  <c r="D718" i="1"/>
  <c r="T719" i="1" l="1"/>
  <c r="U718" i="1" s="1"/>
  <c r="C719" i="1"/>
  <c r="D719" i="1"/>
  <c r="S719" i="1"/>
  <c r="A720" i="1"/>
  <c r="B720" i="1"/>
  <c r="U719" i="1" l="1"/>
  <c r="T720" i="1"/>
  <c r="C720" i="1"/>
  <c r="D720" i="1"/>
  <c r="A721" i="1"/>
  <c r="B721" i="1"/>
  <c r="S720" i="1"/>
  <c r="C721" i="1" l="1"/>
  <c r="D721" i="1"/>
  <c r="A722" i="1"/>
  <c r="S721" i="1"/>
  <c r="B722" i="1"/>
  <c r="T721" i="1"/>
  <c r="U720" i="1" s="1"/>
  <c r="C722" i="1" l="1"/>
  <c r="D722" i="1"/>
  <c r="U721" i="1"/>
  <c r="T722" i="1"/>
  <c r="A723" i="1"/>
  <c r="S722" i="1"/>
  <c r="B723" i="1"/>
  <c r="C723" i="1" l="1"/>
  <c r="D723" i="1"/>
  <c r="T723" i="1"/>
  <c r="U722" i="1" s="1"/>
  <c r="B724" i="1"/>
  <c r="S723" i="1"/>
  <c r="A724" i="1"/>
  <c r="S724" i="1" l="1"/>
  <c r="A725" i="1"/>
  <c r="B725" i="1"/>
  <c r="T724" i="1"/>
  <c r="U723" i="1" s="1"/>
  <c r="C724" i="1"/>
  <c r="D724" i="1"/>
  <c r="T725" i="1" l="1"/>
  <c r="U724" i="1" s="1"/>
  <c r="C725" i="1"/>
  <c r="D725" i="1"/>
  <c r="A726" i="1"/>
  <c r="B726" i="1"/>
  <c r="S725" i="1"/>
  <c r="C726" i="1" l="1"/>
  <c r="D726" i="1"/>
  <c r="A727" i="1"/>
  <c r="S726" i="1"/>
  <c r="B727" i="1"/>
  <c r="T726" i="1"/>
  <c r="U725" i="1" s="1"/>
  <c r="C727" i="1" l="1"/>
  <c r="D727" i="1"/>
  <c r="T727" i="1"/>
  <c r="U726" i="1" s="1"/>
  <c r="S727" i="1"/>
  <c r="A728" i="1"/>
  <c r="B728" i="1"/>
  <c r="T728" i="1" l="1"/>
  <c r="U727" i="1" s="1"/>
  <c r="D728" i="1"/>
  <c r="C728" i="1"/>
  <c r="S728" i="1"/>
  <c r="B729" i="1"/>
  <c r="A729" i="1"/>
  <c r="T729" i="1" l="1"/>
  <c r="U728" i="1" s="1"/>
  <c r="B730" i="1"/>
  <c r="S729" i="1"/>
  <c r="A730" i="1"/>
  <c r="C729" i="1"/>
  <c r="D729" i="1"/>
  <c r="S730" i="1" l="1"/>
  <c r="B731" i="1"/>
  <c r="A731" i="1"/>
  <c r="T730" i="1"/>
  <c r="U729" i="1" s="1"/>
  <c r="C730" i="1"/>
  <c r="D730" i="1"/>
  <c r="T731" i="1" l="1"/>
  <c r="U730" i="1" s="1"/>
  <c r="S731" i="1"/>
  <c r="A732" i="1"/>
  <c r="B732" i="1"/>
  <c r="C731" i="1"/>
  <c r="D731" i="1"/>
  <c r="T732" i="1" l="1"/>
  <c r="U731" i="1" s="1"/>
  <c r="C732" i="1"/>
  <c r="D732" i="1"/>
  <c r="B733" i="1"/>
  <c r="S732" i="1"/>
  <c r="A733" i="1"/>
  <c r="S733" i="1" l="1"/>
  <c r="B734" i="1"/>
  <c r="A734" i="1"/>
  <c r="T733" i="1"/>
  <c r="U732" i="1" s="1"/>
  <c r="D733" i="1"/>
  <c r="C733" i="1"/>
  <c r="T734" i="1" l="1"/>
  <c r="U733" i="1" s="1"/>
  <c r="B735" i="1"/>
  <c r="S734" i="1"/>
  <c r="A735" i="1"/>
  <c r="C734" i="1"/>
  <c r="D734" i="1"/>
  <c r="S735" i="1" l="1"/>
  <c r="A736" i="1"/>
  <c r="B736" i="1"/>
  <c r="T735" i="1"/>
  <c r="U734" i="1" s="1"/>
  <c r="C735" i="1"/>
  <c r="D735" i="1"/>
  <c r="T736" i="1" l="1"/>
  <c r="U735" i="1"/>
  <c r="D736" i="1"/>
  <c r="C736" i="1"/>
  <c r="S736" i="1"/>
  <c r="A737" i="1"/>
  <c r="B737" i="1"/>
  <c r="T737" i="1" l="1"/>
  <c r="U736" i="1" s="1"/>
  <c r="C737" i="1"/>
  <c r="D737" i="1"/>
  <c r="S737" i="1"/>
  <c r="A738" i="1"/>
  <c r="B738" i="1"/>
  <c r="T738" i="1" l="1"/>
  <c r="U737" i="1" s="1"/>
  <c r="C738" i="1"/>
  <c r="D738" i="1"/>
  <c r="B739" i="1"/>
  <c r="S738" i="1"/>
  <c r="A739" i="1"/>
  <c r="A740" i="1" l="1"/>
  <c r="S739" i="1"/>
  <c r="B740" i="1"/>
  <c r="T739" i="1"/>
  <c r="U738" i="1" s="1"/>
  <c r="C739" i="1"/>
  <c r="D739" i="1"/>
  <c r="C740" i="1" l="1"/>
  <c r="D740" i="1"/>
  <c r="U739" i="1"/>
  <c r="T740" i="1"/>
  <c r="S740" i="1"/>
  <c r="B741" i="1"/>
  <c r="A741" i="1"/>
  <c r="T741" i="1" l="1"/>
  <c r="U740" i="1" s="1"/>
  <c r="S741" i="1"/>
  <c r="A742" i="1"/>
  <c r="B742" i="1"/>
  <c r="C741" i="1"/>
  <c r="D741" i="1"/>
  <c r="T742" i="1" l="1"/>
  <c r="U741" i="1" s="1"/>
  <c r="D742" i="1"/>
  <c r="C742" i="1"/>
  <c r="S742" i="1"/>
  <c r="A743" i="1"/>
  <c r="B743" i="1"/>
  <c r="T743" i="1" l="1"/>
  <c r="U742" i="1" s="1"/>
  <c r="C743" i="1"/>
  <c r="D743" i="1"/>
  <c r="A744" i="1"/>
  <c r="S743" i="1"/>
  <c r="B744" i="1"/>
  <c r="C744" i="1" l="1"/>
  <c r="D744" i="1"/>
  <c r="T744" i="1"/>
  <c r="U743" i="1" s="1"/>
  <c r="B745" i="1"/>
  <c r="S744" i="1"/>
  <c r="A745" i="1"/>
  <c r="S745" i="1" l="1"/>
  <c r="A746" i="1"/>
  <c r="B746" i="1"/>
  <c r="T745" i="1"/>
  <c r="U744" i="1" s="1"/>
  <c r="C745" i="1"/>
  <c r="D745" i="1"/>
  <c r="T746" i="1" l="1"/>
  <c r="U745" i="1" s="1"/>
  <c r="C746" i="1"/>
  <c r="D746" i="1"/>
  <c r="S746" i="1"/>
  <c r="A747" i="1"/>
  <c r="B747" i="1"/>
  <c r="T747" i="1" l="1"/>
  <c r="U746" i="1" s="1"/>
  <c r="C747" i="1"/>
  <c r="D747" i="1"/>
  <c r="S747" i="1"/>
  <c r="A748" i="1"/>
  <c r="B748" i="1"/>
  <c r="T748" i="1" l="1"/>
  <c r="U747" i="1" s="1"/>
  <c r="C748" i="1"/>
  <c r="D748" i="1"/>
  <c r="S748" i="1"/>
  <c r="A749" i="1"/>
  <c r="B749" i="1"/>
  <c r="T749" i="1" l="1"/>
  <c r="U748" i="1" s="1"/>
  <c r="C749" i="1"/>
  <c r="D749" i="1"/>
  <c r="S749" i="1"/>
  <c r="A750" i="1"/>
  <c r="B750" i="1"/>
  <c r="T750" i="1" l="1"/>
  <c r="U749" i="1" s="1"/>
  <c r="C750" i="1"/>
  <c r="D750" i="1"/>
  <c r="S750" i="1"/>
  <c r="A751" i="1"/>
  <c r="B751" i="1"/>
  <c r="T751" i="1" l="1"/>
  <c r="U750" i="1" s="1"/>
  <c r="C751" i="1"/>
  <c r="D751" i="1"/>
  <c r="S751" i="1"/>
  <c r="A752" i="1"/>
  <c r="B752" i="1"/>
  <c r="T752" i="1" l="1"/>
  <c r="U751" i="1" s="1"/>
  <c r="C752" i="1"/>
  <c r="D752" i="1"/>
  <c r="S752" i="1"/>
  <c r="A753" i="1"/>
  <c r="B753" i="1"/>
  <c r="T753" i="1" l="1"/>
  <c r="U752" i="1" s="1"/>
  <c r="C753" i="1"/>
  <c r="D753" i="1"/>
  <c r="S753" i="1"/>
  <c r="A754" i="1"/>
  <c r="B754" i="1"/>
  <c r="T754" i="1" l="1"/>
  <c r="U753" i="1" s="1"/>
  <c r="C754" i="1"/>
  <c r="D754" i="1"/>
  <c r="S754" i="1"/>
  <c r="A755" i="1"/>
  <c r="B755" i="1"/>
  <c r="T755" i="1" l="1"/>
  <c r="U754" i="1" s="1"/>
  <c r="C755" i="1"/>
  <c r="D755" i="1"/>
  <c r="S755" i="1"/>
  <c r="A756" i="1"/>
  <c r="B756" i="1"/>
  <c r="T756" i="1" l="1"/>
  <c r="U755" i="1" s="1"/>
  <c r="C756" i="1"/>
  <c r="D756" i="1"/>
  <c r="S756" i="1"/>
  <c r="A757" i="1"/>
  <c r="B757" i="1"/>
  <c r="T757" i="1" l="1"/>
  <c r="U756" i="1" s="1"/>
  <c r="C757" i="1"/>
  <c r="D757" i="1"/>
  <c r="S757" i="1"/>
  <c r="A758" i="1"/>
  <c r="B758" i="1"/>
  <c r="T758" i="1" l="1"/>
  <c r="U757" i="1" s="1"/>
  <c r="C758" i="1"/>
  <c r="D758" i="1"/>
  <c r="S758" i="1"/>
  <c r="A759" i="1"/>
  <c r="B759" i="1"/>
  <c r="T759" i="1" l="1"/>
  <c r="U758" i="1" s="1"/>
  <c r="C759" i="1"/>
  <c r="D759" i="1"/>
  <c r="S759" i="1"/>
  <c r="A760" i="1"/>
  <c r="B760" i="1"/>
  <c r="T760" i="1" l="1"/>
  <c r="U759" i="1" s="1"/>
  <c r="C760" i="1"/>
  <c r="D760" i="1"/>
  <c r="S760" i="1"/>
  <c r="A761" i="1"/>
  <c r="B761" i="1"/>
  <c r="T761" i="1" l="1"/>
  <c r="U760" i="1" s="1"/>
  <c r="C761" i="1"/>
  <c r="D761" i="1"/>
  <c r="S761" i="1"/>
  <c r="A762" i="1"/>
  <c r="B762" i="1"/>
  <c r="T762" i="1" l="1"/>
  <c r="U761" i="1" s="1"/>
  <c r="C762" i="1"/>
  <c r="D762" i="1"/>
  <c r="S762" i="1"/>
  <c r="A763" i="1"/>
  <c r="B763" i="1"/>
  <c r="T763" i="1" l="1"/>
  <c r="U762" i="1" s="1"/>
  <c r="C763" i="1"/>
  <c r="D763" i="1"/>
  <c r="S763" i="1"/>
  <c r="A764" i="1"/>
  <c r="B764" i="1"/>
  <c r="T764" i="1" l="1"/>
  <c r="U763" i="1" s="1"/>
  <c r="C764" i="1"/>
  <c r="D764" i="1"/>
  <c r="S764" i="1"/>
  <c r="A765" i="1"/>
  <c r="B765" i="1"/>
  <c r="T765" i="1" l="1"/>
  <c r="U764" i="1" s="1"/>
  <c r="C765" i="1"/>
  <c r="D765" i="1"/>
  <c r="S765" i="1"/>
  <c r="A766" i="1"/>
  <c r="B766" i="1"/>
  <c r="T766" i="1" l="1"/>
  <c r="U765" i="1" s="1"/>
  <c r="C766" i="1"/>
  <c r="D766" i="1"/>
  <c r="S766" i="1"/>
  <c r="A767" i="1"/>
  <c r="B767" i="1"/>
  <c r="T767" i="1" l="1"/>
  <c r="U766" i="1" s="1"/>
  <c r="C767" i="1"/>
  <c r="D767" i="1"/>
  <c r="S767" i="1"/>
  <c r="U767" i="1" s="1"/>
  <c r="A768" i="1"/>
  <c r="B768" i="1"/>
  <c r="C768" i="1" l="1"/>
  <c r="D768" i="1"/>
  <c r="S768" i="1"/>
  <c r="U768" i="1" s="1"/>
  <c r="A769" i="1"/>
  <c r="B769" i="1"/>
  <c r="C769" i="1" l="1"/>
  <c r="D769" i="1"/>
  <c r="S769" i="1"/>
  <c r="U769" i="1" s="1"/>
  <c r="A770" i="1"/>
  <c r="B770" i="1"/>
  <c r="C770" i="1" l="1"/>
  <c r="D770" i="1"/>
  <c r="S770" i="1"/>
  <c r="A771" i="1"/>
  <c r="B771" i="1"/>
  <c r="T771" i="1" l="1"/>
  <c r="U770" i="1" s="1"/>
  <c r="C771" i="1"/>
  <c r="D771" i="1"/>
  <c r="S771" i="1"/>
  <c r="A772" i="1"/>
  <c r="B772" i="1"/>
  <c r="T772" i="1" l="1"/>
  <c r="U771" i="1" s="1"/>
  <c r="C772" i="1"/>
  <c r="D772" i="1"/>
  <c r="S772" i="1"/>
  <c r="A773" i="1"/>
  <c r="B773" i="1"/>
  <c r="T773" i="1" l="1"/>
  <c r="U772" i="1" s="1"/>
  <c r="C773" i="1"/>
  <c r="D773" i="1"/>
  <c r="S773" i="1"/>
  <c r="A774" i="1"/>
  <c r="B774" i="1"/>
  <c r="T774" i="1" l="1"/>
  <c r="U773" i="1" s="1"/>
  <c r="C774" i="1"/>
  <c r="D774" i="1"/>
  <c r="S774" i="1"/>
  <c r="A775" i="1"/>
  <c r="B775" i="1"/>
  <c r="T775" i="1" l="1"/>
  <c r="U774" i="1" s="1"/>
  <c r="C775" i="1"/>
  <c r="D775" i="1"/>
  <c r="S775" i="1"/>
  <c r="U775" i="1" s="1"/>
  <c r="A776" i="1"/>
  <c r="B776" i="1"/>
  <c r="C776" i="1" l="1"/>
  <c r="D776" i="1"/>
  <c r="S776" i="1"/>
  <c r="U776" i="1" s="1"/>
  <c r="A777" i="1"/>
  <c r="B777" i="1"/>
  <c r="C777" i="1" l="1"/>
  <c r="D777" i="1"/>
  <c r="S777" i="1"/>
  <c r="U777" i="1" s="1"/>
  <c r="A778" i="1"/>
  <c r="B778" i="1"/>
  <c r="C778" i="1" l="1"/>
  <c r="D778" i="1"/>
  <c r="S778" i="1"/>
  <c r="A779" i="1"/>
  <c r="B779" i="1"/>
  <c r="T779" i="1" l="1"/>
  <c r="U778" i="1" s="1"/>
  <c r="C779" i="1"/>
  <c r="D779" i="1"/>
  <c r="S779" i="1"/>
  <c r="A780" i="1"/>
  <c r="B780" i="1"/>
  <c r="T780" i="1" l="1"/>
  <c r="U779" i="1" s="1"/>
  <c r="C780" i="1"/>
  <c r="D780" i="1"/>
  <c r="S780" i="1"/>
  <c r="A781" i="1"/>
  <c r="B781" i="1"/>
  <c r="T781" i="1" l="1"/>
  <c r="U780" i="1" s="1"/>
  <c r="C781" i="1"/>
  <c r="D781" i="1"/>
  <c r="S781" i="1"/>
  <c r="A782" i="1"/>
  <c r="B782" i="1"/>
  <c r="T782" i="1" l="1"/>
  <c r="U781" i="1" s="1"/>
  <c r="C782" i="1"/>
  <c r="D782" i="1"/>
  <c r="S782" i="1"/>
  <c r="A783" i="1"/>
  <c r="B783" i="1"/>
  <c r="T783" i="1" l="1"/>
  <c r="U782" i="1" s="1"/>
  <c r="C783" i="1"/>
  <c r="D783" i="1"/>
  <c r="S783" i="1"/>
  <c r="U783" i="1" s="1"/>
  <c r="A784" i="1"/>
  <c r="B784" i="1"/>
  <c r="C784" i="1" l="1"/>
  <c r="D784" i="1"/>
  <c r="S784" i="1"/>
  <c r="U784" i="1" s="1"/>
  <c r="A785" i="1"/>
  <c r="B785" i="1"/>
  <c r="C785" i="1" l="1"/>
  <c r="D785" i="1"/>
  <c r="S785" i="1"/>
  <c r="U785" i="1" s="1"/>
  <c r="A786" i="1"/>
  <c r="B786" i="1"/>
  <c r="C786" i="1" l="1"/>
  <c r="D786" i="1"/>
  <c r="S786" i="1"/>
  <c r="A787" i="1"/>
  <c r="B787" i="1"/>
  <c r="T787" i="1" l="1"/>
  <c r="U786" i="1" s="1"/>
  <c r="C787" i="1"/>
  <c r="D787" i="1"/>
  <c r="S787" i="1"/>
  <c r="A788" i="1"/>
  <c r="B788" i="1"/>
  <c r="T788" i="1" l="1"/>
  <c r="U787" i="1" s="1"/>
  <c r="C788" i="1"/>
  <c r="D788" i="1"/>
  <c r="S788" i="1"/>
  <c r="A789" i="1"/>
  <c r="B789" i="1"/>
  <c r="T789" i="1" l="1"/>
  <c r="U788" i="1" s="1"/>
  <c r="C789" i="1"/>
  <c r="D789" i="1"/>
  <c r="S789" i="1"/>
  <c r="A790" i="1"/>
  <c r="B790" i="1"/>
  <c r="T790" i="1" l="1"/>
  <c r="U789" i="1" s="1"/>
  <c r="C790" i="1"/>
  <c r="D790" i="1"/>
  <c r="S790" i="1"/>
  <c r="A791" i="1"/>
  <c r="B791" i="1"/>
  <c r="T791" i="1" l="1"/>
  <c r="U790" i="1" s="1"/>
  <c r="C791" i="1"/>
  <c r="D791" i="1"/>
  <c r="S791" i="1"/>
  <c r="U791" i="1" s="1"/>
  <c r="A792" i="1"/>
  <c r="B792" i="1"/>
  <c r="C792" i="1" l="1"/>
  <c r="D792" i="1"/>
  <c r="S792" i="1"/>
  <c r="U792" i="1" s="1"/>
  <c r="A793" i="1"/>
  <c r="B793" i="1"/>
  <c r="C793" i="1" l="1"/>
  <c r="D793" i="1"/>
  <c r="S793" i="1"/>
  <c r="U793" i="1" s="1"/>
  <c r="A794" i="1"/>
  <c r="B794" i="1"/>
  <c r="C794" i="1" l="1"/>
  <c r="D794" i="1"/>
  <c r="S794" i="1"/>
  <c r="A795" i="1"/>
  <c r="B795" i="1"/>
  <c r="T795" i="1" l="1"/>
  <c r="U794" i="1" s="1"/>
  <c r="C795" i="1"/>
  <c r="D795" i="1"/>
  <c r="S795" i="1"/>
  <c r="A796" i="1"/>
  <c r="B796" i="1"/>
  <c r="T796" i="1" l="1"/>
  <c r="U795" i="1" s="1"/>
  <c r="C796" i="1"/>
  <c r="D796" i="1"/>
  <c r="S796" i="1"/>
  <c r="A797" i="1"/>
  <c r="B797" i="1"/>
  <c r="T797" i="1" l="1"/>
  <c r="U796" i="1" s="1"/>
  <c r="C797" i="1"/>
  <c r="D797" i="1"/>
  <c r="S797" i="1"/>
  <c r="A798" i="1"/>
  <c r="B798" i="1"/>
  <c r="T798" i="1" l="1"/>
  <c r="U797" i="1" s="1"/>
  <c r="C798" i="1"/>
  <c r="D798" i="1"/>
  <c r="S798" i="1"/>
  <c r="A799" i="1"/>
  <c r="B799" i="1"/>
  <c r="T799" i="1" l="1"/>
  <c r="U798" i="1" s="1"/>
  <c r="C799" i="1"/>
  <c r="D799" i="1"/>
  <c r="S799" i="1"/>
  <c r="U799" i="1" s="1"/>
  <c r="A800" i="1"/>
  <c r="B800" i="1"/>
  <c r="C800" i="1" l="1"/>
  <c r="D800" i="1"/>
  <c r="S800" i="1"/>
  <c r="U800" i="1" s="1"/>
  <c r="A801" i="1"/>
  <c r="B801" i="1"/>
  <c r="C801" i="1" l="1"/>
  <c r="D801" i="1"/>
  <c r="S801" i="1"/>
  <c r="U801" i="1" s="1"/>
  <c r="A802" i="1"/>
  <c r="B802" i="1"/>
  <c r="C802" i="1" l="1"/>
  <c r="D802" i="1"/>
  <c r="S802" i="1"/>
  <c r="A803" i="1"/>
  <c r="B803" i="1"/>
  <c r="T803" i="1" l="1"/>
  <c r="U802" i="1" s="1"/>
  <c r="C803" i="1"/>
  <c r="D803" i="1"/>
  <c r="S803" i="1"/>
  <c r="A804" i="1"/>
  <c r="B804" i="1"/>
  <c r="T804" i="1" l="1"/>
  <c r="U803" i="1" s="1"/>
  <c r="C804" i="1"/>
  <c r="D804" i="1"/>
  <c r="S804" i="1"/>
  <c r="A805" i="1"/>
  <c r="B805" i="1"/>
  <c r="T805" i="1" l="1"/>
  <c r="U804" i="1" s="1"/>
  <c r="C805" i="1"/>
  <c r="D805" i="1"/>
  <c r="S805" i="1"/>
  <c r="A806" i="1"/>
  <c r="B806" i="1"/>
  <c r="T806" i="1" l="1"/>
  <c r="U805" i="1" s="1"/>
  <c r="C806" i="1"/>
  <c r="D806" i="1"/>
  <c r="S806" i="1"/>
  <c r="A807" i="1"/>
  <c r="B807" i="1"/>
  <c r="T807" i="1" l="1"/>
  <c r="U806" i="1" s="1"/>
  <c r="C807" i="1"/>
  <c r="D807" i="1"/>
  <c r="S807" i="1"/>
  <c r="U807" i="1" s="1"/>
  <c r="A808" i="1"/>
  <c r="B808" i="1"/>
  <c r="C808" i="1" l="1"/>
  <c r="D808" i="1"/>
  <c r="S808" i="1"/>
  <c r="U808" i="1" s="1"/>
  <c r="A809" i="1"/>
  <c r="B809" i="1"/>
  <c r="C809" i="1" l="1"/>
  <c r="D809" i="1"/>
  <c r="S809" i="1"/>
  <c r="U809" i="1" s="1"/>
  <c r="A810" i="1"/>
  <c r="B810" i="1"/>
  <c r="C810" i="1" l="1"/>
  <c r="D810" i="1"/>
  <c r="S810" i="1"/>
  <c r="A811" i="1"/>
  <c r="B811" i="1"/>
  <c r="T811" i="1" l="1"/>
  <c r="U810" i="1" s="1"/>
  <c r="C811" i="1"/>
  <c r="D811" i="1"/>
  <c r="S811" i="1"/>
  <c r="A812" i="1"/>
  <c r="B812" i="1"/>
  <c r="T812" i="1" l="1"/>
  <c r="U811" i="1" s="1"/>
  <c r="C812" i="1"/>
  <c r="D812" i="1"/>
  <c r="S812" i="1"/>
  <c r="A813" i="1"/>
  <c r="B813" i="1"/>
  <c r="T813" i="1" l="1"/>
  <c r="U812" i="1" s="1"/>
  <c r="C813" i="1"/>
  <c r="D813" i="1"/>
  <c r="S813" i="1"/>
  <c r="A814" i="1"/>
  <c r="B814" i="1"/>
  <c r="T814" i="1" l="1"/>
  <c r="U813" i="1" s="1"/>
  <c r="C814" i="1"/>
  <c r="D814" i="1"/>
  <c r="S814" i="1"/>
  <c r="A815" i="1"/>
  <c r="B815" i="1"/>
  <c r="T815" i="1" l="1"/>
  <c r="U814" i="1" s="1"/>
  <c r="C815" i="1"/>
  <c r="D815" i="1"/>
  <c r="S815" i="1"/>
  <c r="U815" i="1" s="1"/>
  <c r="A816" i="1"/>
  <c r="B816" i="1"/>
  <c r="C816" i="1" l="1"/>
  <c r="D816" i="1"/>
  <c r="S816" i="1"/>
  <c r="U816" i="1" s="1"/>
  <c r="A817" i="1"/>
  <c r="B817" i="1"/>
  <c r="C817" i="1" l="1"/>
  <c r="D817" i="1"/>
  <c r="S817" i="1"/>
  <c r="U817" i="1" s="1"/>
  <c r="A818" i="1"/>
  <c r="B818" i="1"/>
  <c r="C818" i="1" l="1"/>
  <c r="D818" i="1"/>
  <c r="S818" i="1"/>
  <c r="A819" i="1"/>
  <c r="B819" i="1"/>
  <c r="T819" i="1" l="1"/>
  <c r="U818" i="1" s="1"/>
  <c r="C819" i="1"/>
  <c r="D819" i="1"/>
  <c r="S819" i="1"/>
  <c r="A820" i="1"/>
  <c r="B820" i="1"/>
  <c r="T820" i="1" l="1"/>
  <c r="U819" i="1" s="1"/>
  <c r="C820" i="1"/>
  <c r="D820" i="1"/>
  <c r="S820" i="1"/>
  <c r="A821" i="1"/>
  <c r="B821" i="1"/>
  <c r="T821" i="1" l="1"/>
  <c r="U820" i="1" s="1"/>
  <c r="C821" i="1"/>
  <c r="D821" i="1"/>
  <c r="S821" i="1"/>
  <c r="A822" i="1"/>
  <c r="B822" i="1"/>
  <c r="T822" i="1" l="1"/>
  <c r="U821" i="1" s="1"/>
  <c r="C822" i="1"/>
  <c r="D822" i="1"/>
  <c r="S822" i="1"/>
  <c r="A823" i="1"/>
  <c r="B823" i="1"/>
  <c r="T823" i="1" l="1"/>
  <c r="U822" i="1" s="1"/>
  <c r="C823" i="1"/>
  <c r="D823" i="1"/>
  <c r="S823" i="1"/>
  <c r="U823" i="1" s="1"/>
  <c r="A824" i="1"/>
  <c r="B824" i="1"/>
  <c r="C824" i="1" l="1"/>
  <c r="D824" i="1"/>
  <c r="S824" i="1"/>
  <c r="U824" i="1" s="1"/>
  <c r="A825" i="1"/>
  <c r="B825" i="1"/>
  <c r="C825" i="1" l="1"/>
  <c r="D825" i="1"/>
  <c r="S825" i="1"/>
  <c r="U825" i="1" s="1"/>
  <c r="A826" i="1"/>
  <c r="B826" i="1"/>
  <c r="C826" i="1" l="1"/>
  <c r="D826" i="1"/>
  <c r="S826" i="1"/>
  <c r="A827" i="1"/>
  <c r="B827" i="1"/>
  <c r="T827" i="1" l="1"/>
  <c r="U826" i="1" s="1"/>
  <c r="C827" i="1"/>
  <c r="D827" i="1"/>
  <c r="S827" i="1"/>
  <c r="A828" i="1"/>
  <c r="B828" i="1"/>
  <c r="T828" i="1" l="1"/>
  <c r="U827" i="1" s="1"/>
  <c r="C828" i="1"/>
  <c r="D828" i="1"/>
  <c r="S828" i="1"/>
  <c r="A829" i="1"/>
  <c r="B829" i="1"/>
  <c r="T829" i="1" l="1"/>
  <c r="U828" i="1" s="1"/>
  <c r="C829" i="1"/>
  <c r="D829" i="1"/>
  <c r="S829" i="1"/>
  <c r="A830" i="1"/>
  <c r="B830" i="1"/>
  <c r="T830" i="1" l="1"/>
  <c r="U829" i="1" s="1"/>
  <c r="C830" i="1"/>
  <c r="D830" i="1"/>
  <c r="S830" i="1"/>
  <c r="A831" i="1"/>
  <c r="B831" i="1"/>
  <c r="T831" i="1" l="1"/>
  <c r="U830" i="1" s="1"/>
  <c r="C831" i="1"/>
  <c r="D831" i="1"/>
  <c r="S831" i="1"/>
  <c r="U831" i="1" s="1"/>
  <c r="A832" i="1"/>
  <c r="B832" i="1"/>
  <c r="C832" i="1" l="1"/>
  <c r="D832" i="1"/>
  <c r="S832" i="1"/>
  <c r="U832" i="1" s="1"/>
  <c r="A833" i="1"/>
  <c r="B833" i="1"/>
  <c r="C833" i="1" l="1"/>
  <c r="D833" i="1"/>
  <c r="S833" i="1"/>
  <c r="U833" i="1" s="1"/>
  <c r="A834" i="1"/>
  <c r="B834" i="1"/>
  <c r="C834" i="1" l="1"/>
  <c r="D834" i="1"/>
  <c r="S834" i="1"/>
  <c r="A835" i="1"/>
  <c r="B835" i="1"/>
  <c r="T835" i="1" l="1"/>
  <c r="U834" i="1" s="1"/>
  <c r="C835" i="1"/>
  <c r="D835" i="1"/>
  <c r="S835" i="1"/>
  <c r="A836" i="1"/>
  <c r="B836" i="1"/>
  <c r="T836" i="1" l="1"/>
  <c r="U835" i="1" s="1"/>
  <c r="C836" i="1"/>
  <c r="D836" i="1"/>
  <c r="S836" i="1"/>
  <c r="A837" i="1"/>
  <c r="B837" i="1"/>
  <c r="T837" i="1" l="1"/>
  <c r="U836" i="1" s="1"/>
  <c r="C837" i="1"/>
  <c r="D837" i="1"/>
  <c r="S837" i="1"/>
  <c r="A838" i="1"/>
  <c r="B838" i="1"/>
  <c r="T838" i="1" l="1"/>
  <c r="U837" i="1" s="1"/>
  <c r="C838" i="1"/>
  <c r="D838" i="1"/>
  <c r="S838" i="1"/>
  <c r="A839" i="1"/>
  <c r="B839" i="1"/>
  <c r="T839" i="1" l="1"/>
  <c r="U838" i="1" s="1"/>
  <c r="C839" i="1"/>
  <c r="D839" i="1"/>
  <c r="S839" i="1"/>
  <c r="A840" i="1"/>
  <c r="B840" i="1"/>
  <c r="T840" i="1" l="1"/>
  <c r="U839" i="1" s="1"/>
  <c r="C840" i="1"/>
  <c r="D840" i="1"/>
  <c r="S840" i="1"/>
  <c r="A841" i="1"/>
  <c r="B841" i="1"/>
  <c r="T841" i="1" l="1"/>
  <c r="U840" i="1" s="1"/>
  <c r="C841" i="1"/>
  <c r="D841" i="1"/>
  <c r="S841" i="1"/>
  <c r="A842" i="1"/>
  <c r="B842" i="1"/>
  <c r="T842" i="1" l="1"/>
  <c r="U841" i="1" s="1"/>
  <c r="C842" i="1"/>
  <c r="D842" i="1"/>
  <c r="S842" i="1"/>
  <c r="A843" i="1"/>
  <c r="B843" i="1"/>
  <c r="T843" i="1" l="1"/>
  <c r="U842" i="1" s="1"/>
  <c r="C843" i="1"/>
  <c r="D843" i="1"/>
  <c r="S843" i="1"/>
  <c r="A844" i="1"/>
  <c r="B844" i="1"/>
  <c r="T844" i="1" l="1"/>
  <c r="U843" i="1" s="1"/>
  <c r="C844" i="1"/>
  <c r="D844" i="1"/>
  <c r="S844" i="1"/>
  <c r="A845" i="1"/>
  <c r="B845" i="1"/>
  <c r="T845" i="1" l="1"/>
  <c r="U844" i="1" s="1"/>
  <c r="C845" i="1"/>
  <c r="D845" i="1"/>
  <c r="S845" i="1"/>
  <c r="A846" i="1"/>
  <c r="B846" i="1"/>
  <c r="T846" i="1" l="1"/>
  <c r="U845" i="1" s="1"/>
  <c r="C846" i="1"/>
  <c r="D846" i="1"/>
  <c r="S846" i="1"/>
  <c r="A847" i="1"/>
  <c r="B847" i="1"/>
  <c r="T847" i="1" l="1"/>
  <c r="U846" i="1" s="1"/>
  <c r="C847" i="1"/>
  <c r="D847" i="1"/>
  <c r="S847" i="1"/>
  <c r="A848" i="1"/>
  <c r="B848" i="1"/>
  <c r="T848" i="1" l="1"/>
  <c r="U847" i="1" s="1"/>
  <c r="C848" i="1"/>
  <c r="D848" i="1"/>
  <c r="S848" i="1"/>
  <c r="A849" i="1"/>
  <c r="B849" i="1"/>
  <c r="T849" i="1" l="1"/>
  <c r="U848" i="1" s="1"/>
  <c r="C849" i="1"/>
  <c r="D849" i="1"/>
  <c r="S849" i="1"/>
  <c r="A850" i="1"/>
  <c r="B850" i="1"/>
  <c r="T850" i="1" l="1"/>
  <c r="U849" i="1" s="1"/>
  <c r="C850" i="1"/>
  <c r="D850" i="1"/>
  <c r="S850" i="1"/>
  <c r="A851" i="1"/>
  <c r="B851" i="1"/>
  <c r="T851" i="1" l="1"/>
  <c r="U850" i="1" s="1"/>
  <c r="C851" i="1"/>
  <c r="D851" i="1"/>
  <c r="S851" i="1"/>
  <c r="A852" i="1"/>
  <c r="B852" i="1"/>
  <c r="T852" i="1" l="1"/>
  <c r="U851" i="1" s="1"/>
  <c r="C852" i="1"/>
  <c r="D852" i="1"/>
  <c r="S852" i="1"/>
  <c r="A853" i="1"/>
  <c r="B853" i="1"/>
  <c r="T853" i="1" l="1"/>
  <c r="U852" i="1" s="1"/>
  <c r="C853" i="1"/>
  <c r="D853" i="1"/>
  <c r="S853" i="1"/>
  <c r="A854" i="1"/>
  <c r="B854" i="1"/>
  <c r="T854" i="1" l="1"/>
  <c r="U853" i="1" s="1"/>
  <c r="C854" i="1"/>
  <c r="D854" i="1"/>
  <c r="S854" i="1"/>
  <c r="A855" i="1"/>
  <c r="B855" i="1"/>
  <c r="T855" i="1" l="1"/>
  <c r="U854" i="1" s="1"/>
  <c r="C855" i="1"/>
  <c r="D855" i="1"/>
  <c r="S855" i="1"/>
  <c r="A856" i="1"/>
  <c r="B856" i="1"/>
  <c r="T856" i="1" l="1"/>
  <c r="U855" i="1" s="1"/>
  <c r="C856" i="1"/>
  <c r="D856" i="1"/>
  <c r="S856" i="1"/>
  <c r="A857" i="1"/>
  <c r="B857" i="1"/>
  <c r="T857" i="1" l="1"/>
  <c r="U856" i="1" s="1"/>
  <c r="C857" i="1"/>
  <c r="D857" i="1"/>
  <c r="S857" i="1"/>
  <c r="A858" i="1"/>
  <c r="B858" i="1"/>
  <c r="T858" i="1" l="1"/>
  <c r="U857" i="1" s="1"/>
  <c r="C858" i="1"/>
  <c r="D858" i="1"/>
  <c r="S858" i="1"/>
  <c r="A859" i="1"/>
  <c r="B859" i="1"/>
  <c r="T859" i="1" l="1"/>
  <c r="U858" i="1" s="1"/>
  <c r="C859" i="1"/>
  <c r="D859" i="1"/>
  <c r="S859" i="1"/>
  <c r="A860" i="1"/>
  <c r="B860" i="1"/>
  <c r="T860" i="1" l="1"/>
  <c r="U859" i="1" s="1"/>
  <c r="C860" i="1"/>
  <c r="D860" i="1"/>
  <c r="S860" i="1"/>
  <c r="A861" i="1"/>
  <c r="B861" i="1"/>
  <c r="T861" i="1" l="1"/>
  <c r="U860" i="1" s="1"/>
  <c r="C861" i="1"/>
  <c r="D861" i="1"/>
  <c r="S861" i="1"/>
  <c r="A862" i="1"/>
  <c r="B862" i="1"/>
  <c r="T862" i="1" l="1"/>
  <c r="U861" i="1" s="1"/>
  <c r="C862" i="1"/>
  <c r="D862" i="1"/>
  <c r="S862" i="1"/>
  <c r="A863" i="1"/>
  <c r="B863" i="1"/>
  <c r="T863" i="1" l="1"/>
  <c r="U862" i="1" s="1"/>
  <c r="C863" i="1"/>
  <c r="D863" i="1"/>
  <c r="S863" i="1"/>
  <c r="A864" i="1"/>
  <c r="B864" i="1"/>
  <c r="T864" i="1" l="1"/>
  <c r="U863" i="1" s="1"/>
  <c r="C864" i="1"/>
  <c r="D864" i="1"/>
  <c r="S864" i="1"/>
  <c r="A865" i="1"/>
  <c r="B865" i="1"/>
  <c r="T865" i="1" l="1"/>
  <c r="U864" i="1" s="1"/>
  <c r="C865" i="1"/>
  <c r="D865" i="1"/>
  <c r="S865" i="1"/>
  <c r="A866" i="1"/>
  <c r="B866" i="1"/>
  <c r="T866" i="1" l="1"/>
  <c r="U865" i="1" s="1"/>
  <c r="C866" i="1"/>
  <c r="D866" i="1"/>
  <c r="S866" i="1"/>
  <c r="A867" i="1"/>
  <c r="B867" i="1"/>
  <c r="T867" i="1" l="1"/>
  <c r="U866" i="1" s="1"/>
  <c r="C867" i="1"/>
  <c r="D867" i="1"/>
  <c r="S867" i="1"/>
  <c r="A868" i="1"/>
  <c r="B868" i="1"/>
  <c r="T868" i="1" l="1"/>
  <c r="U867" i="1" s="1"/>
  <c r="C868" i="1"/>
  <c r="D868" i="1"/>
  <c r="S868" i="1"/>
  <c r="A869" i="1"/>
  <c r="B869" i="1"/>
  <c r="T869" i="1" l="1"/>
  <c r="U868" i="1" s="1"/>
  <c r="C869" i="1"/>
  <c r="D869" i="1"/>
  <c r="S869" i="1"/>
  <c r="A870" i="1"/>
  <c r="B870" i="1"/>
  <c r="T870" i="1" l="1"/>
  <c r="U869" i="1" s="1"/>
  <c r="C870" i="1"/>
  <c r="D870" i="1"/>
  <c r="S870" i="1"/>
  <c r="A871" i="1"/>
  <c r="B871" i="1"/>
  <c r="T871" i="1" l="1"/>
  <c r="U870" i="1" s="1"/>
  <c r="C871" i="1"/>
  <c r="D871" i="1"/>
  <c r="S871" i="1"/>
  <c r="A872" i="1"/>
  <c r="B872" i="1"/>
  <c r="T872" i="1" l="1"/>
  <c r="U871" i="1" s="1"/>
  <c r="C872" i="1"/>
  <c r="D872" i="1"/>
  <c r="S872" i="1"/>
  <c r="A873" i="1"/>
  <c r="B873" i="1"/>
  <c r="T873" i="1" l="1"/>
  <c r="U872" i="1" s="1"/>
  <c r="C873" i="1"/>
  <c r="D873" i="1"/>
  <c r="S873" i="1"/>
  <c r="A874" i="1"/>
  <c r="B874" i="1"/>
  <c r="T874" i="1" l="1"/>
  <c r="U873" i="1" s="1"/>
  <c r="C874" i="1"/>
  <c r="D874" i="1"/>
  <c r="S874" i="1"/>
  <c r="A875" i="1"/>
  <c r="B875" i="1"/>
  <c r="T875" i="1" l="1"/>
  <c r="U874" i="1" s="1"/>
  <c r="C875" i="1"/>
  <c r="D875" i="1"/>
  <c r="S875" i="1"/>
  <c r="A876" i="1"/>
  <c r="B876" i="1"/>
  <c r="T876" i="1" l="1"/>
  <c r="U875" i="1" s="1"/>
  <c r="C876" i="1"/>
  <c r="D876" i="1"/>
  <c r="S876" i="1"/>
  <c r="A877" i="1"/>
  <c r="B877" i="1"/>
  <c r="T877" i="1" l="1"/>
  <c r="U876" i="1" s="1"/>
  <c r="C877" i="1"/>
  <c r="D877" i="1"/>
  <c r="S877" i="1"/>
  <c r="A878" i="1"/>
  <c r="B878" i="1"/>
  <c r="T878" i="1" l="1"/>
  <c r="U877" i="1" s="1"/>
  <c r="C878" i="1"/>
  <c r="D878" i="1"/>
  <c r="S878" i="1"/>
  <c r="A879" i="1"/>
  <c r="B879" i="1"/>
  <c r="T879" i="1" l="1"/>
  <c r="U878" i="1" s="1"/>
  <c r="C879" i="1"/>
  <c r="D879" i="1"/>
  <c r="S879" i="1"/>
  <c r="A880" i="1"/>
  <c r="B880" i="1"/>
  <c r="T880" i="1" l="1"/>
  <c r="U879" i="1" s="1"/>
  <c r="C880" i="1"/>
  <c r="D880" i="1"/>
  <c r="S880" i="1"/>
  <c r="A881" i="1"/>
  <c r="B881" i="1"/>
  <c r="T881" i="1" l="1"/>
  <c r="U880" i="1" s="1"/>
  <c r="C881" i="1"/>
  <c r="D881" i="1"/>
  <c r="S881" i="1"/>
  <c r="A882" i="1"/>
  <c r="B882" i="1"/>
  <c r="T882" i="1" l="1"/>
  <c r="U881" i="1" s="1"/>
  <c r="C882" i="1"/>
  <c r="D882" i="1"/>
  <c r="S882" i="1"/>
  <c r="A883" i="1"/>
  <c r="B883" i="1"/>
  <c r="S883" i="1" s="1"/>
  <c r="U883" i="1" s="1"/>
  <c r="T883" i="1" l="1"/>
  <c r="U882" i="1" s="1"/>
  <c r="C883" i="1"/>
  <c r="D88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D99E8F-5AC7-4AA4-9F67-26B85E20FC23}" keepAlive="1" name="Query - ASTROS" description="Connection to the 'ASTROS' query in the workbook." type="5" refreshedVersion="8" background="1" saveData="1">
    <dbPr connection="Provider=Microsoft.Mashup.OleDb.1;Data Source=$Workbook$;Location=ASTROS;Extended Properties=&quot;&quot;" command="SELECT * FROM [ASTROS]"/>
  </connection>
  <connection id="2" xr16:uid="{3DCF1D29-9FC2-4EB1-90E9-D13968031292}"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1EC80479-8E60-46CD-87DC-DDCA16249E54}" keepAlive="1" name="Query - HOLIDAYS" description="Connection to the 'HOLIDAYS' query in the workbook." type="5" refreshedVersion="8" background="1" saveData="1">
    <dbPr connection="Provider=Microsoft.Mashup.OleDb.1;Data Source=$Workbook$;Location=HOLIDAYS;Extended Properties=&quot;&quot;" command="SELECT * FROM [HOLIDAYS]"/>
  </connection>
</connections>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<sst xmlns="http://schemas.openxmlformats.org/spreadsheetml/2006/main" count="4070" uniqueCount="264">
  <si>
    <t>DATE</t>
  </si>
  <si>
    <t>AM/PM</t>
  </si>
  <si>
    <t>MONTH</t>
  </si>
  <si>
    <t>DOW</t>
  </si>
  <si>
    <t>SALES</t>
  </si>
  <si>
    <t>CC TIPS</t>
  </si>
  <si>
    <t>CASH</t>
  </si>
  <si>
    <t>TIPOUT</t>
  </si>
  <si>
    <t>WITHELD</t>
  </si>
  <si>
    <t>CASH CLAIMED</t>
  </si>
  <si>
    <t>NET CC TIPS</t>
  </si>
  <si>
    <t>HOURS</t>
  </si>
  <si>
    <t>MINUTES</t>
  </si>
  <si>
    <t>CONVERTED</t>
  </si>
  <si>
    <t>HOURLY PAY</t>
  </si>
  <si>
    <t>GROSS</t>
  </si>
  <si>
    <t>ACTUAL GROSS</t>
  </si>
  <si>
    <t>Shift Count</t>
  </si>
  <si>
    <t>AM SHIFTS</t>
  </si>
  <si>
    <t>PM SHIFTS FOLLOWING AN AM SHIFT</t>
  </si>
  <si>
    <t>SINGLE/DOUBLE</t>
  </si>
  <si>
    <r>
      <t>A.</t>
    </r>
    <r>
      <rPr>
        <sz val="7"/>
        <color theme="1"/>
        <rFont val="Times New Roman"/>
        <family val="1"/>
      </rPr>
      <t xml:space="preserve">      </t>
    </r>
    <r>
      <rPr>
        <b/>
        <sz val="11"/>
        <color theme="1"/>
        <rFont val="Aptos"/>
        <family val="2"/>
      </rPr>
      <t>DATE</t>
    </r>
    <r>
      <rPr>
        <sz val="11"/>
        <color theme="1"/>
        <rFont val="Aptos"/>
        <family val="2"/>
      </rPr>
      <t xml:space="preserve"> = The date corresponding to the row values.</t>
    </r>
  </si>
  <si>
    <r>
      <t>B.</t>
    </r>
    <r>
      <rPr>
        <sz val="7"/>
        <color theme="1"/>
        <rFont val="Times New Roman"/>
        <family val="1"/>
      </rPr>
      <t xml:space="preserve">      </t>
    </r>
    <r>
      <rPr>
        <b/>
        <sz val="11"/>
        <color theme="1"/>
        <rFont val="Aptos"/>
        <family val="2"/>
      </rPr>
      <t>AM/PM</t>
    </r>
    <r>
      <rPr>
        <sz val="11"/>
        <color theme="1"/>
        <rFont val="Aptos"/>
        <family val="2"/>
      </rPr>
      <t xml:space="preserve"> = Represents whether the shift was lunch or dinner. Each date has an entry for both AM &amp; PM.</t>
    </r>
  </si>
  <si>
    <r>
      <t>C.</t>
    </r>
    <r>
      <rPr>
        <sz val="7"/>
        <color theme="1"/>
        <rFont val="Times New Roman"/>
        <family val="1"/>
      </rPr>
      <t xml:space="preserve">     </t>
    </r>
    <r>
      <rPr>
        <b/>
        <sz val="11"/>
        <color theme="1"/>
        <rFont val="Aptos"/>
        <family val="2"/>
      </rPr>
      <t>MONTH</t>
    </r>
    <r>
      <rPr>
        <sz val="11"/>
        <color theme="1"/>
        <rFont val="Aptos"/>
        <family val="2"/>
      </rPr>
      <t xml:space="preserve"> = The month corresponding to the date in the row.</t>
    </r>
  </si>
  <si>
    <r>
      <t>D.</t>
    </r>
    <r>
      <rPr>
        <sz val="7"/>
        <color theme="1"/>
        <rFont val="Times New Roman"/>
        <family val="1"/>
      </rPr>
      <t xml:space="preserve">     </t>
    </r>
    <r>
      <rPr>
        <b/>
        <sz val="11"/>
        <color theme="1"/>
        <rFont val="Aptos"/>
        <family val="2"/>
      </rPr>
      <t>DOW</t>
    </r>
    <r>
      <rPr>
        <sz val="11"/>
        <color theme="1"/>
        <rFont val="Aptos"/>
        <family val="2"/>
      </rPr>
      <t xml:space="preserve"> = The day of the week corresponding to the date in the row.</t>
    </r>
  </si>
  <si>
    <r>
      <t>E.</t>
    </r>
    <r>
      <rPr>
        <sz val="7"/>
        <color theme="1"/>
        <rFont val="Times New Roman"/>
        <family val="1"/>
      </rPr>
      <t xml:space="preserve">      </t>
    </r>
    <r>
      <rPr>
        <b/>
        <sz val="11"/>
        <color theme="1"/>
        <rFont val="Aptos"/>
        <family val="2"/>
      </rPr>
      <t>SALES</t>
    </r>
    <r>
      <rPr>
        <sz val="11"/>
        <color theme="1"/>
        <rFont val="Aptos"/>
        <family val="2"/>
      </rPr>
      <t xml:space="preserve"> = A user input column where net sales from the corresponding shift are entered.</t>
    </r>
  </si>
  <si>
    <r>
      <t>F.</t>
    </r>
    <r>
      <rPr>
        <sz val="7"/>
        <color theme="1"/>
        <rFont val="Times New Roman"/>
        <family val="1"/>
      </rPr>
      <t xml:space="preserve">      </t>
    </r>
    <r>
      <rPr>
        <b/>
        <sz val="11"/>
        <color theme="1"/>
        <rFont val="Aptos"/>
        <family val="2"/>
      </rPr>
      <t>CC TIPS</t>
    </r>
    <r>
      <rPr>
        <sz val="11"/>
        <color theme="1"/>
        <rFont val="Aptos"/>
        <family val="2"/>
      </rPr>
      <t xml:space="preserve"> = A user input column where credit card tips from the shift are entered.</t>
    </r>
  </si>
  <si>
    <r>
      <t>G.</t>
    </r>
    <r>
      <rPr>
        <sz val="7"/>
        <color theme="1"/>
        <rFont val="Times New Roman"/>
        <family val="1"/>
      </rPr>
      <t xml:space="preserve">     </t>
    </r>
    <r>
      <rPr>
        <b/>
        <sz val="11"/>
        <color theme="1"/>
        <rFont val="Aptos"/>
        <family val="2"/>
      </rPr>
      <t>CASH</t>
    </r>
    <r>
      <rPr>
        <sz val="11"/>
        <color theme="1"/>
        <rFont val="Aptos"/>
        <family val="2"/>
      </rPr>
      <t xml:space="preserve"> = A user input where any cash tips are entered in their entirety.</t>
    </r>
  </si>
  <si>
    <r>
      <t>H.</t>
    </r>
    <r>
      <rPr>
        <sz val="7"/>
        <color theme="1"/>
        <rFont val="Times New Roman"/>
        <family val="1"/>
      </rPr>
      <t xml:space="preserve">     </t>
    </r>
    <r>
      <rPr>
        <b/>
        <sz val="11"/>
        <color theme="1"/>
        <rFont val="Aptos"/>
        <family val="2"/>
      </rPr>
      <t>TIPOUT</t>
    </r>
    <r>
      <rPr>
        <sz val="11"/>
        <color theme="1"/>
        <rFont val="Aptos"/>
        <family val="2"/>
      </rPr>
      <t xml:space="preserve"> = A calculated column representing money taken from what was earned on the shift. This money is given to support staff like bartenders or bussers. It is calculated at a rate of 4% of SALES.</t>
    </r>
  </si>
  <si>
    <r>
      <t>J.</t>
    </r>
    <r>
      <rPr>
        <sz val="7"/>
        <color theme="1"/>
        <rFont val="Times New Roman"/>
        <family val="1"/>
      </rPr>
      <t xml:space="preserve">        </t>
    </r>
    <r>
      <rPr>
        <b/>
        <sz val="11"/>
        <color theme="1"/>
        <rFont val="Aptos"/>
        <family val="2"/>
      </rPr>
      <t>CASH CLAIMED</t>
    </r>
    <r>
      <rPr>
        <sz val="11"/>
        <color theme="1"/>
        <rFont val="Aptos"/>
        <family val="2"/>
      </rPr>
      <t xml:space="preserve"> = A user input where cash tips are reported as earnings. If a customer pays with cash, we are required to report 8% of the final bill as cash tips. This is generally much less than the actual tip.</t>
    </r>
  </si>
  <si>
    <r>
      <t>L.</t>
    </r>
    <r>
      <rPr>
        <sz val="7"/>
        <color theme="1"/>
        <rFont val="Times New Roman"/>
        <family val="1"/>
      </rPr>
      <t xml:space="preserve">       </t>
    </r>
    <r>
      <rPr>
        <b/>
        <sz val="11"/>
        <color theme="1"/>
        <rFont val="Aptos"/>
        <family val="2"/>
      </rPr>
      <t>HOURS</t>
    </r>
    <r>
      <rPr>
        <sz val="11"/>
        <color theme="1"/>
        <rFont val="Aptos"/>
        <family val="2"/>
      </rPr>
      <t xml:space="preserve"> = A user input recording whole hours worked during the shift. For example, if 2 ½ hours are worked, 2 would be input here.</t>
    </r>
  </si>
  <si>
    <r>
      <t>M.</t>
    </r>
    <r>
      <rPr>
        <sz val="7"/>
        <color theme="1"/>
        <rFont val="Times New Roman"/>
        <family val="1"/>
      </rPr>
      <t xml:space="preserve">    </t>
    </r>
    <r>
      <rPr>
        <b/>
        <sz val="11"/>
        <color theme="1"/>
        <rFont val="Aptos"/>
        <family val="2"/>
      </rPr>
      <t>MINUTES</t>
    </r>
    <r>
      <rPr>
        <sz val="11"/>
        <color theme="1"/>
        <rFont val="Aptos"/>
        <family val="2"/>
      </rPr>
      <t xml:space="preserve"> = A user input recording values less than completed hours. For example,2 ½ hours would be input as 30 here.</t>
    </r>
  </si>
  <si>
    <r>
      <t>U.</t>
    </r>
    <r>
      <rPr>
        <sz val="7"/>
        <color theme="1"/>
        <rFont val="Times New Roman"/>
        <family val="1"/>
      </rPr>
      <t xml:space="preserve">     </t>
    </r>
    <r>
      <rPr>
        <b/>
        <sz val="11"/>
        <color theme="1"/>
        <rFont val="Aptos"/>
        <family val="2"/>
      </rPr>
      <t>SINGLE/DOUBLE</t>
    </r>
    <r>
      <rPr>
        <sz val="11"/>
        <color theme="1"/>
        <rFont val="Aptos"/>
        <family val="2"/>
      </rPr>
      <t xml:space="preserve"> = A calculated column indicating whether a single shift was worked on a given day or both the AM &amp; PM shift were worked. If both were worked, both the AM &amp; PM rows for the corresponding days are marked as DOUBLE. If only 1 shift was worked on the corresponding day, it is marked SINGLE.</t>
    </r>
  </si>
  <si>
    <r>
      <t>I.</t>
    </r>
    <r>
      <rPr>
        <sz val="7"/>
        <color theme="1"/>
        <rFont val="Times New Roman"/>
        <family val="1"/>
      </rPr>
      <t xml:space="preserve">        </t>
    </r>
    <r>
      <rPr>
        <b/>
        <sz val="11"/>
        <color theme="1"/>
        <rFont val="Aptos"/>
        <family val="2"/>
      </rPr>
      <t>WITHELD</t>
    </r>
    <r>
      <rPr>
        <sz val="11"/>
        <color theme="1"/>
        <rFont val="Aptos"/>
        <family val="2"/>
      </rPr>
      <t xml:space="preserve"> = A calculated column representing money taken to cover credit card processing fees. It is calculated at a rate of 1.68% of </t>
    </r>
    <r>
      <rPr>
        <sz val="11"/>
        <color rgb="FFFF0000"/>
        <rFont val="Aptos"/>
        <family val="2"/>
      </rPr>
      <t>CC TIPS</t>
    </r>
    <r>
      <rPr>
        <sz val="11"/>
        <color theme="1"/>
        <rFont val="Aptos"/>
        <family val="2"/>
      </rPr>
      <t>.</t>
    </r>
  </si>
  <si>
    <r>
      <t>K.</t>
    </r>
    <r>
      <rPr>
        <sz val="7"/>
        <color theme="1"/>
        <rFont val="Times New Roman"/>
        <family val="1"/>
      </rPr>
      <t>     </t>
    </r>
    <r>
      <rPr>
        <b/>
        <sz val="7"/>
        <color theme="1"/>
        <rFont val="Times New Roman"/>
        <family val="1"/>
      </rPr>
      <t xml:space="preserve"> </t>
    </r>
    <r>
      <rPr>
        <b/>
        <sz val="11"/>
        <color theme="1"/>
        <rFont val="Aptos"/>
        <family val="2"/>
      </rPr>
      <t>NET CC TIPS</t>
    </r>
    <r>
      <rPr>
        <sz val="11"/>
        <color theme="1"/>
        <rFont val="Aptos"/>
        <family val="2"/>
      </rPr>
      <t xml:space="preserve"> = A calculated column representing all credit card tips retained by the server after the shift. It is calculated as follows: </t>
    </r>
    <r>
      <rPr>
        <sz val="11"/>
        <color rgb="FFFF0000"/>
        <rFont val="Aptos"/>
        <family val="2"/>
      </rPr>
      <t>CC TIPS – (WITHELD + TIPOUT)</t>
    </r>
  </si>
  <si>
    <r>
      <t>N.</t>
    </r>
    <r>
      <rPr>
        <sz val="7"/>
        <color theme="1"/>
        <rFont val="Times New Roman"/>
        <family val="1"/>
      </rPr>
      <t xml:space="preserve">     </t>
    </r>
    <r>
      <rPr>
        <b/>
        <sz val="11"/>
        <color theme="1"/>
        <rFont val="Aptos"/>
        <family val="2"/>
      </rPr>
      <t>CONVERTED</t>
    </r>
    <r>
      <rPr>
        <sz val="11"/>
        <color theme="1"/>
        <rFont val="Aptos"/>
        <family val="2"/>
      </rPr>
      <t xml:space="preserve"> = A calculated column where </t>
    </r>
    <r>
      <rPr>
        <sz val="11"/>
        <color rgb="FFFF0000"/>
        <rFont val="Aptos"/>
        <family val="2"/>
      </rPr>
      <t>HOURS</t>
    </r>
    <r>
      <rPr>
        <sz val="11"/>
        <color theme="1"/>
        <rFont val="Aptos"/>
        <family val="2"/>
      </rPr>
      <t xml:space="preserve"> and </t>
    </r>
    <r>
      <rPr>
        <sz val="11"/>
        <color rgb="FFFF0000"/>
        <rFont val="Aptos"/>
        <family val="2"/>
      </rPr>
      <t>MINUTES</t>
    </r>
    <r>
      <rPr>
        <sz val="11"/>
        <color theme="1"/>
        <rFont val="Aptos"/>
        <family val="2"/>
      </rPr>
      <t xml:space="preserve"> are aggregated and converted. This time is converted from a base60 format to a base10 format to align with payroll time formatting. For example, if 2 is entered in the </t>
    </r>
    <r>
      <rPr>
        <sz val="11"/>
        <color rgb="FFFF0000"/>
        <rFont val="Aptos"/>
        <family val="2"/>
      </rPr>
      <t>HOURS</t>
    </r>
    <r>
      <rPr>
        <sz val="11"/>
        <color theme="1"/>
        <rFont val="Aptos"/>
        <family val="2"/>
      </rPr>
      <t xml:space="preserve"> column &amp; 45 in the </t>
    </r>
    <r>
      <rPr>
        <sz val="11"/>
        <color rgb="FFFF0000"/>
        <rFont val="Aptos"/>
        <family val="2"/>
      </rPr>
      <t>MINUTES</t>
    </r>
    <r>
      <rPr>
        <sz val="11"/>
        <color theme="1"/>
        <rFont val="Aptos"/>
        <family val="2"/>
      </rPr>
      <t xml:space="preserve"> column, </t>
    </r>
    <r>
      <rPr>
        <sz val="11"/>
        <color rgb="FFFF0000"/>
        <rFont val="Aptos"/>
        <family val="2"/>
      </rPr>
      <t>CONVERTED</t>
    </r>
    <r>
      <rPr>
        <sz val="11"/>
        <color theme="1"/>
        <rFont val="Aptos"/>
        <family val="2"/>
      </rPr>
      <t xml:space="preserve"> would show 2.75 as 45 minutes is 75% of an hour and the 2 from HOURS represents 2 complete hours.</t>
    </r>
  </si>
  <si>
    <r>
      <t>O.</t>
    </r>
    <r>
      <rPr>
        <sz val="7"/>
        <color theme="1"/>
        <rFont val="Times New Roman"/>
        <family val="1"/>
      </rPr>
      <t xml:space="preserve">     </t>
    </r>
    <r>
      <rPr>
        <b/>
        <sz val="11"/>
        <color theme="1"/>
        <rFont val="Aptos"/>
        <family val="2"/>
      </rPr>
      <t>HOURLY PAY</t>
    </r>
    <r>
      <rPr>
        <sz val="11"/>
        <color theme="1"/>
        <rFont val="Aptos"/>
        <family val="2"/>
      </rPr>
      <t xml:space="preserve"> = A calculated column representing the total dollars earned as hourly pay. It is calculated as follows: </t>
    </r>
    <r>
      <rPr>
        <sz val="11"/>
        <color rgb="FFFF0000"/>
        <rFont val="Aptos"/>
        <family val="2"/>
      </rPr>
      <t>CONVERTER</t>
    </r>
    <r>
      <rPr>
        <sz val="11"/>
        <color theme="1"/>
        <rFont val="Aptos"/>
        <family val="2"/>
      </rPr>
      <t xml:space="preserve"> * 2.13 (the 2.13 represents the $2.13 per hour earned by servers in the state of Texas).</t>
    </r>
  </si>
  <si>
    <r>
      <t>P.</t>
    </r>
    <r>
      <rPr>
        <sz val="7"/>
        <color theme="1"/>
        <rFont val="Times New Roman"/>
        <family val="1"/>
      </rPr>
      <t xml:space="preserve">      </t>
    </r>
    <r>
      <rPr>
        <b/>
        <sz val="11"/>
        <color theme="1"/>
        <rFont val="Aptos"/>
        <family val="2"/>
      </rPr>
      <t>GROSS</t>
    </r>
    <r>
      <rPr>
        <sz val="11"/>
        <color theme="1"/>
        <rFont val="Aptos"/>
        <family val="2"/>
      </rPr>
      <t xml:space="preserve"> = A calculated column representing total shift earnings pre-tax. This column represents total </t>
    </r>
    <r>
      <rPr>
        <i/>
        <u/>
        <sz val="11"/>
        <color theme="1"/>
        <rFont val="Aptos"/>
        <family val="2"/>
      </rPr>
      <t>reported</t>
    </r>
    <r>
      <rPr>
        <sz val="11"/>
        <color theme="1"/>
        <rFont val="Aptos"/>
        <family val="2"/>
      </rPr>
      <t xml:space="preserve"> earnings. It is calculated as follows: </t>
    </r>
    <r>
      <rPr>
        <sz val="11"/>
        <color rgb="FFFF0000"/>
        <rFont val="Aptos"/>
        <family val="2"/>
      </rPr>
      <t>(NET CC TIPS + CASH CLAIMED + HOURLY PAY) – (TIPOUT + WITHELD</t>
    </r>
    <r>
      <rPr>
        <sz val="11"/>
        <color theme="1"/>
        <rFont val="Aptos"/>
        <family val="2"/>
      </rPr>
      <t>).</t>
    </r>
  </si>
  <si>
    <r>
      <t>Q.</t>
    </r>
    <r>
      <rPr>
        <sz val="7"/>
        <color theme="1"/>
        <rFont val="Times New Roman"/>
        <family val="1"/>
      </rPr>
      <t xml:space="preserve">     </t>
    </r>
    <r>
      <rPr>
        <b/>
        <sz val="11"/>
        <color theme="1"/>
        <rFont val="Aptos"/>
        <family val="2"/>
      </rPr>
      <t>ACTUAL GROSS</t>
    </r>
    <r>
      <rPr>
        <sz val="11"/>
        <color theme="1"/>
        <rFont val="Aptos"/>
        <family val="2"/>
      </rPr>
      <t xml:space="preserve"> = A calculated column representing total shift earnings pre-tax. This column represents the actual total earnings. It is calculated as follows: </t>
    </r>
    <r>
      <rPr>
        <sz val="11"/>
        <color rgb="FFFF0000"/>
        <rFont val="Aptos"/>
        <family val="2"/>
      </rPr>
      <t>(NET CC TIPS + CASH + HOURLY PAY) – (TIPOUT + WITHELD)</t>
    </r>
    <r>
      <rPr>
        <sz val="11"/>
        <color theme="1"/>
        <rFont val="Aptos"/>
        <family val="2"/>
      </rPr>
      <t>.</t>
    </r>
  </si>
  <si>
    <r>
      <t>R.</t>
    </r>
    <r>
      <rPr>
        <sz val="7"/>
        <color theme="1"/>
        <rFont val="Times New Roman"/>
        <family val="1"/>
      </rPr>
      <t xml:space="preserve">      </t>
    </r>
    <r>
      <rPr>
        <b/>
        <sz val="11"/>
        <color theme="1"/>
        <rFont val="Aptos"/>
        <family val="2"/>
      </rPr>
      <t xml:space="preserve">SHIFT COUNT </t>
    </r>
    <r>
      <rPr>
        <sz val="11"/>
        <color theme="1"/>
        <rFont val="Aptos"/>
        <family val="2"/>
      </rPr>
      <t xml:space="preserve">= A calculated column used to maintain an accurate count of shifts worked. It is calculated based off the value in the </t>
    </r>
    <r>
      <rPr>
        <sz val="11"/>
        <color rgb="FFFF0000"/>
        <rFont val="Aptos"/>
        <family val="2"/>
      </rPr>
      <t>CONVERTED</t>
    </r>
    <r>
      <rPr>
        <sz val="11"/>
        <color theme="1"/>
        <rFont val="Aptos"/>
        <family val="2"/>
      </rPr>
      <t xml:space="preserve"> column, if the value is &gt;0, a 1 is generated.</t>
    </r>
  </si>
  <si>
    <r>
      <t>S.</t>
    </r>
    <r>
      <rPr>
        <sz val="7"/>
        <color theme="1"/>
        <rFont val="Times New Roman"/>
        <family val="1"/>
      </rPr>
      <t xml:space="preserve">      </t>
    </r>
    <r>
      <rPr>
        <b/>
        <sz val="11"/>
        <color theme="1"/>
        <rFont val="Aptos"/>
        <family val="2"/>
      </rPr>
      <t>AM SHIFTS</t>
    </r>
    <r>
      <rPr>
        <sz val="11"/>
        <color theme="1"/>
        <rFont val="Aptos"/>
        <family val="2"/>
      </rPr>
      <t xml:space="preserve"> = A calculated column used to identify lunch shifts. It is calculated by counting shifts where </t>
    </r>
    <r>
      <rPr>
        <sz val="11"/>
        <color rgb="FFFF0000"/>
        <rFont val="Aptos"/>
        <family val="2"/>
      </rPr>
      <t>AM/PM</t>
    </r>
    <r>
      <rPr>
        <sz val="11"/>
        <color theme="1"/>
        <rFont val="Aptos"/>
        <family val="2"/>
      </rPr>
      <t xml:space="preserve"> is equal to AM and the corresponding value in </t>
    </r>
    <r>
      <rPr>
        <sz val="11"/>
        <color rgb="FFFF0000"/>
        <rFont val="Aptos"/>
        <family val="2"/>
      </rPr>
      <t>CONVERTED</t>
    </r>
    <r>
      <rPr>
        <sz val="11"/>
        <color theme="1"/>
        <rFont val="Aptos"/>
        <family val="2"/>
      </rPr>
      <t xml:space="preserve"> is &gt;0.</t>
    </r>
  </si>
  <si>
    <r>
      <t>T.</t>
    </r>
    <r>
      <rPr>
        <sz val="7"/>
        <color theme="1"/>
        <rFont val="Times New Roman"/>
        <family val="1"/>
      </rPr>
      <t>      </t>
    </r>
    <r>
      <rPr>
        <b/>
        <sz val="7"/>
        <color theme="1"/>
        <rFont val="Times New Roman"/>
        <family val="1"/>
      </rPr>
      <t xml:space="preserve"> </t>
    </r>
    <r>
      <rPr>
        <b/>
        <sz val="11"/>
        <color theme="1"/>
        <rFont val="Aptos"/>
        <family val="2"/>
      </rPr>
      <t>PM SHIFTS FOLLOWING AN AM SHIFT</t>
    </r>
    <r>
      <rPr>
        <sz val="11"/>
        <color theme="1"/>
        <rFont val="Aptos"/>
        <family val="2"/>
      </rPr>
      <t xml:space="preserve">= A calculated column used to help identify PM shifts directly following AM shifts. It is calculated as follows: If the row’s </t>
    </r>
    <r>
      <rPr>
        <sz val="11"/>
        <color rgb="FFFF0000"/>
        <rFont val="Aptos"/>
        <family val="2"/>
      </rPr>
      <t>AM SHIFTS</t>
    </r>
    <r>
      <rPr>
        <sz val="11"/>
        <color theme="1"/>
        <rFont val="Aptos"/>
        <family val="2"/>
      </rPr>
      <t xml:space="preserve"> value =1 &amp; the next row’s </t>
    </r>
    <r>
      <rPr>
        <sz val="11"/>
        <color rgb="FFFF0000"/>
        <rFont val="Aptos"/>
        <family val="2"/>
      </rPr>
      <t>CONVERTED</t>
    </r>
    <r>
      <rPr>
        <sz val="11"/>
        <color theme="1"/>
        <rFont val="Aptos"/>
        <family val="2"/>
      </rPr>
      <t xml:space="preserve"> value is &gt;0, a 1 is generated. When lunch and dinner shifts(AM &amp; PM) are worked on the same day, it is considered a double. This classification will be handled by the next column.</t>
    </r>
  </si>
  <si>
    <t>AM</t>
  </si>
  <si>
    <t>June</t>
  </si>
  <si>
    <t>WED</t>
  </si>
  <si>
    <t>SINGLE</t>
  </si>
  <si>
    <t>PM</t>
  </si>
  <si>
    <t>THU</t>
  </si>
  <si>
    <t>FRI</t>
  </si>
  <si>
    <t>SAT</t>
  </si>
  <si>
    <t>SUN</t>
  </si>
  <si>
    <t>MON</t>
  </si>
  <si>
    <t>TUE</t>
  </si>
  <si>
    <t>July</t>
  </si>
  <si>
    <t>August</t>
  </si>
  <si>
    <t>DOUBLE</t>
  </si>
  <si>
    <t>September</t>
  </si>
  <si>
    <t>October</t>
  </si>
  <si>
    <t>November</t>
  </si>
  <si>
    <t>December</t>
  </si>
  <si>
    <t>January</t>
  </si>
  <si>
    <t>February</t>
  </si>
  <si>
    <t>March</t>
  </si>
  <si>
    <t>April</t>
  </si>
  <si>
    <t>May</t>
  </si>
  <si>
    <t>SALES_PER_HOUR</t>
  </si>
  <si>
    <t>INCOME_PER_HOUR</t>
  </si>
  <si>
    <t>I’ve been collecting this data since June of 2023 with the intent of using it to create a predictive model to forecast my sales and earnings. I’d like to start by explaining what the column headers represent and how the values are calculated. For more information on how columns are calculated, feel free to examine the RAW_DATA table directly.</t>
  </si>
  <si>
    <t>RAW_DATA EXPLANATION</t>
  </si>
  <si>
    <t>WEEKEND</t>
  </si>
  <si>
    <t>NAMED RANGE</t>
  </si>
  <si>
    <t>ALL_SALES</t>
  </si>
  <si>
    <t>References all entries in the SALES column greater than 0 from DATA</t>
  </si>
  <si>
    <t>REFERENCE</t>
  </si>
  <si>
    <t>DATA</t>
  </si>
  <si>
    <t>References the table on the WORKING_DATA sheet</t>
  </si>
  <si>
    <t>tempmax</t>
  </si>
  <si>
    <t>precip</t>
  </si>
  <si>
    <t>New Year's Eve</t>
  </si>
  <si>
    <t>Christmas Day</t>
  </si>
  <si>
    <t>Christmas Eve</t>
  </si>
  <si>
    <t>Black Friday</t>
  </si>
  <si>
    <t>Thanksgiving Day</t>
  </si>
  <si>
    <t>Veterans Day</t>
  </si>
  <si>
    <t>Election Day</t>
  </si>
  <si>
    <t>Halloween</t>
  </si>
  <si>
    <t>Columbus Day</t>
  </si>
  <si>
    <t>Labor Day</t>
  </si>
  <si>
    <t>Independence Day</t>
  </si>
  <si>
    <t>Juneteenth</t>
  </si>
  <si>
    <t>Father's Day</t>
  </si>
  <si>
    <t>Flag Day</t>
  </si>
  <si>
    <t>Memorial Day</t>
  </si>
  <si>
    <t>Mother's Day</t>
  </si>
  <si>
    <t>Cinco de Mayo</t>
  </si>
  <si>
    <t>Tax Day</t>
  </si>
  <si>
    <t>Easter Monday</t>
  </si>
  <si>
    <t>Easter Sunday</t>
  </si>
  <si>
    <t>St. Patrick's Day</t>
  </si>
  <si>
    <t>Presidents' Day</t>
  </si>
  <si>
    <t>Valentine's Day</t>
  </si>
  <si>
    <t>Martin Luther King Jr. Day</t>
  </si>
  <si>
    <t>New Year's Day</t>
  </si>
  <si>
    <t>'Veterans Day' day off</t>
  </si>
  <si>
    <t>'New Year's Day' day off</t>
  </si>
  <si>
    <t>HOLIDAY</t>
  </si>
  <si>
    <t>Blake Shelton</t>
  </si>
  <si>
    <t>Carly Pearce</t>
  </si>
  <si>
    <t>for King+Country</t>
  </si>
  <si>
    <t>50 Cent</t>
  </si>
  <si>
    <t>Hardy</t>
  </si>
  <si>
    <t>Ivan Cornejo</t>
  </si>
  <si>
    <t>Hank Williams jr.</t>
  </si>
  <si>
    <t>Oliver Anthony</t>
  </si>
  <si>
    <t>Jelly Roll</t>
  </si>
  <si>
    <t>Luke Bryan</t>
  </si>
  <si>
    <t>Major Lazer</t>
  </si>
  <si>
    <t>Lainey Wilson</t>
  </si>
  <si>
    <t>Los Tigres Del Norte</t>
  </si>
  <si>
    <t>Whiskey Meyers</t>
  </si>
  <si>
    <t>Bun B</t>
  </si>
  <si>
    <t>Nickleback</t>
  </si>
  <si>
    <t>Zac Brown Band</t>
  </si>
  <si>
    <t>Jonas Brothers</t>
  </si>
  <si>
    <t>Brad Paisley</t>
  </si>
  <si>
    <t>Eric Church</t>
  </si>
  <si>
    <t>ARTIST</t>
  </si>
  <si>
    <t>vs Chicago White Sox</t>
  </si>
  <si>
    <t>vs Detroit Tigers</t>
  </si>
  <si>
    <t>vs Texas Rangers</t>
  </si>
  <si>
    <t>vs Toronto Blue Jays</t>
  </si>
  <si>
    <t>vs Philadelphia Phillies</t>
  </si>
  <si>
    <t>vs San Francisco Giants</t>
  </si>
  <si>
    <t>vs Chicago Cubs</t>
  </si>
  <si>
    <t>vs Oakland Athletics</t>
  </si>
  <si>
    <t>vs Minnesota Twins</t>
  </si>
  <si>
    <t>vs Los Angeles Angels</t>
  </si>
  <si>
    <t>vs Washington Nationals</t>
  </si>
  <si>
    <t>vs Cincinnati Reds</t>
  </si>
  <si>
    <t>vs New York Mets</t>
  </si>
  <si>
    <t>vs Colorado Rockies</t>
  </si>
  <si>
    <t>vs Seattle Mariners</t>
  </si>
  <si>
    <t>vs Tampa Bay Rays</t>
  </si>
  <si>
    <t>vs Cleveland Guardians</t>
  </si>
  <si>
    <t>vs Boston Red Sox</t>
  </si>
  <si>
    <t>vs New York Yankees</t>
  </si>
  <si>
    <t>vs San Diego Padres</t>
  </si>
  <si>
    <t>vs Baltimore Orioles</t>
  </si>
  <si>
    <t>vs Kansas City Royals</t>
  </si>
  <si>
    <t>OPPONENT</t>
  </si>
  <si>
    <t>vs Atlanta Braves</t>
  </si>
  <si>
    <t>vs Milwaukee Brewers</t>
  </si>
  <si>
    <t>vs St. Louis Cardinals</t>
  </si>
  <si>
    <t>vs Miami Marlins</t>
  </si>
  <si>
    <t>vs Los Angeles Dodgers</t>
  </si>
  <si>
    <t>vs Pittsburgh Pirates</t>
  </si>
  <si>
    <t>INCOME</t>
  </si>
  <si>
    <r>
      <rPr>
        <sz val="11"/>
        <color theme="1"/>
        <rFont val="Aptos Narrow"/>
        <family val="2"/>
        <scheme val="minor"/>
      </rPr>
      <t xml:space="preserve">                                                         </t>
    </r>
    <r>
      <rPr>
        <b/>
        <u/>
        <sz val="11"/>
        <color theme="1"/>
        <rFont val="Aptos Narrow"/>
        <family val="2"/>
        <scheme val="minor"/>
      </rPr>
      <t xml:space="preserve"> WORKING DATA EXPLANATION
</t>
    </r>
    <r>
      <rPr>
        <sz val="11"/>
        <color theme="1"/>
        <rFont val="Aptos Narrow"/>
        <family val="2"/>
        <scheme val="minor"/>
      </rPr>
      <t>This document chronicles all changes made to the RAW_DATA table to arrive at the WORKING_DATA table. For the purposes of functions WORKING_DATA has been set to the named range DATA. This page documents all changes made to the data prior to analysis.</t>
    </r>
  </si>
  <si>
    <t>Row Labels</t>
  </si>
  <si>
    <t>Grand Total</t>
  </si>
  <si>
    <t>OBSERVATIONS</t>
  </si>
  <si>
    <t>Column Labels</t>
  </si>
  <si>
    <t>Var of SALES</t>
  </si>
  <si>
    <t>Var of SALES_PER_HOUR</t>
  </si>
  <si>
    <t>Var of INCOME</t>
  </si>
  <si>
    <t>Var of INCOME_PER_HOUR</t>
  </si>
  <si>
    <t>WEEKDAY</t>
  </si>
  <si>
    <t>Average of INCOME_PER_HOUR</t>
  </si>
  <si>
    <t>AVG SALES</t>
  </si>
  <si>
    <t>AVG INCOME</t>
  </si>
  <si>
    <t>AVG SALES_PER_HOUR</t>
  </si>
  <si>
    <t>AVG INCOME_PER_HOUR</t>
  </si>
  <si>
    <t>WEEKEND_CAT</t>
  </si>
  <si>
    <t>Var of HOURS</t>
  </si>
  <si>
    <t>AVG HOURS</t>
  </si>
  <si>
    <t>IS_SUN</t>
  </si>
  <si>
    <t>IS_MON</t>
  </si>
  <si>
    <t>IS_WED</t>
  </si>
  <si>
    <t>IS_THU</t>
  </si>
  <si>
    <t>IS_FRI</t>
  </si>
  <si>
    <t>IS_SAT</t>
  </si>
  <si>
    <t>IS_WKND</t>
  </si>
  <si>
    <t>IS_JAN</t>
  </si>
  <si>
    <t>IS_FEB</t>
  </si>
  <si>
    <t>IS_MAR</t>
  </si>
  <si>
    <t>IS_APR</t>
  </si>
  <si>
    <t>IS_MAY</t>
  </si>
  <si>
    <t>IS_JUN</t>
  </si>
  <si>
    <t>IS_AUG</t>
  </si>
  <si>
    <t>IS_SEP</t>
  </si>
  <si>
    <t>IS_OCT</t>
  </si>
  <si>
    <t>IS_NOV</t>
  </si>
  <si>
    <t>IS_DEC</t>
  </si>
  <si>
    <t>IS_PM</t>
  </si>
  <si>
    <t xml:space="preserve">1.      Copied data from original source </t>
  </si>
  <si>
    <t xml:space="preserve">2.      Pasted into new workbook on sheet RAW_DATA </t>
  </si>
  <si>
    <t>3.      Copied this data to new sheet WORKING DATA as values only</t>
  </si>
  <si>
    <t>4.      Deleted data outside the one year mark(July 2023 – July 2024)</t>
  </si>
  <si>
    <t>5.      Converted data to a table. The table is named DATA.</t>
  </si>
  <si>
    <t xml:space="preserve">6.      Deleted unnecessary columns </t>
  </si>
  <si>
    <t xml:space="preserve">CC TIPS, TIPOUT , WITHELD, CASH CLAIMED, NET CC TIPS, HOURS, MINUTES, HOURLY </t>
  </si>
  <si>
    <t>PAY, GROSS</t>
  </si>
  <si>
    <t xml:space="preserve">7.      Converted data to a table </t>
  </si>
  <si>
    <t>8.      Set correct format for each column:</t>
  </si>
  <si>
    <t xml:space="preserve">DATE = Short Date    AM/PM = Text    MONTH = Short Date    DOW = Short Date    SALES = </t>
  </si>
  <si>
    <t xml:space="preserve">Currency        CASH = Currency    CONVERTED = Number    ACTUAL GROSS = Currency     </t>
  </si>
  <si>
    <t xml:space="preserve">COUNT = Number    </t>
  </si>
  <si>
    <t>AM SHIFTS = Number    PM SHIFTS = Number    SINGLE/DOUBLE = Text</t>
  </si>
  <si>
    <t>9.      Created 2 new calculated columns:</t>
  </si>
  <si>
    <t xml:space="preserve">SALES_PER_HOUR = [@SALES]/{@CONVERTED], formatted as Currency </t>
  </si>
  <si>
    <t xml:space="preserve">INCOME_PER_HOUR = [@ACTUAL GROSS]/[@CONVERTED], formatted as Currency          </t>
  </si>
  <si>
    <t xml:space="preserve">WEEKEND = </t>
  </si>
  <si>
    <t>IFERROR(IF([@CONVERTED]0,0,SWITCH([@DOW],"FRI",IF([@[AM/PM]]="PM",1,0),</t>
  </si>
  <si>
    <t xml:space="preserve">"SAT",1,"SUN",1)),0), formatted as Number. </t>
  </si>
  <si>
    <t xml:space="preserve">This function tells us if a shift occurred on the weekend. The weekend is defined as Friday </t>
  </si>
  <si>
    <t xml:space="preserve">PM &amp; Saturday &amp; Sunday  AM &amp; PM. </t>
  </si>
  <si>
    <t>2.    Created WEATHER table. Contains the high temperature and rainfall near my business. I'll be examining the effect of these two variables on sales and income.</t>
  </si>
  <si>
    <t>3.    Created HOLIDAYS table. Contains common holidays falling during the time frame of this analysis (7/2023 - 7/2024).</t>
  </si>
  <si>
    <t>1.    Created ASTROS table. Contains the dates of Houston Astros home games falling between 2023 &amp; 2024. Baseball games have been known to have an effect on our business.</t>
  </si>
  <si>
    <t>1.    Converted DATA table back to a range for further manipulation.</t>
  </si>
  <si>
    <t>1.    Created RODEO table. Contains concert dates and artists for the 2023 Houston Livestock Show &amp; Rodeo. These events are considered to have a seasonal effect on business where I work.</t>
  </si>
  <si>
    <t>2.    Performed analysis on  SALES, INCOME, SALES_PER_HOUR &amp; INCOME_PER_HOUR. Looked at the average and variance values for these variables to determine which variables would be used as the basline variables &amp; excluded as new binary indicator columns. Determined Tuesday was the most appropriate day of the week &amp; July, the best month. Results can be seen on the      EDA_1     sheet</t>
  </si>
  <si>
    <t>3.    Created binary indicators for MONTH, DOW, AM/PM &amp; WEEKEND</t>
  </si>
  <si>
    <t>SALES PER HOUR</t>
  </si>
  <si>
    <t>INCOME PER HOUR</t>
  </si>
  <si>
    <t>HOURS WORKED</t>
  </si>
  <si>
    <t>WKND</t>
  </si>
  <si>
    <t>RODEO_ARTIST</t>
  </si>
  <si>
    <t>IS_RODEO</t>
  </si>
  <si>
    <t>ASTROS_GAME</t>
  </si>
  <si>
    <t>IS_ASTROS</t>
  </si>
  <si>
    <t>HIGH_TEMP</t>
  </si>
  <si>
    <t>RAINFALL</t>
  </si>
  <si>
    <t/>
  </si>
  <si>
    <t>NO GAME</t>
  </si>
  <si>
    <t>Colorado Rockies</t>
  </si>
  <si>
    <t>Seattle Mariners</t>
  </si>
  <si>
    <t>Texas Rangers</t>
  </si>
  <si>
    <t>Tampa Bay Rays</t>
  </si>
  <si>
    <t>Cleveland Guardians</t>
  </si>
  <si>
    <t>Los Angeles Angels</t>
  </si>
  <si>
    <t>Boston Red Sox</t>
  </si>
  <si>
    <t>New York Yankees</t>
  </si>
  <si>
    <t>San Diego Padres</t>
  </si>
  <si>
    <t>Oakland Athletics</t>
  </si>
  <si>
    <t>Baltimore Orioles</t>
  </si>
  <si>
    <t>Kansas City Royals</t>
  </si>
  <si>
    <t>Toronto Blue Jays</t>
  </si>
  <si>
    <t>Atlanta Braves</t>
  </si>
  <si>
    <t>Milwaukee Brewers</t>
  </si>
  <si>
    <t>Minnesota Twins</t>
  </si>
  <si>
    <t>St. Louis Cardinals</t>
  </si>
  <si>
    <t>Detroit Tigers</t>
  </si>
  <si>
    <t>4.    Created binary indicators for ASTROS &amp; RODEO</t>
  </si>
  <si>
    <t>1.    Restructured the data into 3 separate tables</t>
  </si>
  <si>
    <t xml:space="preserve">    a. MASTER_DATA contains all variables bot binary and categorical.</t>
  </si>
  <si>
    <t xml:space="preserve">         I did this so I could use the categorical data to generate the values for the binary data.</t>
  </si>
  <si>
    <t xml:space="preserve">         The Astros home schedule, weather data &amp; rodeo concert data were pulled in using xlookup based on the date column present in all associated tables.</t>
  </si>
  <si>
    <t xml:space="preserve">    b. DATA_CAT contains the categorical data &amp; was constructed by copying MASTER_DATA and pasting it as values only on a new sheet.</t>
  </si>
  <si>
    <t xml:space="preserve">         Then the binary columns were deleted, the remaining columns were organized &amp; the data converted to a table.</t>
  </si>
  <si>
    <t xml:space="preserve">         This was done to facilitate EDA and the creation of charts and graphs in a more human friendly format.</t>
  </si>
  <si>
    <t xml:space="preserve">    c. DATA_BIN contains binary data for the purpose of regression analysis and data modeling.</t>
  </si>
  <si>
    <t xml:space="preserve">         It was created in similar fashion to DATA_CAT where MASTER_DATA was copied and pasted into a new sheet, the uneccasary columns deleted </t>
  </si>
  <si>
    <t xml:space="preserve">         and then converted into 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</si>
</sst>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18"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
      <sz val="11"/>
      <color theme="2" tint="-0.89999084444715716"/>
      <name val="Aptos Narrow"/>
      <family val="2"/>
      <scheme val="minor"/>
    </font>
    <font>
      <sz val="11"/>
      <color theme="1"/>
      <name val="Aptos"/>
      <family val="2"/>
    </font>
    <font>
      <sz val="7"/>
      <color theme="1"/>
      <name val="Times New Roman"/>
      <family val="1"/>
    </font>
    <font>
      <i/>
      <u/>
      <sz val="11"/>
      <color theme="1"/>
      <name val="Aptos"/>
      <family val="2"/>
    </font>
    <font>
      <b/>
      <sz val="11"/>
      <color theme="1"/>
      <name val="Aptos"/>
      <family val="2"/>
    </font>
    <font>
      <b/>
      <sz val="7"/>
      <color theme="1"/>
      <name val="Times New Roman"/>
      <family val="1"/>
    </font>
    <font>
      <sz val="11"/>
      <color rgb="FFFF0000"/>
      <name val="Aptos"/>
      <family val="2"/>
    </font>
    <font>
      <b/>
      <u/>
      <sz val="11"/>
      <color theme="1"/>
      <name val="Aptos Narrow"/>
      <family val="2"/>
      <scheme val="minor"/>
    </font>
    <font>
      <sz val="8"/>
      <name val="Aptos Narrow"/>
      <family val="2"/>
      <scheme val="minor"/>
    </font>
    <font>
      <b/>
      <u/>
      <sz val="11"/>
      <color rgb="FF000000"/>
      <name val="Aptos Narrow"/>
      <family val="2"/>
      <scheme val="minor"/>
    </font>
    <font>
      <sz val="11"/>
      <color rgb="FF000000"/>
      <name val="Aptos Narrow"/>
      <family val="2"/>
      <scheme val="minor"/>
    </font>
    <font>
      <b/>
      <sz val="26"/>
      <color theme="1"/>
      <name val="Aptos Narrow"/>
      <family val="2"/>
      <scheme val="minor"/>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187">
    <xf numFmtId="0" fontId="0" fillId="0" borderId="0" xfId="0"/>
    <xf numFmtId="14" fontId="5" fillId="2" borderId="1" xfId="0" applyNumberFormat="1" applyFont="1" applyFill="1" applyBorder="1"/>
    <xf numFmtId="49" fontId="5" fillId="2" borderId="2" xfId="0" applyNumberFormat="1" applyFont="1" applyFill="1" applyBorder="1"/>
    <xf numFmtId="14" fontId="5" fillId="2" borderId="2" xfId="0" applyNumberFormat="1" applyFont="1" applyFill="1" applyBorder="1"/>
    <xf numFmtId="164" fontId="5" fillId="2" borderId="2" xfId="0" applyNumberFormat="1" applyFont="1" applyFill="1" applyBorder="1"/>
    <xf numFmtId="1" fontId="5" fillId="2" borderId="2" xfId="0" applyNumberFormat="1" applyFont="1" applyFill="1" applyBorder="1"/>
    <xf numFmtId="2" fontId="5" fillId="2" borderId="2" xfId="0" applyNumberFormat="1" applyFont="1" applyFill="1" applyBorder="1"/>
    <xf numFmtId="164" fontId="5" fillId="2" borderId="3" xfId="0" applyNumberFormat="1" applyFont="1" applyFill="1" applyBorder="1"/>
    <xf numFmtId="1" fontId="5" fillId="2" borderId="4" xfId="0" applyNumberFormat="1" applyFont="1" applyFill="1" applyBorder="1"/>
    <xf numFmtId="1" fontId="5" fillId="2" borderId="4" xfId="0" applyNumberFormat="1" applyFont="1" applyFill="1" applyBorder="1" applyAlignment="1">
      <alignment wrapText="1"/>
    </xf>
    <xf numFmtId="49" fontId="3" fillId="2" borderId="0" xfId="0" applyNumberFormat="1" applyFont="1" applyFill="1"/>
    <xf numFmtId="14" fontId="0" fillId="2" borderId="1" xfId="0" applyNumberFormat="1" applyFill="1" applyBorder="1"/>
    <xf numFmtId="49" fontId="0" fillId="2" borderId="2" xfId="0" applyNumberFormat="1" applyFill="1" applyBorder="1"/>
    <xf numFmtId="14" fontId="0" fillId="2" borderId="2" xfId="0" applyNumberFormat="1" applyFill="1" applyBorder="1"/>
    <xf numFmtId="164" fontId="0" fillId="2" borderId="2" xfId="0" applyNumberFormat="1" applyFill="1" applyBorder="1"/>
    <xf numFmtId="1" fontId="0" fillId="2" borderId="2" xfId="0" applyNumberFormat="1" applyFill="1" applyBorder="1"/>
    <xf numFmtId="2" fontId="0" fillId="2" borderId="2" xfId="0" applyNumberFormat="1" applyFill="1" applyBorder="1"/>
    <xf numFmtId="164" fontId="6" fillId="2" borderId="2" xfId="0" applyNumberFormat="1" applyFont="1" applyFill="1" applyBorder="1"/>
    <xf numFmtId="164" fontId="6" fillId="2" borderId="3" xfId="0" applyNumberFormat="1" applyFont="1" applyFill="1" applyBorder="1"/>
    <xf numFmtId="1" fontId="6" fillId="2" borderId="0" xfId="0" applyNumberFormat="1" applyFont="1" applyFill="1"/>
    <xf numFmtId="49" fontId="6" fillId="2" borderId="0" xfId="0" quotePrefix="1" applyNumberFormat="1" applyFont="1" applyFill="1"/>
    <xf numFmtId="14" fontId="0" fillId="2" borderId="5" xfId="0" applyNumberFormat="1" applyFill="1" applyBorder="1"/>
    <xf numFmtId="49" fontId="0" fillId="2" borderId="6" xfId="0" applyNumberFormat="1" applyFill="1" applyBorder="1"/>
    <xf numFmtId="14" fontId="0" fillId="2" borderId="6" xfId="0" applyNumberFormat="1" applyFill="1" applyBorder="1"/>
    <xf numFmtId="164" fontId="0" fillId="2" borderId="6" xfId="0" applyNumberFormat="1" applyFill="1" applyBorder="1"/>
    <xf numFmtId="1" fontId="0" fillId="2" borderId="6" xfId="0" applyNumberFormat="1" applyFill="1" applyBorder="1"/>
    <xf numFmtId="2" fontId="0" fillId="2" borderId="6" xfId="0" applyNumberFormat="1" applyFill="1" applyBorder="1"/>
    <xf numFmtId="164" fontId="6" fillId="2" borderId="6" xfId="0" applyNumberFormat="1" applyFont="1" applyFill="1" applyBorder="1"/>
    <xf numFmtId="164" fontId="6" fillId="2" borderId="7" xfId="0" applyNumberFormat="1" applyFont="1" applyFill="1" applyBorder="1"/>
    <xf numFmtId="164" fontId="0" fillId="2" borderId="7" xfId="0" applyNumberFormat="1" applyFill="1" applyBorder="1"/>
    <xf numFmtId="1" fontId="0" fillId="2" borderId="0" xfId="0" applyNumberFormat="1" applyFill="1"/>
    <xf numFmtId="14" fontId="0" fillId="3" borderId="5" xfId="0" applyNumberFormat="1" applyFill="1" applyBorder="1"/>
    <xf numFmtId="49" fontId="0" fillId="3" borderId="6" xfId="0" applyNumberFormat="1" applyFill="1" applyBorder="1"/>
    <xf numFmtId="14" fontId="0" fillId="3" borderId="6" xfId="0" applyNumberFormat="1" applyFill="1" applyBorder="1"/>
    <xf numFmtId="14" fontId="0" fillId="3" borderId="2" xfId="0" applyNumberFormat="1" applyFill="1" applyBorder="1"/>
    <xf numFmtId="164" fontId="0" fillId="3" borderId="6" xfId="0" applyNumberFormat="1" applyFill="1" applyBorder="1"/>
    <xf numFmtId="1" fontId="0" fillId="3" borderId="6" xfId="0" applyNumberFormat="1" applyFill="1" applyBorder="1"/>
    <xf numFmtId="2" fontId="0" fillId="3" borderId="6" xfId="0" applyNumberFormat="1" applyFill="1" applyBorder="1"/>
    <xf numFmtId="164" fontId="0" fillId="3" borderId="7" xfId="0" applyNumberFormat="1" applyFill="1" applyBorder="1"/>
    <xf numFmtId="1" fontId="0" fillId="3" borderId="0" xfId="0" applyNumberFormat="1" applyFill="1"/>
    <xf numFmtId="1" fontId="6" fillId="3" borderId="0" xfId="0" applyNumberFormat="1" applyFont="1" applyFill="1"/>
    <xf numFmtId="49" fontId="6" fillId="3" borderId="0" xfId="0" quotePrefix="1" applyNumberFormat="1" applyFont="1" applyFill="1"/>
    <xf numFmtId="14" fontId="4" fillId="4" borderId="5" xfId="0" applyNumberFormat="1" applyFont="1" applyFill="1" applyBorder="1"/>
    <xf numFmtId="49" fontId="4" fillId="4" borderId="6" xfId="0" applyNumberFormat="1" applyFont="1" applyFill="1" applyBorder="1"/>
    <xf numFmtId="14" fontId="4" fillId="4" borderId="6" xfId="0" applyNumberFormat="1" applyFont="1" applyFill="1" applyBorder="1"/>
    <xf numFmtId="14" fontId="4" fillId="4" borderId="2" xfId="0" applyNumberFormat="1" applyFont="1" applyFill="1" applyBorder="1"/>
    <xf numFmtId="164" fontId="4" fillId="4" borderId="6" xfId="0" applyNumberFormat="1" applyFont="1" applyFill="1" applyBorder="1"/>
    <xf numFmtId="1" fontId="4" fillId="4" borderId="6" xfId="0" applyNumberFormat="1" applyFont="1" applyFill="1" applyBorder="1"/>
    <xf numFmtId="2" fontId="4" fillId="4" borderId="6" xfId="0" applyNumberFormat="1" applyFont="1" applyFill="1" applyBorder="1"/>
    <xf numFmtId="164" fontId="4" fillId="4" borderId="7" xfId="0" applyNumberFormat="1" applyFont="1" applyFill="1" applyBorder="1"/>
    <xf numFmtId="1" fontId="4" fillId="4" borderId="0" xfId="0" applyNumberFormat="1" applyFont="1" applyFill="1"/>
    <xf numFmtId="49" fontId="4" fillId="4" borderId="0" xfId="0" quotePrefix="1" applyNumberFormat="1" applyFont="1" applyFill="1"/>
    <xf numFmtId="164" fontId="0" fillId="2" borderId="6" xfId="1" applyNumberFormat="1" applyFont="1" applyFill="1" applyBorder="1"/>
    <xf numFmtId="164" fontId="0" fillId="2" borderId="7" xfId="1" applyNumberFormat="1" applyFont="1" applyFill="1" applyBorder="1"/>
    <xf numFmtId="14" fontId="0" fillId="5" borderId="5" xfId="0" applyNumberFormat="1" applyFill="1" applyBorder="1"/>
    <xf numFmtId="49" fontId="0" fillId="5" borderId="6" xfId="0" applyNumberFormat="1" applyFill="1" applyBorder="1"/>
    <xf numFmtId="14" fontId="0" fillId="5" borderId="6" xfId="0" applyNumberFormat="1" applyFill="1" applyBorder="1"/>
    <xf numFmtId="14" fontId="0" fillId="5" borderId="2" xfId="0" applyNumberFormat="1" applyFill="1" applyBorder="1"/>
    <xf numFmtId="164" fontId="0" fillId="5" borderId="6" xfId="0" applyNumberFormat="1" applyFill="1" applyBorder="1"/>
    <xf numFmtId="1" fontId="0" fillId="5" borderId="6" xfId="0" applyNumberFormat="1" applyFill="1" applyBorder="1"/>
    <xf numFmtId="2" fontId="0" fillId="5" borderId="6" xfId="0" applyNumberFormat="1" applyFill="1" applyBorder="1"/>
    <xf numFmtId="164" fontId="0" fillId="5" borderId="7" xfId="0" applyNumberFormat="1" applyFill="1" applyBorder="1"/>
    <xf numFmtId="1" fontId="0" fillId="5" borderId="0" xfId="0" applyNumberFormat="1" applyFill="1"/>
    <xf numFmtId="1" fontId="6" fillId="5" borderId="0" xfId="0" applyNumberFormat="1" applyFont="1" applyFill="1"/>
    <xf numFmtId="49" fontId="6" fillId="5" borderId="0" xfId="0" quotePrefix="1" applyNumberFormat="1" applyFont="1" applyFill="1"/>
    <xf numFmtId="164" fontId="2" fillId="2" borderId="6" xfId="0" applyNumberFormat="1" applyFont="1" applyFill="1" applyBorder="1"/>
    <xf numFmtId="1" fontId="2" fillId="2" borderId="6" xfId="0" applyNumberFormat="1" applyFont="1" applyFill="1" applyBorder="1"/>
    <xf numFmtId="2" fontId="2" fillId="2" borderId="6" xfId="0" applyNumberFormat="1" applyFont="1" applyFill="1" applyBorder="1"/>
    <xf numFmtId="164" fontId="2" fillId="2" borderId="7" xfId="0" applyNumberFormat="1" applyFont="1" applyFill="1" applyBorder="1"/>
    <xf numFmtId="1" fontId="2" fillId="2" borderId="0" xfId="0" applyNumberFormat="1" applyFont="1" applyFill="1"/>
    <xf numFmtId="14" fontId="0" fillId="2" borderId="8" xfId="0" applyNumberFormat="1" applyFill="1" applyBorder="1"/>
    <xf numFmtId="49" fontId="0" fillId="2" borderId="9" xfId="0" applyNumberFormat="1" applyFill="1" applyBorder="1"/>
    <xf numFmtId="14" fontId="0" fillId="2" borderId="9" xfId="0" applyNumberFormat="1" applyFill="1" applyBorder="1"/>
    <xf numFmtId="164" fontId="0" fillId="2" borderId="9" xfId="0" applyNumberFormat="1" applyFill="1" applyBorder="1"/>
    <xf numFmtId="1" fontId="0" fillId="2" borderId="9" xfId="0" applyNumberFormat="1" applyFill="1" applyBorder="1"/>
    <xf numFmtId="2" fontId="0" fillId="2" borderId="9" xfId="0" applyNumberFormat="1" applyFill="1" applyBorder="1"/>
    <xf numFmtId="164" fontId="0" fillId="2" borderId="10" xfId="0" applyNumberFormat="1" applyFill="1" applyBorder="1"/>
    <xf numFmtId="14" fontId="0" fillId="5" borderId="8" xfId="0" applyNumberFormat="1" applyFill="1" applyBorder="1"/>
    <xf numFmtId="49" fontId="0" fillId="5" borderId="9" xfId="0" applyNumberFormat="1" applyFill="1" applyBorder="1"/>
    <xf numFmtId="14" fontId="0" fillId="5" borderId="9" xfId="0" applyNumberFormat="1" applyFill="1" applyBorder="1"/>
    <xf numFmtId="164" fontId="0" fillId="5" borderId="9" xfId="0" applyNumberFormat="1" applyFill="1" applyBorder="1"/>
    <xf numFmtId="1" fontId="0" fillId="5" borderId="9" xfId="0" applyNumberFormat="1" applyFill="1" applyBorder="1"/>
    <xf numFmtId="2" fontId="0" fillId="5" borderId="9" xfId="0" applyNumberFormat="1" applyFill="1" applyBorder="1"/>
    <xf numFmtId="164" fontId="0" fillId="5" borderId="10" xfId="0" applyNumberFormat="1" applyFill="1" applyBorder="1"/>
    <xf numFmtId="14" fontId="0" fillId="6" borderId="8" xfId="0" applyNumberFormat="1" applyFill="1" applyBorder="1"/>
    <xf numFmtId="49" fontId="0" fillId="6" borderId="9" xfId="0" applyNumberFormat="1" applyFill="1" applyBorder="1"/>
    <xf numFmtId="14" fontId="0" fillId="6" borderId="9" xfId="0" applyNumberFormat="1" applyFill="1" applyBorder="1"/>
    <xf numFmtId="14" fontId="0" fillId="6" borderId="2" xfId="0" applyNumberFormat="1" applyFill="1" applyBorder="1"/>
    <xf numFmtId="164" fontId="0" fillId="6" borderId="9" xfId="0" applyNumberFormat="1" applyFill="1" applyBorder="1"/>
    <xf numFmtId="1" fontId="0" fillId="6" borderId="9" xfId="0" applyNumberFormat="1" applyFill="1" applyBorder="1"/>
    <xf numFmtId="164" fontId="0" fillId="6" borderId="10" xfId="0" applyNumberFormat="1" applyFill="1" applyBorder="1"/>
    <xf numFmtId="49" fontId="6" fillId="6" borderId="0" xfId="0" quotePrefix="1" applyNumberFormat="1" applyFont="1" applyFill="1"/>
    <xf numFmtId="14" fontId="0" fillId="7" borderId="8" xfId="0" applyNumberFormat="1" applyFill="1" applyBorder="1"/>
    <xf numFmtId="49" fontId="0" fillId="7" borderId="9" xfId="0" applyNumberFormat="1" applyFill="1" applyBorder="1"/>
    <xf numFmtId="14" fontId="0" fillId="7" borderId="9" xfId="0" applyNumberFormat="1" applyFill="1" applyBorder="1"/>
    <xf numFmtId="14" fontId="0" fillId="7" borderId="2" xfId="0" applyNumberFormat="1" applyFill="1" applyBorder="1"/>
    <xf numFmtId="164" fontId="0" fillId="7" borderId="9" xfId="0" applyNumberFormat="1" applyFill="1" applyBorder="1"/>
    <xf numFmtId="1" fontId="0" fillId="7" borderId="9" xfId="0" applyNumberFormat="1" applyFill="1" applyBorder="1"/>
    <xf numFmtId="2" fontId="0" fillId="7" borderId="9" xfId="0" applyNumberFormat="1" applyFill="1" applyBorder="1"/>
    <xf numFmtId="164" fontId="0" fillId="7" borderId="10" xfId="0" applyNumberFormat="1" applyFill="1" applyBorder="1"/>
    <xf numFmtId="1" fontId="0" fillId="7" borderId="0" xfId="0" applyNumberFormat="1" applyFill="1"/>
    <xf numFmtId="1" fontId="6" fillId="7" borderId="0" xfId="0" applyNumberFormat="1" applyFont="1" applyFill="1"/>
    <xf numFmtId="49" fontId="6" fillId="7" borderId="0" xfId="0" quotePrefix="1" applyNumberFormat="1" applyFont="1" applyFill="1"/>
    <xf numFmtId="165" fontId="0" fillId="2" borderId="9" xfId="0" applyNumberFormat="1" applyFill="1" applyBorder="1"/>
    <xf numFmtId="14" fontId="0" fillId="8" borderId="8" xfId="0" applyNumberFormat="1" applyFill="1" applyBorder="1"/>
    <xf numFmtId="49" fontId="0" fillId="8" borderId="9" xfId="0" applyNumberFormat="1" applyFill="1" applyBorder="1"/>
    <xf numFmtId="14" fontId="0" fillId="8" borderId="9" xfId="0" applyNumberFormat="1" applyFill="1" applyBorder="1"/>
    <xf numFmtId="14" fontId="0" fillId="8" borderId="2" xfId="0" applyNumberFormat="1" applyFill="1" applyBorder="1"/>
    <xf numFmtId="164" fontId="0" fillId="8" borderId="9" xfId="0" applyNumberFormat="1" applyFill="1" applyBorder="1"/>
    <xf numFmtId="1" fontId="0" fillId="8" borderId="9" xfId="0" applyNumberFormat="1" applyFill="1" applyBorder="1"/>
    <xf numFmtId="2" fontId="0" fillId="8" borderId="9" xfId="0" applyNumberFormat="1" applyFill="1" applyBorder="1"/>
    <xf numFmtId="164" fontId="0" fillId="8" borderId="10" xfId="0" applyNumberFormat="1" applyFill="1" applyBorder="1"/>
    <xf numFmtId="1" fontId="0" fillId="8" borderId="0" xfId="0" applyNumberFormat="1" applyFill="1"/>
    <xf numFmtId="1" fontId="6" fillId="8" borderId="0" xfId="0" applyNumberFormat="1" applyFont="1" applyFill="1"/>
    <xf numFmtId="49" fontId="6" fillId="8" borderId="0" xfId="0" quotePrefix="1" applyNumberFormat="1" applyFont="1" applyFill="1"/>
    <xf numFmtId="49" fontId="6" fillId="2" borderId="0" xfId="0" applyNumberFormat="1" applyFont="1" applyFill="1"/>
    <xf numFmtId="49" fontId="0" fillId="2" borderId="0" xfId="0" applyNumberFormat="1" applyFill="1"/>
    <xf numFmtId="0" fontId="7" fillId="0" borderId="0" xfId="0" applyFont="1" applyAlignment="1">
      <alignment vertical="center"/>
    </xf>
    <xf numFmtId="0" fontId="7" fillId="0" borderId="0" xfId="0" applyFont="1" applyAlignment="1">
      <alignment horizontal="left" vertical="center" indent="12"/>
    </xf>
    <xf numFmtId="0" fontId="7" fillId="0" borderId="0" xfId="0" applyFont="1" applyAlignment="1">
      <alignment vertical="top" wrapText="1"/>
    </xf>
    <xf numFmtId="14" fontId="0" fillId="0" borderId="0" xfId="0" applyNumberFormat="1"/>
    <xf numFmtId="49" fontId="0" fillId="0" borderId="0" xfId="0" applyNumberFormat="1"/>
    <xf numFmtId="164" fontId="0" fillId="0" borderId="0" xfId="0" applyNumberFormat="1"/>
    <xf numFmtId="2" fontId="0" fillId="0" borderId="0" xfId="0" applyNumberFormat="1"/>
    <xf numFmtId="1" fontId="0" fillId="0" borderId="0" xfId="0" applyNumberFormat="1"/>
    <xf numFmtId="0" fontId="2" fillId="9" borderId="0" xfId="0" applyFont="1" applyFill="1"/>
    <xf numFmtId="0" fontId="0" fillId="0" borderId="0" xfId="0" applyAlignment="1">
      <alignment vertical="top" wrapText="1"/>
    </xf>
    <xf numFmtId="0" fontId="3" fillId="0" borderId="0" xfId="0" applyFont="1" applyAlignment="1">
      <alignment horizontal="center"/>
    </xf>
    <xf numFmtId="0" fontId="3" fillId="0" borderId="0" xfId="0" applyFont="1"/>
    <xf numFmtId="0" fontId="0" fillId="10" borderId="6" xfId="0" applyFill="1" applyBorder="1"/>
    <xf numFmtId="14" fontId="0" fillId="11" borderId="0" xfId="0" applyNumberFormat="1" applyFill="1" applyAlignment="1">
      <alignment vertical="top" wrapText="1"/>
    </xf>
    <xf numFmtId="14" fontId="0" fillId="0" borderId="0" xfId="0" applyNumberFormat="1" applyAlignment="1">
      <alignment horizontal="right"/>
    </xf>
    <xf numFmtId="14" fontId="3" fillId="0" borderId="0" xfId="0" applyNumberFormat="1" applyFont="1"/>
    <xf numFmtId="0" fontId="0" fillId="0" borderId="0" xfId="0" pivotButton="1"/>
    <xf numFmtId="0" fontId="0" fillId="0" borderId="0" xfId="0" applyAlignment="1">
      <alignment horizontal="left"/>
    </xf>
    <xf numFmtId="49" fontId="3" fillId="0" borderId="0" xfId="0" applyNumberFormat="1" applyFont="1"/>
    <xf numFmtId="164" fontId="0" fillId="0" borderId="11" xfId="0" applyNumberFormat="1" applyBorder="1"/>
    <xf numFmtId="0" fontId="0" fillId="0" borderId="0" xfId="0" applyAlignment="1">
      <alignment wrapText="1"/>
    </xf>
    <xf numFmtId="0" fontId="0" fillId="0" borderId="0" xfId="0" pivotButton="1" applyAlignment="1">
      <alignment wrapText="1"/>
    </xf>
    <xf numFmtId="1" fontId="0" fillId="0" borderId="0" xfId="0" applyNumberFormat="1" applyAlignment="1">
      <alignment wrapText="1"/>
    </xf>
    <xf numFmtId="0" fontId="0" fillId="0" borderId="0" xfId="0" applyAlignment="1">
      <alignment horizontal="left" wrapText="1"/>
    </xf>
    <xf numFmtId="14" fontId="15" fillId="0" borderId="0" xfId="0" applyNumberFormat="1" applyFont="1"/>
    <xf numFmtId="0" fontId="16" fillId="0" borderId="0" xfId="0" applyFont="1"/>
    <xf numFmtId="14" fontId="0" fillId="0" borderId="6" xfId="0" applyNumberFormat="1" applyBorder="1"/>
    <xf numFmtId="0" fontId="0" fillId="0" borderId="6" xfId="0" applyBorder="1"/>
    <xf numFmtId="0" fontId="0" fillId="14" borderId="6" xfId="0" applyFill="1" applyBorder="1"/>
    <xf numFmtId="0" fontId="0" fillId="12" borderId="6" xfId="0" applyFill="1" applyBorder="1"/>
    <xf numFmtId="0" fontId="0" fillId="13" borderId="6" xfId="0" applyFill="1" applyBorder="1"/>
    <xf numFmtId="2" fontId="0" fillId="0" borderId="6" xfId="0" applyNumberFormat="1" applyBorder="1"/>
    <xf numFmtId="164" fontId="0" fillId="0" borderId="6" xfId="0" applyNumberFormat="1" applyBorder="1"/>
    <xf numFmtId="49" fontId="0" fillId="0" borderId="6" xfId="0" applyNumberFormat="1" applyBorder="1"/>
    <xf numFmtId="49" fontId="0" fillId="14" borderId="6" xfId="0" applyNumberFormat="1" applyFill="1" applyBorder="1"/>
    <xf numFmtId="14" fontId="0" fillId="12" borderId="6" xfId="0" applyNumberFormat="1" applyFill="1" applyBorder="1"/>
    <xf numFmtId="14" fontId="0" fillId="13" borderId="6" xfId="0" applyNumberFormat="1" applyFill="1" applyBorder="1"/>
    <xf numFmtId="164" fontId="0" fillId="10" borderId="6" xfId="0" applyNumberFormat="1" applyFill="1" applyBorder="1"/>
    <xf numFmtId="14" fontId="0" fillId="0" borderId="5" xfId="0" applyNumberFormat="1" applyBorder="1"/>
    <xf numFmtId="164" fontId="0" fillId="0" borderId="7" xfId="0" applyNumberFormat="1" applyBorder="1"/>
    <xf numFmtId="14" fontId="0" fillId="0" borderId="1" xfId="0" applyNumberFormat="1" applyBorder="1"/>
    <xf numFmtId="0" fontId="0" fillId="0" borderId="2" xfId="0" applyBorder="1"/>
    <xf numFmtId="2" fontId="0" fillId="0" borderId="2" xfId="0" applyNumberFormat="1" applyBorder="1"/>
    <xf numFmtId="164" fontId="0" fillId="0" borderId="2" xfId="0" applyNumberFormat="1" applyBorder="1"/>
    <xf numFmtId="164" fontId="0" fillId="0" borderId="3" xfId="0" applyNumberFormat="1" applyBorder="1"/>
    <xf numFmtId="14" fontId="0" fillId="0" borderId="8" xfId="0" applyNumberFormat="1" applyBorder="1"/>
    <xf numFmtId="0" fontId="0" fillId="0" borderId="9" xfId="0" applyBorder="1"/>
    <xf numFmtId="0" fontId="0" fillId="14" borderId="9" xfId="0" applyFill="1" applyBorder="1"/>
    <xf numFmtId="0" fontId="0" fillId="12" borderId="9" xfId="0" applyFill="1" applyBorder="1"/>
    <xf numFmtId="0" fontId="0" fillId="13" borderId="9" xfId="0" applyFill="1" applyBorder="1"/>
    <xf numFmtId="0" fontId="0" fillId="10" borderId="9" xfId="0" applyFill="1" applyBorder="1"/>
    <xf numFmtId="2" fontId="0" fillId="0" borderId="9" xfId="0" applyNumberFormat="1" applyBorder="1"/>
    <xf numFmtId="164" fontId="0" fillId="0" borderId="9" xfId="0" applyNumberFormat="1" applyBorder="1"/>
    <xf numFmtId="164" fontId="0" fillId="0" borderId="10" xfId="0" applyNumberFormat="1" applyBorder="1"/>
    <xf numFmtId="1" fontId="0" fillId="0" borderId="2" xfId="0" applyNumberFormat="1" applyBorder="1"/>
    <xf numFmtId="1" fontId="0" fillId="0" borderId="6" xfId="0" applyNumberFormat="1" applyBorder="1"/>
    <xf numFmtId="1" fontId="0" fillId="0" borderId="9" xfId="0" applyNumberFormat="1" applyBorder="1"/>
    <xf numFmtId="0" fontId="7" fillId="0" borderId="0" xfId="0" applyFont="1" applyAlignment="1">
      <alignment horizontal="left"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13" fillId="0" borderId="0" xfId="0" applyFont="1" applyAlignment="1">
      <alignment horizontal="center"/>
    </xf>
    <xf numFmtId="0" fontId="3" fillId="0" borderId="0" xfId="0" applyFont="1" applyAlignment="1">
      <alignment horizontal="center"/>
    </xf>
    <xf numFmtId="0" fontId="7" fillId="0" borderId="0" xfId="0" applyFont="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16" fillId="0" borderId="0" xfId="0" applyFont="1" applyAlignment="1">
      <alignment horizontal="left" vertical="top" wrapText="1"/>
    </xf>
    <xf numFmtId="0" fontId="17" fillId="0" borderId="0" xfId="0" applyFont="1" applyAlignment="1">
      <alignment horizontal="center" textRotation="90"/>
    </xf>
    <xf numFmtId="0" fontId="17" fillId="0" borderId="0" xfId="0" applyFont="1" applyAlignment="1">
      <alignment horizontal="center"/>
    </xf>
    <xf numFmtId="0" fontId="0" fillId="0" borderId="0" xfId="0" applyAlignment="1">
      <alignment horizontal="center"/>
    </xf>
    <xf numFmtId="0" fontId="17" fillId="0" borderId="0" xfId="0" applyFont="1" applyAlignment="1">
      <alignment horizontal="center" vertical="center" textRotation="90"/>
    </xf>
  </cellXfs>
  <cellStyles count="2">
    <cellStyle name="Currency" xfId="1" builtinId="4"/>
    <cellStyle name="Normal" xfId="0" builtinId="0"/>
  </cellStyles>
  <dxfs count="336">
    <dxf>
      <font>
        <color rgb="FFFF0000"/>
      </font>
    </dxf>
    <dxf>
      <numFmt numFmtId="19" formatCode="m/d/yyyy"/>
    </dxf>
    <dxf>
      <numFmt numFmtId="19" formatCode="m/d/yyyy"/>
    </dxf>
    <dxf>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numFmt numFmtId="19" formatCode="m/d/yyyy"/>
      <fill>
        <patternFill patternType="solid">
          <fgColor indexed="64"/>
          <bgColor rgb="FFFFFFFF"/>
        </patternFill>
      </fill>
      <alignment horizontal="general"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dxf>
    <dxf>
      <fill>
        <patternFill patternType="none">
          <fgColor indexed="64"/>
          <bgColor indexed="65"/>
        </patternFill>
      </fill>
    </dxf>
    <dxf>
      <numFmt numFmtId="19" formatCode="m/d/yyyy"/>
      <fill>
        <patternFill patternType="none">
          <fgColor indexed="64"/>
          <bgColor indexed="65"/>
        </patternFill>
      </fill>
    </dxf>
    <dxf>
      <font>
        <b/>
        <i val="0"/>
        <strike val="0"/>
        <condense val="0"/>
        <extend val="0"/>
        <outline val="0"/>
        <shadow val="0"/>
        <u val="none"/>
        <vertAlign val="baseline"/>
        <sz val="11"/>
        <color theme="1"/>
        <name val="Aptos Narrow"/>
        <family val="2"/>
        <scheme val="minor"/>
      </font>
    </dxf>
    <dxf>
      <numFmt numFmtId="1" formatCode="0"/>
    </dxf>
    <dxf>
      <numFmt numFmtId="1" formatCode="0"/>
    </dxf>
    <dxf>
      <alignment wrapText="1"/>
    </dxf>
    <dxf>
      <alignment wrapText="1"/>
    </dxf>
    <dxf>
      <numFmt numFmtId="164" formatCode="&quot;$&quot;#,##0.00"/>
    </dxf>
    <dxf>
      <numFmt numFmtId="164" formatCode="&quot;$&quot;#,##0.00"/>
    </dxf>
    <dxf>
      <numFmt numFmtId="164" formatCode="&quot;$&quot;#,##0.00"/>
    </dxf>
    <dxf>
      <numFmt numFmtId="2" formatCode="0.00"/>
    </dxf>
    <dxf>
      <numFmt numFmtId="1" formatCode="0"/>
    </dxf>
    <dxf>
      <alignment wrapText="1"/>
    </dxf>
    <dxf>
      <numFmt numFmtId="164" formatCode="&quot;$&quot;#,##0.00"/>
    </dxf>
    <dxf>
      <numFmt numFmtId="164" formatCode="&quot;$&quot;#,##0.00"/>
    </dxf>
    <dxf>
      <numFmt numFmtId="164" formatCode="&quot;$&quot;#,##0.00"/>
    </dxf>
    <dxf>
      <alignment wrapText="1"/>
    </dxf>
    <dxf>
      <numFmt numFmtId="1" formatCode="0"/>
    </dxf>
    <dxf>
      <alignment wrapText="1"/>
    </dxf>
    <dxf>
      <numFmt numFmtId="1" formatCode="0"/>
    </dxf>
    <dxf>
      <numFmt numFmtId="164" formatCode="&quot;$&quot;#,##0.00"/>
    </dxf>
    <dxf>
      <numFmt numFmtId="164" formatCode="&quot;$&quot;#,##0.00"/>
    </dxf>
    <dxf>
      <numFmt numFmtId="2" formatCode="0.00"/>
    </dxf>
    <dxf>
      <numFmt numFmtId="1" formatCode="0"/>
    </dxf>
    <dxf>
      <alignment wrapText="1"/>
    </dxf>
    <dxf>
      <alignment horizontal="general" vertical="bottom" textRotation="0" wrapText="0" indent="0" justifyLastLine="0" shrinkToFit="0" readingOrder="0"/>
    </dxf>
    <dxf>
      <alignment horizontal="general" vertical="bottom" textRotation="0" wrapText="0" indent="0" justifyLastLine="0" shrinkToFit="0" readingOrder="0"/>
    </dxf>
    <dxf>
      <alignment wrapText="1"/>
    </dxf>
    <dxf>
      <alignment wrapText="1"/>
    </dxf>
    <dxf>
      <alignment wrapText="1"/>
    </dxf>
    <dxf>
      <alignment wrapText="1"/>
    </dxf>
    <dxf>
      <numFmt numFmtId="1" formatCode="0"/>
    </dxf>
    <dxf>
      <numFmt numFmtId="1" formatCode="0"/>
    </dxf>
    <dxf>
      <numFmt numFmtId="164" formatCode="&quot;$&quot;#,##0.00"/>
    </dxf>
    <dxf>
      <alignment wrapText="1"/>
    </dxf>
    <dxf>
      <alignment wrapText="1"/>
    </dxf>
    <dxf>
      <numFmt numFmtId="1" formatCode="0"/>
    </dxf>
    <dxf>
      <numFmt numFmtId="1" formatCode="0"/>
    </dxf>
    <dxf>
      <numFmt numFmtId="164" formatCode="&quot;$&quot;#,##0.00"/>
    </dxf>
    <dxf>
      <numFmt numFmtId="1" formatCode="0"/>
    </dxf>
    <dxf>
      <alignment wrapText="1"/>
    </dxf>
    <dxf>
      <alignment wrapText="1"/>
    </dxf>
    <dxf>
      <numFmt numFmtId="164" formatCode="&quot;$&quot;#,##0.00"/>
    </dxf>
    <dxf>
      <numFmt numFmtId="164" formatCode="&quot;$&quot;#,##0.00"/>
    </dxf>
    <dxf>
      <alignment wrapText="1"/>
    </dxf>
    <dxf>
      <numFmt numFmtId="1" formatCode="0"/>
    </dxf>
    <dxf>
      <alignment wrapText="1"/>
    </dxf>
    <dxf>
      <numFmt numFmtId="1" formatCode="0"/>
    </dxf>
    <dxf>
      <alignment wrapText="1"/>
    </dxf>
    <dxf>
      <alignment wrapText="1"/>
    </dxf>
    <dxf>
      <numFmt numFmtId="164" formatCode="&quot;$&quot;#,##0.00"/>
    </dxf>
    <dxf>
      <numFmt numFmtId="1" formatCode="0"/>
    </dxf>
    <dxf>
      <alignment wrapText="1"/>
    </dxf>
    <dxf>
      <alignment wrapText="1"/>
    </dxf>
    <dxf>
      <numFmt numFmtId="164" formatCode="&quot;$&quot;#,##0.00"/>
    </dxf>
    <dxf>
      <numFmt numFmtId="1" formatCode="0"/>
    </dxf>
    <dxf>
      <alignment wrapText="1"/>
    </dxf>
    <dxf>
      <alignment wrapText="1"/>
    </dxf>
    <dxf>
      <numFmt numFmtId="164" formatCode="&quot;$&quot;#,##0.00"/>
    </dxf>
    <dxf>
      <numFmt numFmtId="1" formatCode="0"/>
    </dxf>
    <dxf>
      <numFmt numFmtId="1" formatCode="0"/>
    </dxf>
    <dxf>
      <alignment wrapText="1"/>
    </dxf>
    <dxf>
      <alignment wrapText="1"/>
    </dxf>
    <dxf>
      <numFmt numFmtId="164" formatCode="&quot;$&quot;#,##0.00"/>
    </dxf>
    <dxf>
      <numFmt numFmtId="164" formatCode="&quot;$&quot;#,##0.00"/>
    </dxf>
    <dxf>
      <alignment wrapText="1"/>
    </dxf>
    <dxf>
      <numFmt numFmtId="1" formatCode="0"/>
    </dxf>
    <dxf>
      <alignment wrapText="1"/>
    </dxf>
    <dxf>
      <alignment horizontal="general" vertical="bottom" textRotation="0" wrapText="0" indent="0" justifyLastLine="0" shrinkToFit="0" readingOrder="0"/>
    </dxf>
    <dxf>
      <alignment horizontal="general" vertical="bottom" textRotation="0" wrapText="0" indent="0" justifyLastLine="0" shrinkToFit="0" readingOrder="0"/>
    </dxf>
    <dxf>
      <alignment wrapText="1"/>
    </dxf>
    <dxf>
      <alignment wrapText="1"/>
    </dxf>
    <dxf>
      <numFmt numFmtId="164" formatCode="&quot;$&quot;#,##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dxf>
    <dxf>
      <alignment wrapText="1"/>
    </dxf>
    <dxf>
      <alignment wrapText="1"/>
    </dxf>
    <dxf>
      <alignment wrapText="1"/>
    </dxf>
    <dxf>
      <alignment wrapText="1"/>
    </dxf>
    <dxf>
      <numFmt numFmtId="164" formatCode="&quot;$&quot;#,##0.00"/>
    </dxf>
    <dxf>
      <alignment horizontal="general" vertical="bottom" textRotation="0" wrapText="0" indent="0" justifyLastLine="0" shrinkToFit="0" readingOrder="0"/>
    </dxf>
    <dxf>
      <alignment horizontal="general" vertical="bottom" textRotation="0" wrapText="0" indent="0" justifyLastLine="0" shrinkToFit="0" readingOrder="0"/>
    </dxf>
    <dxf>
      <alignment wrapText="1"/>
    </dxf>
    <dxf>
      <alignment wrapText="1"/>
    </dxf>
    <dxf>
      <numFmt numFmtId="164" formatCode="&quot;$&quot;#,##0.00"/>
    </dxf>
    <dxf>
      <alignment wrapText="1"/>
    </dxf>
    <dxf>
      <numFmt numFmtId="1" formatCode="0"/>
    </dxf>
    <dxf>
      <alignment wrapText="1"/>
    </dxf>
    <dxf>
      <alignment wrapText="1"/>
    </dxf>
    <dxf>
      <alignment wrapText="1"/>
    </dxf>
    <dxf>
      <numFmt numFmtId="164" formatCode="&quot;$&quot;#,##0.00"/>
    </dxf>
    <dxf>
      <numFmt numFmtId="1" formatCode="0"/>
    </dxf>
    <dxf>
      <numFmt numFmtId="1" formatCode="0"/>
    </dxf>
    <dxf>
      <numFmt numFmtId="1" formatCode="0"/>
    </dxf>
    <dxf>
      <numFmt numFmtId="164" formatCode="&quot;$&quot;#,##0.00"/>
    </dxf>
    <dxf>
      <numFmt numFmtId="164" formatCode="&quot;$&quot;#,##0.00"/>
      <alignment horizontal="general" vertical="bottom" textRotation="0" wrapText="0" indent="0" justifyLastLine="0" shrinkToFit="0" readingOrder="0"/>
    </dxf>
    <dxf>
      <numFmt numFmtId="164" formatCode="&quot;$&quot;#,##0.00"/>
      <fill>
        <patternFill patternType="none">
          <fgColor indexed="64"/>
          <bgColor indexed="65"/>
        </patternFill>
      </fill>
      <alignment horizontal="general" vertical="bottom" textRotation="0" wrapText="0" indent="0" justifyLastLine="0" shrinkToFit="0" readingOrder="0"/>
    </dxf>
    <dxf>
      <numFmt numFmtId="2" formatCode="0.00"/>
    </dxf>
    <dxf>
      <alignment wrapText="1"/>
    </dxf>
    <dxf>
      <alignment wrapText="1"/>
    </dxf>
    <dxf>
      <numFmt numFmtId="1" formatCode="0"/>
    </dxf>
    <dxf>
      <alignment wrapText="1"/>
    </dxf>
    <dxf>
      <numFmt numFmtId="164" formatCode="&quot;$&quot;#,##0.00"/>
    </dxf>
    <dxf>
      <numFmt numFmtId="164" formatCode="&quot;$&quot;#,##0.00"/>
    </dxf>
    <dxf>
      <numFmt numFmtId="2" formatCode="0.00"/>
    </dxf>
    <dxf>
      <numFmt numFmtId="1" formatCode="0"/>
    </dxf>
    <dxf>
      <alignment wrapText="1"/>
    </dxf>
    <dxf>
      <alignment wrapText="1"/>
    </dxf>
    <dxf>
      <alignment wrapText="1"/>
    </dxf>
    <dxf>
      <numFmt numFmtId="1" formatCode="0"/>
    </dxf>
    <dxf>
      <numFmt numFmtId="1" formatCode="0"/>
    </dxf>
    <dxf>
      <numFmt numFmtId="164" formatCode="&quot;$&quot;#,##0.00"/>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fill>
        <patternFill>
          <bgColor rgb="FF92D050"/>
        </patternFill>
      </fill>
    </dxf>
    <dxf>
      <fill>
        <patternFill>
          <bgColor rgb="FFFF7C80"/>
        </patternFill>
      </fill>
    </dxf>
    <dxf>
      <numFmt numFmtId="164" formatCode="&quot;$&quot;#,##0.00"/>
    </dxf>
    <dxf>
      <numFmt numFmtId="164" formatCode="&quot;$&quot;#,##0.00"/>
    </dxf>
    <dxf>
      <numFmt numFmtId="164" formatCode="&quot;$&quot;#,##0.00"/>
    </dxf>
    <dxf>
      <numFmt numFmtId="164" formatCode="&quot;$&quot;#,##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m/d/yyyy"/>
    </dxf>
    <dxf>
      <numFmt numFmtId="164" formatCode="&quot;$&quot;#,##0.00"/>
    </dxf>
    <dxf>
      <numFmt numFmtId="2" formatCode="0.00"/>
    </dxf>
    <dxf>
      <numFmt numFmtId="2" formatCode="0.00"/>
    </dxf>
    <dxf>
      <numFmt numFmtId="2" formatCode="0.00"/>
    </dxf>
    <dxf>
      <numFmt numFmtId="164" formatCode="&quot;$&quot;#,##0.00"/>
    </dxf>
    <dxf>
      <numFmt numFmtId="164" formatCode="&quot;$&quot;#,##0.00"/>
    </dxf>
    <dxf>
      <numFmt numFmtId="164" formatCode="&quot;$&quot;#,##0.00"/>
    </dxf>
    <dxf>
      <numFmt numFmtId="164" formatCode="&quot;$&quot;#,##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m/d/yyyy"/>
    </dxf>
    <dxf>
      <numFmt numFmtId="2" formatCode="0.00"/>
    </dxf>
    <dxf>
      <numFmt numFmtId="0" formatCode="General"/>
    </dxf>
    <dxf>
      <numFmt numFmtId="0" formatCode="General"/>
    </dxf>
    <dxf>
      <numFmt numFmtId="0" formatCode="General"/>
    </dxf>
    <dxf>
      <numFmt numFmtId="0" formatCode="General"/>
    </dxf>
    <dxf>
      <numFmt numFmtId="1" formatCode="0"/>
      <border diagonalUp="0" diagonalDown="0" outline="0">
        <left style="thin">
          <color indexed="64"/>
        </left>
        <right style="thin">
          <color indexed="64"/>
        </right>
        <top style="thin">
          <color indexed="64"/>
        </top>
        <bottom style="thin">
          <color indexed="64"/>
        </bottom>
      </border>
    </dxf>
    <dxf>
      <numFmt numFmtId="164" formatCode="&quot;$&quot;#,##0.00"/>
      <border diagonalUp="0" diagonalDown="0" outline="0">
        <left style="thin">
          <color indexed="64"/>
        </left>
        <right style="thin">
          <color indexed="64"/>
        </right>
        <top style="thin">
          <color indexed="64"/>
        </top>
        <bottom style="thin">
          <color indexed="64"/>
        </bottom>
      </border>
    </dxf>
    <dxf>
      <numFmt numFmtId="164" formatCode="&quot;$&quot;#,##0.00"/>
      <border diagonalUp="0" diagonalDown="0">
        <left style="thin">
          <color indexed="64"/>
        </left>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4" formatCode="&quot;$&quot;#,##0.00"/>
      <border diagonalUp="0" diagonalDown="0" outline="0">
        <left style="thin">
          <color indexed="64"/>
        </left>
        <right style="thin">
          <color indexed="64"/>
        </right>
        <top/>
        <bottom/>
      </border>
    </dxf>
    <dxf>
      <numFmt numFmtId="164" formatCode="&quot;$&quot;#,##0.00"/>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font>
        <b val="0"/>
        <i val="0"/>
        <strike val="0"/>
        <condense val="0"/>
        <extend val="0"/>
        <outline val="0"/>
        <shadow val="0"/>
        <u val="none"/>
        <vertAlign val="baseline"/>
        <sz val="11"/>
        <color theme="2" tint="-0.89999084444715716"/>
        <name val="Aptos Narrow"/>
        <family val="2"/>
        <scheme val="minor"/>
      </font>
      <numFmt numFmtId="1" formatCode="0"/>
      <fill>
        <patternFill patternType="solid">
          <fgColor indexed="64"/>
          <bgColor theme="7" tint="0.59999389629810485"/>
        </patternFill>
      </fill>
    </dxf>
    <dxf>
      <font>
        <color theme="2" tint="-0.89999084444715716"/>
      </font>
      <numFmt numFmtId="30" formatCode="@"/>
      <fill>
        <patternFill patternType="solid">
          <fgColor indexed="64"/>
          <bgColor theme="0"/>
        </patternFill>
      </fill>
    </dxf>
    <dxf>
      <numFmt numFmtId="1" formatCode="0"/>
      <fill>
        <patternFill patternType="solid">
          <fgColor indexed="64"/>
          <bgColor theme="7" tint="0.79998168889431442"/>
        </patternFill>
      </fill>
    </dxf>
    <dxf>
      <font>
        <color theme="2" tint="-0.89999084444715716"/>
      </font>
      <numFmt numFmtId="1" formatCode="0"/>
      <fill>
        <patternFill patternType="solid">
          <fgColor indexed="64"/>
          <bgColor theme="0"/>
        </patternFill>
      </fill>
    </dxf>
    <dxf>
      <numFmt numFmtId="1" formatCode="0"/>
      <fill>
        <patternFill patternType="solid">
          <fgColor indexed="64"/>
          <bgColor theme="2"/>
        </patternFill>
      </fill>
    </dxf>
    <dxf>
      <numFmt numFmtId="1" formatCode="0"/>
      <fill>
        <patternFill patternType="solid">
          <fgColor indexed="64"/>
          <bgColor theme="0"/>
        </patternFill>
      </fill>
    </dxf>
    <dxf>
      <numFmt numFmtId="1" formatCode="0"/>
      <fill>
        <patternFill patternType="solid">
          <fgColor indexed="64"/>
          <bgColor theme="0"/>
        </patternFill>
      </fill>
    </dxf>
    <dxf>
      <numFmt numFmtId="164" formatCode="&quot;$&quot;#,##0.00"/>
      <fill>
        <patternFill patternType="solid">
          <fgColor indexed="64"/>
          <bgColor theme="7" tint="0.79998168889431442"/>
        </patternFill>
      </fill>
      <border diagonalUp="0" diagonalDown="0" outline="0">
        <left style="thin">
          <color indexed="64"/>
        </left>
        <right/>
        <top style="thin">
          <color indexed="64"/>
        </top>
        <bottom/>
      </border>
    </dxf>
    <dxf>
      <numFmt numFmtId="164" formatCode="&quot;$&quot;#,##0.00"/>
      <fill>
        <patternFill patternType="solid">
          <fgColor indexed="64"/>
          <bgColor theme="0"/>
        </patternFill>
      </fill>
      <border diagonalUp="0" diagonalDown="0" outline="0">
        <left style="thin">
          <color indexed="64"/>
        </left>
        <right/>
        <top style="thin">
          <color indexed="64"/>
        </top>
        <bottom style="thin">
          <color indexed="64"/>
        </bottom>
      </border>
    </dxf>
    <dxf>
      <numFmt numFmtId="164" formatCode="&quot;$&quot;#,##0.00"/>
      <fill>
        <patternFill patternType="solid">
          <fgColor indexed="64"/>
          <bgColor theme="9" tint="0.59999389629810485"/>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8" tint="0.59999389629810485"/>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numFmt numFmtId="2" formatCode="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9"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9"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5"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5"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3"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3"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3"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30" formatCode="@"/>
      <fill>
        <patternFill patternType="solid">
          <fgColor indexed="64"/>
          <bgColor theme="3" tint="0.79998168889431442"/>
        </patternFill>
      </fill>
      <border diagonalUp="0" diagonalDown="0" outline="0">
        <left style="thin">
          <color indexed="64"/>
        </left>
        <right style="thin">
          <color indexed="64"/>
        </right>
        <top style="thin">
          <color indexed="64"/>
        </top>
        <bottom/>
      </border>
    </dxf>
    <dxf>
      <numFmt numFmtId="19" formatCode="m/d/yyyy"/>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6" formatCode="[$-409]mmmmm\-yy;@"/>
      <fill>
        <patternFill patternType="solid">
          <fgColor indexed="64"/>
          <bgColor theme="2" tint="-0.249977111117893"/>
        </patternFill>
      </fill>
      <border diagonalUp="0" diagonalDown="0" outline="0">
        <left style="thin">
          <color indexed="64"/>
        </left>
        <right style="thin">
          <color indexed="64"/>
        </right>
        <top style="thin">
          <color indexed="64"/>
        </top>
        <bottom/>
      </border>
    </dxf>
    <dxf>
      <numFmt numFmtId="19" formatCode="m/d/yyyy"/>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2" tint="-9.9978637043366805E-2"/>
        </patternFill>
      </fill>
      <border diagonalUp="0" diagonalDown="0" outline="0">
        <left style="thin">
          <color indexed="64"/>
        </left>
        <right style="thin">
          <color indexed="64"/>
        </right>
        <top style="thin">
          <color indexed="64"/>
        </top>
        <bottom/>
      </border>
    </dxf>
    <dxf>
      <numFmt numFmtId="30" formatCode="@"/>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9" formatCode="m/d/yyyy"/>
      <fill>
        <patternFill patternType="solid">
          <fgColor indexed="64"/>
          <bgColor theme="2" tint="-9.9978637043366805E-2"/>
        </patternFill>
      </fill>
      <border diagonalUp="0" diagonalDown="0" outline="0">
        <left/>
        <right style="thin">
          <color indexed="64"/>
        </right>
        <top style="thin">
          <color indexed="64"/>
        </top>
        <bottom/>
      </border>
    </dxf>
    <dxf>
      <numFmt numFmtId="19" formatCode="m/d/yyyy"/>
      <fill>
        <patternFill patternType="solid">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fgColor indexed="64"/>
          <bgColor theme="0"/>
        </patternFill>
      </fill>
    </dxf>
    <dxf>
      <border outline="0">
        <bottom style="thin">
          <color indexed="64"/>
        </bottom>
      </border>
    </dxf>
    <dxf>
      <font>
        <strike val="0"/>
        <outline val="0"/>
        <shadow val="0"/>
        <u val="none"/>
        <vertAlign val="baseline"/>
        <sz val="11"/>
        <color auto="1"/>
        <name val="Aptos Narrow"/>
        <family val="2"/>
        <scheme val="minor"/>
      </font>
      <fill>
        <patternFill>
          <fgColor indexed="64"/>
          <bgColor theme="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EDA_1!A1"/></Relationships>
</file>

<file path=xl/drawings/drawing1.xml><?xml version="1.0" encoding="utf-8"?>
<xdr:wsDr xmlns:xdr="http://schemas.openxmlformats.org/drawingml/2006/spreadsheetDrawing" xmlns:a="http://schemas.openxmlformats.org/drawingml/2006/main">
  <xdr:twoCellAnchor>
    <xdr:from>
      <xdr:col>9</xdr:col>
      <xdr:colOff>409574</xdr:colOff>
      <xdr:row>28</xdr:row>
      <xdr:rowOff>161926</xdr:rowOff>
    </xdr:from>
    <xdr:to>
      <xdr:col>10</xdr:col>
      <xdr:colOff>320675</xdr:colOff>
      <xdr:row>30</xdr:row>
      <xdr:rowOff>38100</xdr:rowOff>
    </xdr:to>
    <xdr:sp macro="" textlink="">
      <xdr:nvSpPr>
        <xdr:cNvPr id="3" name="TextBox 2">
          <a:hlinkClick xmlns:r="http://schemas.openxmlformats.org/officeDocument/2006/relationships" r:id="rId1"/>
          <a:extLst>
            <a:ext uri="{FF2B5EF4-FFF2-40B4-BE49-F238E27FC236}">
              <a16:creationId xmlns:a16="http://schemas.microsoft.com/office/drawing/2014/main" id="{90E09E6C-430B-6338-BA03-B2ED96C7A4E1}"/>
            </a:ext>
          </a:extLst>
        </xdr:cNvPr>
        <xdr:cNvSpPr txBox="1"/>
      </xdr:nvSpPr>
      <xdr:spPr>
        <a:xfrm>
          <a:off x="5934074" y="5762626"/>
          <a:ext cx="520701" cy="23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u="sng">
              <a:solidFill>
                <a:srgbClr val="002060"/>
              </a:solidFill>
            </a:rPr>
            <a:t>EDA_1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mcsweeney" refreshedDate="45538.596603587961" createdVersion="8" refreshedVersion="8" minRefreshableVersion="3" recordCount="311" xr:uid="{8C13BDCB-3075-4CE1-8973-866411BD19E6}">
  <cacheSource type="worksheet">
    <worksheetSource ref="A1:AH312" sheet="MASTER_DATA"/>
  </cacheSource>
  <cacheFields count="12">
    <cacheField name="DATE" numFmtId="14">
      <sharedItems containsSemiMixedTypes="0" containsNonDate="0" containsDate="1" containsString="0" minDate="2023-07-01T00:00:00" maxDate="2024-07-01T00:00:00"/>
    </cacheField>
    <cacheField name="AM/PM" numFmtId="0">
      <sharedItems count="2">
        <s v="PM"/>
        <s v="AM"/>
      </sharedItems>
    </cacheField>
    <cacheField name="MONTH" numFmtId="0">
      <sharedItems count="12">
        <s v="July"/>
        <s v="August"/>
        <s v="September"/>
        <s v="October"/>
        <s v="November"/>
        <s v="December"/>
        <s v="January"/>
        <s v="February"/>
        <s v="March"/>
        <s v="April"/>
        <s v="May"/>
        <s v="June"/>
      </sharedItems>
    </cacheField>
    <cacheField name="DOW" numFmtId="0">
      <sharedItems count="7">
        <s v="SAT"/>
        <s v="SUN"/>
        <s v="WED"/>
        <s v="THU"/>
        <s v="FRI"/>
        <s v="MON"/>
        <s v="TUE"/>
      </sharedItems>
    </cacheField>
    <cacheField name="WEEKEND" numFmtId="0">
      <sharedItems containsSemiMixedTypes="0" containsString="0" containsNumber="1" containsInteger="1" minValue="0" maxValue="1"/>
    </cacheField>
    <cacheField name="WEEKEND_CAT" numFmtId="0">
      <sharedItems count="4">
        <s v="WEEKEND"/>
        <s v="WEEKDAY"/>
        <s v="YES" u="1"/>
        <s v="NO" u="1"/>
      </sharedItems>
    </cacheField>
    <cacheField name="HOURS" numFmtId="0">
      <sharedItems containsSemiMixedTypes="0" containsString="0" containsNumber="1" minValue="0" maxValue="10.916666666666666"/>
    </cacheField>
    <cacheField name="SINGLE/DOUBLE" numFmtId="0">
      <sharedItems/>
    </cacheField>
    <cacheField name="SALES" numFmtId="0">
      <sharedItems containsSemiMixedTypes="0" containsString="0" containsNumber="1" minValue="55" maxValue="2631.5"/>
    </cacheField>
    <cacheField name="INCOME" numFmtId="0">
      <sharedItems containsSemiMixedTypes="0" containsString="0" containsNumber="1" minValue="12.697699999999999" maxValue="441.84240000000005"/>
    </cacheField>
    <cacheField name="SALES_PER_HOUR" numFmtId="0">
      <sharedItems containsSemiMixedTypes="0" containsString="0" containsNumber="1" minValue="0" maxValue="399.79041916167665"/>
    </cacheField>
    <cacheField name="INCOME_PER_HOUR" numFmtId="0">
      <sharedItems containsSemiMixedTypes="0" containsString="0" containsNumber="1" minValue="0" maxValue="64.9017174339622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d v="2023-07-01T00:00:00"/>
    <x v="0"/>
    <x v="0"/>
    <x v="0"/>
    <n v="1"/>
    <x v="0"/>
    <n v="6.25"/>
    <s v="SINGLE"/>
    <n v="1537"/>
    <n v="221.20686000000001"/>
    <n v="245.92"/>
    <n v="35.393097600000004"/>
  </r>
  <r>
    <d v="2023-07-02T00:00:00"/>
    <x v="0"/>
    <x v="0"/>
    <x v="1"/>
    <n v="1"/>
    <x v="0"/>
    <n v="6.2666666666666666"/>
    <s v="SINGLE"/>
    <n v="963"/>
    <n v="184.44623999999999"/>
    <n v="153.67021276595744"/>
    <n v="29.432910638297869"/>
  </r>
  <r>
    <d v="2023-07-05T00:00:00"/>
    <x v="0"/>
    <x v="0"/>
    <x v="2"/>
    <n v="0"/>
    <x v="1"/>
    <n v="5.7"/>
    <s v="SINGLE"/>
    <n v="1227.5"/>
    <n v="203.96432799999999"/>
    <n v="215.35087719298244"/>
    <n v="35.783215438596493"/>
  </r>
  <r>
    <d v="2023-07-06T00:00:00"/>
    <x v="0"/>
    <x v="0"/>
    <x v="3"/>
    <n v="0"/>
    <x v="1"/>
    <n v="5.916666666666667"/>
    <s v="SINGLE"/>
    <n v="1315.5"/>
    <n v="191.58984399999997"/>
    <n v="222.33802816901408"/>
    <n v="32.381382084507038"/>
  </r>
  <r>
    <d v="2023-07-07T00:00:00"/>
    <x v="0"/>
    <x v="0"/>
    <x v="4"/>
    <n v="1"/>
    <x v="0"/>
    <n v="5.666666666666667"/>
    <s v="SINGLE"/>
    <n v="1166.5"/>
    <n v="167.95578399999999"/>
    <n v="205.85294117647058"/>
    <n v="29.639255999999996"/>
  </r>
  <r>
    <d v="2023-07-08T00:00:00"/>
    <x v="0"/>
    <x v="0"/>
    <x v="0"/>
    <n v="1"/>
    <x v="0"/>
    <n v="5.5166666666666666"/>
    <s v="SINGLE"/>
    <n v="1261"/>
    <n v="238.67122000000001"/>
    <n v="228.58006042296074"/>
    <n v="43.263665256797587"/>
  </r>
  <r>
    <d v="2023-07-10T00:00:00"/>
    <x v="0"/>
    <x v="0"/>
    <x v="5"/>
    <n v="0"/>
    <x v="1"/>
    <n v="4.95"/>
    <s v="SINGLE"/>
    <n v="1123"/>
    <n v="190.56170799999998"/>
    <n v="226.86868686868686"/>
    <n v="38.497314747474739"/>
  </r>
  <r>
    <d v="2023-07-11T00:00:00"/>
    <x v="0"/>
    <x v="0"/>
    <x v="6"/>
    <n v="0"/>
    <x v="1"/>
    <n v="4.55"/>
    <s v="SINGLE"/>
    <n v="1161"/>
    <n v="175.82314799999997"/>
    <n v="255.16483516483518"/>
    <n v="38.642450109890106"/>
  </r>
  <r>
    <d v="2023-07-12T00:00:00"/>
    <x v="0"/>
    <x v="0"/>
    <x v="2"/>
    <n v="0"/>
    <x v="1"/>
    <n v="4.333333333333333"/>
    <s v="SINGLE"/>
    <n v="836.5"/>
    <n v="147.38756000000001"/>
    <n v="193.03846153846155"/>
    <n v="34.012513846153851"/>
  </r>
  <r>
    <d v="2023-07-14T00:00:00"/>
    <x v="0"/>
    <x v="0"/>
    <x v="4"/>
    <n v="1"/>
    <x v="0"/>
    <n v="4.7833333333333332"/>
    <s v="SINGLE"/>
    <n v="1286"/>
    <n v="203.24042800000001"/>
    <n v="268.85017421602788"/>
    <n v="42.489288083623698"/>
  </r>
  <r>
    <d v="2023-07-15T00:00:00"/>
    <x v="0"/>
    <x v="0"/>
    <x v="0"/>
    <n v="1"/>
    <x v="0"/>
    <n v="4.3"/>
    <s v="SINGLE"/>
    <n v="764.5"/>
    <n v="116.77434399999999"/>
    <n v="177.79069767441862"/>
    <n v="27.15682418604651"/>
  </r>
  <r>
    <d v="2023-07-18T00:00:00"/>
    <x v="0"/>
    <x v="0"/>
    <x v="6"/>
    <n v="0"/>
    <x v="1"/>
    <n v="4.2166666666666668"/>
    <s v="SINGLE"/>
    <n v="662"/>
    <n v="124.95961999999999"/>
    <n v="156.99604743083003"/>
    <n v="29.634692490118574"/>
  </r>
  <r>
    <d v="2023-07-19T00:00:00"/>
    <x v="0"/>
    <x v="0"/>
    <x v="2"/>
    <n v="0"/>
    <x v="1"/>
    <n v="4.8499999999999996"/>
    <s v="SINGLE"/>
    <n v="892"/>
    <n v="165.92441199999999"/>
    <n v="183.91752577319588"/>
    <n v="34.211218969072164"/>
  </r>
  <r>
    <d v="2023-07-21T00:00:00"/>
    <x v="0"/>
    <x v="0"/>
    <x v="4"/>
    <n v="1"/>
    <x v="0"/>
    <n v="5.9666666666666668"/>
    <s v="SINGLE"/>
    <n v="1455"/>
    <n v="241.94436000000002"/>
    <n v="243.85474860335194"/>
    <n v="40.54933407821229"/>
  </r>
  <r>
    <d v="2023-07-22T00:00:00"/>
    <x v="0"/>
    <x v="0"/>
    <x v="0"/>
    <n v="1"/>
    <x v="0"/>
    <n v="6.1166666666666663"/>
    <s v="SINGLE"/>
    <n v="1817.5"/>
    <n v="333.681308"/>
    <n v="297.13896457765668"/>
    <n v="54.552802397820166"/>
  </r>
  <r>
    <d v="2023-07-24T00:00:00"/>
    <x v="0"/>
    <x v="0"/>
    <x v="5"/>
    <n v="0"/>
    <x v="1"/>
    <n v="4.5166666666666666"/>
    <s v="SINGLE"/>
    <n v="1036"/>
    <n v="170.00901999999999"/>
    <n v="229.37269372693729"/>
    <n v="37.640373431734318"/>
  </r>
  <r>
    <d v="2023-07-25T00:00:00"/>
    <x v="0"/>
    <x v="0"/>
    <x v="6"/>
    <n v="0"/>
    <x v="1"/>
    <n v="4.7666666666666666"/>
    <s v="SINGLE"/>
    <n v="967"/>
    <n v="151.1086"/>
    <n v="202.86713286713288"/>
    <n v="31.701104895104894"/>
  </r>
  <r>
    <d v="2023-07-26T00:00:00"/>
    <x v="0"/>
    <x v="0"/>
    <x v="2"/>
    <n v="0"/>
    <x v="1"/>
    <n v="5.2666666666666666"/>
    <s v="SINGLE"/>
    <n v="997"/>
    <n v="185.11517599999999"/>
    <n v="189.30379746835445"/>
    <n v="35.148451139240507"/>
  </r>
  <r>
    <d v="2023-07-28T00:00:00"/>
    <x v="0"/>
    <x v="0"/>
    <x v="4"/>
    <n v="1"/>
    <x v="0"/>
    <n v="5.1833333333333336"/>
    <s v="SINGLE"/>
    <n v="1281.51"/>
    <n v="238.50191599999999"/>
    <n v="247.23665594855305"/>
    <n v="46.013231382636654"/>
  </r>
  <r>
    <d v="2023-07-29T00:00:00"/>
    <x v="0"/>
    <x v="0"/>
    <x v="0"/>
    <n v="1"/>
    <x v="0"/>
    <n v="4.45"/>
    <s v="SINGLE"/>
    <n v="1011.49"/>
    <n v="172.51180399999998"/>
    <n v="227.3011235955056"/>
    <n v="38.766697528089885"/>
  </r>
  <r>
    <d v="2023-07-30T00:00:00"/>
    <x v="1"/>
    <x v="0"/>
    <x v="1"/>
    <n v="1"/>
    <x v="0"/>
    <n v="5.4666666666666668"/>
    <s v="SINGLE"/>
    <n v="804"/>
    <n v="129.63104000000001"/>
    <n v="147.07317073170731"/>
    <n v="23.71299512195122"/>
  </r>
  <r>
    <d v="2023-07-31T00:00:00"/>
    <x v="0"/>
    <x v="0"/>
    <x v="5"/>
    <n v="0"/>
    <x v="1"/>
    <n v="4.3833333333333337"/>
    <s v="SINGLE"/>
    <n v="1304.5"/>
    <n v="206.59433999999999"/>
    <n v="297.60456273764254"/>
    <n v="47.131788593155889"/>
  </r>
  <r>
    <d v="2023-08-01T00:00:00"/>
    <x v="0"/>
    <x v="1"/>
    <x v="6"/>
    <n v="0"/>
    <x v="1"/>
    <n v="5.4333333333333336"/>
    <s v="SINGLE"/>
    <n v="706.5"/>
    <n v="138.13836000000001"/>
    <n v="130.03067484662577"/>
    <n v="25.424238036809815"/>
  </r>
  <r>
    <d v="2023-08-02T00:00:00"/>
    <x v="1"/>
    <x v="1"/>
    <x v="2"/>
    <n v="0"/>
    <x v="1"/>
    <n v="3.5833333333333335"/>
    <s v="DOUBLE"/>
    <n v="763"/>
    <n v="114.396716"/>
    <n v="212.93023255813952"/>
    <n v="31.924664930232556"/>
  </r>
  <r>
    <d v="2023-08-02T00:00:00"/>
    <x v="0"/>
    <x v="1"/>
    <x v="2"/>
    <n v="0"/>
    <x v="1"/>
    <n v="3.5"/>
    <s v="DOUBLE"/>
    <n v="477"/>
    <n v="94.560599999999994"/>
    <n v="136.28571428571428"/>
    <n v="27.017314285714285"/>
  </r>
  <r>
    <d v="2023-08-04T00:00:00"/>
    <x v="1"/>
    <x v="1"/>
    <x v="4"/>
    <n v="0"/>
    <x v="1"/>
    <n v="4.7833333333333332"/>
    <s v="DOUBLE"/>
    <n v="1016.33"/>
    <n v="162.478084"/>
    <n v="212.47317073170734"/>
    <n v="33.967543693379788"/>
  </r>
  <r>
    <d v="2023-08-04T00:00:00"/>
    <x v="0"/>
    <x v="1"/>
    <x v="4"/>
    <n v="1"/>
    <x v="0"/>
    <n v="4.6166666666666663"/>
    <s v="DOUBLE"/>
    <n v="1194"/>
    <n v="180.67177999999998"/>
    <n v="258.62815884476538"/>
    <n v="39.134681588447656"/>
  </r>
  <r>
    <d v="2023-08-05T00:00:00"/>
    <x v="0"/>
    <x v="1"/>
    <x v="0"/>
    <n v="1"/>
    <x v="0"/>
    <n v="6.25"/>
    <s v="SINGLE"/>
    <n v="1669.5"/>
    <n v="266.82144400000004"/>
    <n v="267.12"/>
    <n v="42.691431040000005"/>
  </r>
  <r>
    <d v="2023-08-07T00:00:00"/>
    <x v="1"/>
    <x v="1"/>
    <x v="5"/>
    <n v="0"/>
    <x v="1"/>
    <n v="3.75"/>
    <s v="DOUBLE"/>
    <n v="518.5"/>
    <n v="85.479011999999997"/>
    <n v="138.26666666666668"/>
    <n v="22.794403199999998"/>
  </r>
  <r>
    <d v="2023-08-07T00:00:00"/>
    <x v="0"/>
    <x v="1"/>
    <x v="5"/>
    <n v="0"/>
    <x v="1"/>
    <n v="4.6166666666666663"/>
    <s v="DOUBLE"/>
    <n v="1184"/>
    <n v="201.50010799999998"/>
    <n v="256.46209386281589"/>
    <n v="43.646232779783396"/>
  </r>
  <r>
    <d v="2023-08-08T00:00:00"/>
    <x v="1"/>
    <x v="1"/>
    <x v="6"/>
    <n v="0"/>
    <x v="1"/>
    <n v="3.8666666666666667"/>
    <s v="SINGLE"/>
    <n v="697"/>
    <n v="125.16169600000001"/>
    <n v="180.25862068965517"/>
    <n v="32.369404137931035"/>
  </r>
  <r>
    <d v="2023-08-09T00:00:00"/>
    <x v="0"/>
    <x v="1"/>
    <x v="2"/>
    <n v="0"/>
    <x v="1"/>
    <n v="5.9"/>
    <s v="SINGLE"/>
    <n v="1060.27"/>
    <n v="132.90529599999999"/>
    <n v="179.70677966101692"/>
    <n v="22.5263213559322"/>
  </r>
  <r>
    <d v="2023-08-11T00:00:00"/>
    <x v="0"/>
    <x v="1"/>
    <x v="4"/>
    <n v="1"/>
    <x v="0"/>
    <n v="7.15"/>
    <s v="SINGLE"/>
    <n v="1187"/>
    <n v="185.53326000000001"/>
    <n v="166.013986013986"/>
    <n v="25.948707692307693"/>
  </r>
  <r>
    <d v="2023-08-12T00:00:00"/>
    <x v="0"/>
    <x v="1"/>
    <x v="0"/>
    <n v="1"/>
    <x v="0"/>
    <n v="7.583333333333333"/>
    <s v="SINGLE"/>
    <n v="1928"/>
    <n v="308.20174799999995"/>
    <n v="254.24175824175825"/>
    <n v="40.641988747252739"/>
  </r>
  <r>
    <d v="2023-08-14T00:00:00"/>
    <x v="1"/>
    <x v="1"/>
    <x v="5"/>
    <n v="0"/>
    <x v="1"/>
    <n v="5.3833333333333337"/>
    <s v="SINGLE"/>
    <n v="646.5"/>
    <n v="121.035892"/>
    <n v="120.09287925696593"/>
    <n v="22.483447430340558"/>
  </r>
  <r>
    <d v="2023-08-15T00:00:00"/>
    <x v="1"/>
    <x v="1"/>
    <x v="6"/>
    <n v="0"/>
    <x v="1"/>
    <n v="3.3166666666666669"/>
    <s v="DOUBLE"/>
    <n v="369"/>
    <n v="52.001628000000004"/>
    <n v="111.25628140703517"/>
    <n v="15.678882814070352"/>
  </r>
  <r>
    <d v="2023-08-15T00:00:00"/>
    <x v="0"/>
    <x v="1"/>
    <x v="6"/>
    <n v="0"/>
    <x v="1"/>
    <n v="4.2833333333333332"/>
    <s v="DOUBLE"/>
    <n v="652.5"/>
    <n v="100.28976399999999"/>
    <n v="152.33463035019454"/>
    <n v="23.413952684824903"/>
  </r>
  <r>
    <d v="2023-08-16T00:00:00"/>
    <x v="1"/>
    <x v="1"/>
    <x v="2"/>
    <n v="0"/>
    <x v="1"/>
    <n v="3.7666666666666666"/>
    <s v="DOUBLE"/>
    <n v="728.5"/>
    <n v="133.81860800000001"/>
    <n v="193.40707964601771"/>
    <n v="35.527064070796463"/>
  </r>
  <r>
    <d v="2023-08-16T00:00:00"/>
    <x v="0"/>
    <x v="1"/>
    <x v="2"/>
    <n v="0"/>
    <x v="1"/>
    <n v="5.95"/>
    <s v="DOUBLE"/>
    <n v="1652"/>
    <n v="292.53746799999999"/>
    <n v="277.64705882352939"/>
    <n v="49.165961008403357"/>
  </r>
  <r>
    <d v="2023-08-18T00:00:00"/>
    <x v="0"/>
    <x v="1"/>
    <x v="4"/>
    <n v="1"/>
    <x v="0"/>
    <n v="5.166666666666667"/>
    <s v="SINGLE"/>
    <n v="1152.5"/>
    <n v="179.999664"/>
    <n v="223.06451612903226"/>
    <n v="34.838644645161288"/>
  </r>
  <r>
    <d v="2023-08-19T00:00:00"/>
    <x v="0"/>
    <x v="1"/>
    <x v="0"/>
    <n v="1"/>
    <x v="0"/>
    <n v="6.4666666666666668"/>
    <s v="SINGLE"/>
    <n v="1761.5"/>
    <n v="316.70870400000001"/>
    <n v="272.39690721649487"/>
    <n v="48.975572783505157"/>
  </r>
  <r>
    <d v="2023-08-21T00:00:00"/>
    <x v="1"/>
    <x v="1"/>
    <x v="5"/>
    <n v="0"/>
    <x v="1"/>
    <n v="4.7833333333333332"/>
    <s v="SINGLE"/>
    <n v="910"/>
    <n v="148.91608400000001"/>
    <n v="190.2439024390244"/>
    <n v="31.132282369337982"/>
  </r>
  <r>
    <d v="2023-08-22T00:00:00"/>
    <x v="1"/>
    <x v="1"/>
    <x v="6"/>
    <n v="0"/>
    <x v="1"/>
    <n v="5.5666666666666664"/>
    <s v="DOUBLE"/>
    <n v="942"/>
    <n v="169.04360800000001"/>
    <n v="169.22155688622755"/>
    <n v="30.367115209580842"/>
  </r>
  <r>
    <d v="2023-08-22T00:00:00"/>
    <x v="0"/>
    <x v="1"/>
    <x v="6"/>
    <n v="0"/>
    <x v="1"/>
    <n v="3.95"/>
    <s v="DOUBLE"/>
    <n v="405"/>
    <n v="65.265259999999998"/>
    <n v="102.53164556962025"/>
    <n v="16.522850632911393"/>
  </r>
  <r>
    <d v="2023-08-23T00:00:00"/>
    <x v="1"/>
    <x v="1"/>
    <x v="2"/>
    <n v="0"/>
    <x v="1"/>
    <n v="3.45"/>
    <s v="DOUBLE"/>
    <n v="524"/>
    <n v="82.299660000000003"/>
    <n v="151.88405797101447"/>
    <n v="23.854973913043477"/>
  </r>
  <r>
    <d v="2023-08-23T00:00:00"/>
    <x v="0"/>
    <x v="1"/>
    <x v="2"/>
    <n v="0"/>
    <x v="1"/>
    <n v="3.55"/>
    <s v="DOUBLE"/>
    <n v="857.5"/>
    <n v="151.97421999999997"/>
    <n v="241.5492957746479"/>
    <n v="42.809639436619712"/>
  </r>
  <r>
    <d v="2023-08-25T00:00:00"/>
    <x v="0"/>
    <x v="1"/>
    <x v="4"/>
    <n v="1"/>
    <x v="0"/>
    <n v="5.166666666666667"/>
    <s v="SINGLE"/>
    <n v="1320.5"/>
    <n v="225.458944"/>
    <n v="255.58064516129031"/>
    <n v="43.637214967741933"/>
  </r>
  <r>
    <d v="2023-08-26T00:00:00"/>
    <x v="1"/>
    <x v="1"/>
    <x v="0"/>
    <n v="1"/>
    <x v="0"/>
    <n v="4.583333333333333"/>
    <s v="DOUBLE"/>
    <n v="510"/>
    <n v="90.991011999999998"/>
    <n v="111.27272727272728"/>
    <n v="19.852584436363639"/>
  </r>
  <r>
    <d v="2023-08-26T00:00:00"/>
    <x v="0"/>
    <x v="1"/>
    <x v="0"/>
    <n v="1"/>
    <x v="0"/>
    <n v="4.9833333333333334"/>
    <s v="DOUBLE"/>
    <n v="1345.5"/>
    <n v="232.13966000000002"/>
    <n v="270"/>
    <n v="46.583209364548502"/>
  </r>
  <r>
    <d v="2023-08-27T00:00:00"/>
    <x v="1"/>
    <x v="1"/>
    <x v="1"/>
    <n v="1"/>
    <x v="0"/>
    <n v="4.0583333333333336"/>
    <s v="DOUBLE"/>
    <n v="1029.75"/>
    <n v="167.970966"/>
    <n v="253.73716632443529"/>
    <n v="41.389149733059547"/>
  </r>
  <r>
    <d v="2023-08-27T00:00:00"/>
    <x v="0"/>
    <x v="1"/>
    <x v="1"/>
    <n v="1"/>
    <x v="0"/>
    <n v="4.05"/>
    <s v="DOUBLE"/>
    <n v="1029.75"/>
    <n v="156.953216"/>
    <n v="254.25925925925927"/>
    <n v="38.753880493827161"/>
  </r>
  <r>
    <d v="2023-08-28T00:00:00"/>
    <x v="1"/>
    <x v="1"/>
    <x v="5"/>
    <n v="0"/>
    <x v="1"/>
    <n v="2.9833333333333334"/>
    <s v="DOUBLE"/>
    <n v="281"/>
    <n v="52.754260000000002"/>
    <n v="94.189944134078203"/>
    <n v="17.682992178770949"/>
  </r>
  <r>
    <d v="2023-08-28T00:00:00"/>
    <x v="0"/>
    <x v="1"/>
    <x v="5"/>
    <n v="0"/>
    <x v="1"/>
    <n v="2.5"/>
    <s v="DOUBLE"/>
    <n v="131"/>
    <n v="25.844839999999998"/>
    <n v="52.4"/>
    <n v="10.337935999999999"/>
  </r>
  <r>
    <d v="2023-08-30T00:00:00"/>
    <x v="1"/>
    <x v="1"/>
    <x v="2"/>
    <n v="0"/>
    <x v="1"/>
    <n v="3.55"/>
    <s v="DOUBLE"/>
    <n v="787"/>
    <n v="114.16381999999999"/>
    <n v="221.69014084507043"/>
    <n v="32.158822535211264"/>
  </r>
  <r>
    <d v="2023-08-30T00:00:00"/>
    <x v="0"/>
    <x v="1"/>
    <x v="2"/>
    <n v="0"/>
    <x v="1"/>
    <n v="4.45"/>
    <s v="DOUBLE"/>
    <n v="954.5"/>
    <n v="126.29014799999999"/>
    <n v="214.49438202247191"/>
    <n v="28.37980853932584"/>
  </r>
  <r>
    <d v="2023-09-02T00:00:00"/>
    <x v="0"/>
    <x v="2"/>
    <x v="0"/>
    <n v="1"/>
    <x v="0"/>
    <n v="7.4"/>
    <s v="SINGLE"/>
    <n v="1714"/>
    <n v="318.34183999999999"/>
    <n v="231.62162162162161"/>
    <n v="43.019167567567564"/>
  </r>
  <r>
    <d v="2023-09-03T00:00:00"/>
    <x v="0"/>
    <x v="2"/>
    <x v="1"/>
    <n v="1"/>
    <x v="0"/>
    <n v="5.25"/>
    <s v="SINGLE"/>
    <n v="1227.5"/>
    <n v="192.6677"/>
    <n v="233.8095238095238"/>
    <n v="36.698609523809523"/>
  </r>
  <r>
    <d v="2023-09-04T00:00:00"/>
    <x v="0"/>
    <x v="2"/>
    <x v="5"/>
    <n v="0"/>
    <x v="1"/>
    <n v="5.9333333333333336"/>
    <s v="SINGLE"/>
    <n v="1301.5"/>
    <n v="195.94261600000002"/>
    <n v="219.35393258426964"/>
    <n v="33.024036404494382"/>
  </r>
  <r>
    <d v="2023-09-05T00:00:00"/>
    <x v="0"/>
    <x v="2"/>
    <x v="6"/>
    <n v="0"/>
    <x v="1"/>
    <n v="6.1"/>
    <s v="SINGLE"/>
    <n v="950"/>
    <n v="149.30824799999999"/>
    <n v="155.73770491803279"/>
    <n v="24.476761967213115"/>
  </r>
  <r>
    <d v="2023-09-06T00:00:00"/>
    <x v="1"/>
    <x v="2"/>
    <x v="2"/>
    <n v="0"/>
    <x v="1"/>
    <n v="2.6666666666666665"/>
    <s v="SINGLE"/>
    <n v="223"/>
    <n v="42.626280000000001"/>
    <n v="83.625"/>
    <n v="15.984855000000001"/>
  </r>
  <r>
    <d v="2023-09-08T00:00:00"/>
    <x v="0"/>
    <x v="2"/>
    <x v="4"/>
    <n v="1"/>
    <x v="0"/>
    <n v="5.6833333333333336"/>
    <s v="SINGLE"/>
    <n v="1417"/>
    <n v="220.24354"/>
    <n v="249.32551319648093"/>
    <n v="38.75252903225806"/>
  </r>
  <r>
    <d v="2023-09-09T00:00:00"/>
    <x v="1"/>
    <x v="2"/>
    <x v="0"/>
    <n v="1"/>
    <x v="0"/>
    <n v="4.6500000000000004"/>
    <s v="SINGLE"/>
    <n v="589"/>
    <n v="106.108092"/>
    <n v="126.66666666666666"/>
    <n v="22.818944516129029"/>
  </r>
  <r>
    <d v="2023-09-10T00:00:00"/>
    <x v="1"/>
    <x v="2"/>
    <x v="1"/>
    <n v="1"/>
    <x v="0"/>
    <n v="4.166666666666667"/>
    <s v="DOUBLE"/>
    <n v="819.25"/>
    <n v="123.7079"/>
    <n v="196.61999999999998"/>
    <n v="29.689895999999997"/>
  </r>
  <r>
    <d v="2023-09-10T00:00:00"/>
    <x v="0"/>
    <x v="2"/>
    <x v="1"/>
    <n v="1"/>
    <x v="0"/>
    <n v="4.166666666666667"/>
    <s v="DOUBLE"/>
    <n v="819.25"/>
    <n v="123.7079"/>
    <n v="196.61999999999998"/>
    <n v="29.689895999999997"/>
  </r>
  <r>
    <d v="2023-09-11T00:00:00"/>
    <x v="1"/>
    <x v="2"/>
    <x v="5"/>
    <n v="0"/>
    <x v="1"/>
    <n v="3.35"/>
    <s v="DOUBLE"/>
    <n v="349"/>
    <n v="68.743099999999998"/>
    <n v="104.17910447761194"/>
    <n v="20.520328358208953"/>
  </r>
  <r>
    <d v="2023-09-11T00:00:00"/>
    <x v="0"/>
    <x v="2"/>
    <x v="5"/>
    <n v="0"/>
    <x v="1"/>
    <n v="3.6666666666666665"/>
    <s v="DOUBLE"/>
    <n v="430"/>
    <n v="76.038240000000002"/>
    <n v="117.27272727272728"/>
    <n v="20.737701818181819"/>
  </r>
  <r>
    <d v="2023-09-13T00:00:00"/>
    <x v="1"/>
    <x v="2"/>
    <x v="2"/>
    <n v="0"/>
    <x v="1"/>
    <n v="4.4333333333333336"/>
    <s v="SINGLE"/>
    <n v="731"/>
    <n v="108.471272"/>
    <n v="164.88721804511277"/>
    <n v="24.467204210526315"/>
  </r>
  <r>
    <d v="2023-09-15T00:00:00"/>
    <x v="1"/>
    <x v="2"/>
    <x v="4"/>
    <n v="0"/>
    <x v="1"/>
    <n v="3.6333333333333333"/>
    <s v="DOUBLE"/>
    <n v="649.5"/>
    <n v="109.82080000000001"/>
    <n v="178.76146788990826"/>
    <n v="30.225908256880736"/>
  </r>
  <r>
    <d v="2023-09-15T00:00:00"/>
    <x v="0"/>
    <x v="2"/>
    <x v="4"/>
    <n v="1"/>
    <x v="0"/>
    <n v="4.4833333333333334"/>
    <s v="DOUBLE"/>
    <n v="862.5"/>
    <n v="129.09727599999999"/>
    <n v="192.37918215613382"/>
    <n v="28.794931449814126"/>
  </r>
  <r>
    <d v="2023-09-16T00:00:00"/>
    <x v="1"/>
    <x v="2"/>
    <x v="0"/>
    <n v="1"/>
    <x v="0"/>
    <n v="5.666666666666667"/>
    <s v="SINGLE"/>
    <n v="1203"/>
    <n v="201.58923199999998"/>
    <n v="212.29411764705881"/>
    <n v="35.574570352941173"/>
  </r>
  <r>
    <d v="2023-09-17T00:00:00"/>
    <x v="1"/>
    <x v="2"/>
    <x v="1"/>
    <n v="1"/>
    <x v="0"/>
    <n v="4.0666666666666664"/>
    <s v="DOUBLE"/>
    <n v="1018"/>
    <n v="161.95194000000001"/>
    <n v="250.32786885245903"/>
    <n v="39.824247540983613"/>
  </r>
  <r>
    <d v="2023-09-17T00:00:00"/>
    <x v="0"/>
    <x v="2"/>
    <x v="1"/>
    <n v="1"/>
    <x v="0"/>
    <n v="3"/>
    <s v="DOUBLE"/>
    <n v="1018"/>
    <n v="159.67993999999999"/>
    <n v="339.33333333333331"/>
    <n v="53.22664666666666"/>
  </r>
  <r>
    <d v="2023-09-18T00:00:00"/>
    <x v="1"/>
    <x v="2"/>
    <x v="5"/>
    <n v="0"/>
    <x v="1"/>
    <n v="3.7333333333333334"/>
    <s v="DOUBLE"/>
    <n v="309"/>
    <n v="58.22184"/>
    <n v="82.767857142857139"/>
    <n v="15.595135714285714"/>
  </r>
  <r>
    <d v="2023-09-18T00:00:00"/>
    <x v="0"/>
    <x v="2"/>
    <x v="5"/>
    <n v="0"/>
    <x v="1"/>
    <n v="4.0999999999999996"/>
    <s v="DOUBLE"/>
    <n v="498"/>
    <n v="85.087944000000007"/>
    <n v="121.46341463414635"/>
    <n v="20.753157073170737"/>
  </r>
  <r>
    <d v="2023-09-23T00:00:00"/>
    <x v="1"/>
    <x v="2"/>
    <x v="0"/>
    <n v="1"/>
    <x v="0"/>
    <n v="5.666666666666667"/>
    <s v="SINGLE"/>
    <n v="933"/>
    <n v="156.81897599999999"/>
    <n v="164.64705882352939"/>
    <n v="27.673936941176468"/>
  </r>
  <r>
    <d v="2023-09-24T00:00:00"/>
    <x v="1"/>
    <x v="2"/>
    <x v="1"/>
    <n v="1"/>
    <x v="0"/>
    <n v="4.0166666666666666"/>
    <s v="DOUBLE"/>
    <n v="931"/>
    <n v="187.39946"/>
    <n v="231.78423236514524"/>
    <n v="46.655467219917014"/>
  </r>
  <r>
    <d v="2023-09-24T00:00:00"/>
    <x v="0"/>
    <x v="2"/>
    <x v="1"/>
    <n v="1"/>
    <x v="0"/>
    <n v="4.0166666666666666"/>
    <s v="DOUBLE"/>
    <n v="931"/>
    <n v="187.39946"/>
    <n v="231.78423236514524"/>
    <n v="46.655467219917014"/>
  </r>
  <r>
    <d v="2023-09-25T00:00:00"/>
    <x v="0"/>
    <x v="2"/>
    <x v="5"/>
    <n v="0"/>
    <x v="1"/>
    <n v="5.2833333333333332"/>
    <s v="SINGLE"/>
    <n v="1011.5"/>
    <n v="166.86658"/>
    <n v="191.45110410094637"/>
    <n v="31.583579810725553"/>
  </r>
  <r>
    <d v="2023-09-27T00:00:00"/>
    <x v="0"/>
    <x v="2"/>
    <x v="2"/>
    <n v="0"/>
    <x v="1"/>
    <n v="4.7333333333333334"/>
    <s v="SINGLE"/>
    <n v="648"/>
    <n v="102.25415199999999"/>
    <n v="136.90140845070422"/>
    <n v="21.602989859154928"/>
  </r>
  <r>
    <d v="2023-09-29T00:00:00"/>
    <x v="0"/>
    <x v="2"/>
    <x v="4"/>
    <n v="1"/>
    <x v="0"/>
    <n v="5.2333333333333334"/>
    <s v="SINGLE"/>
    <n v="848"/>
    <n v="135.44354399999997"/>
    <n v="162.03821656050954"/>
    <n v="25.880931974522287"/>
  </r>
  <r>
    <d v="2023-09-30T00:00:00"/>
    <x v="0"/>
    <x v="2"/>
    <x v="0"/>
    <n v="1"/>
    <x v="0"/>
    <n v="10.916666666666666"/>
    <s v="SINGLE"/>
    <n v="1323"/>
    <n v="169.007724"/>
    <n v="121.19083969465649"/>
    <n v="15.481623572519084"/>
  </r>
  <r>
    <d v="2023-10-01T00:00:00"/>
    <x v="1"/>
    <x v="3"/>
    <x v="1"/>
    <n v="1"/>
    <x v="0"/>
    <n v="5.083333333333333"/>
    <s v="DOUBLE"/>
    <n v="978.25"/>
    <n v="200.75157999999999"/>
    <n v="192.4426229508197"/>
    <n v="39.492114098360659"/>
  </r>
  <r>
    <d v="2023-10-01T00:00:00"/>
    <x v="0"/>
    <x v="3"/>
    <x v="1"/>
    <n v="1"/>
    <x v="0"/>
    <n v="5.083333333333333"/>
    <s v="DOUBLE"/>
    <n v="978.25"/>
    <n v="200.75157999999999"/>
    <n v="192.4426229508197"/>
    <n v="39.492114098360659"/>
  </r>
  <r>
    <d v="2023-10-02T00:00:00"/>
    <x v="0"/>
    <x v="3"/>
    <x v="5"/>
    <n v="0"/>
    <x v="1"/>
    <n v="4.666666666666667"/>
    <s v="SINGLE"/>
    <n v="838.5"/>
    <n v="140.81690399999999"/>
    <n v="179.67857142857142"/>
    <n v="30.175050857142853"/>
  </r>
  <r>
    <d v="2023-10-04T00:00:00"/>
    <x v="1"/>
    <x v="3"/>
    <x v="2"/>
    <n v="0"/>
    <x v="1"/>
    <n v="4.666666666666667"/>
    <s v="SINGLE"/>
    <n v="350"/>
    <n v="48.305231999999997"/>
    <n v="75"/>
    <n v="10.351121142857142"/>
  </r>
  <r>
    <d v="2023-10-07T00:00:00"/>
    <x v="0"/>
    <x v="3"/>
    <x v="0"/>
    <n v="1"/>
    <x v="0"/>
    <n v="6.8833333333333337"/>
    <s v="SINGLE"/>
    <n v="892"/>
    <n v="146.1317"/>
    <n v="129.58837772397095"/>
    <n v="21.229786924939464"/>
  </r>
  <r>
    <d v="2023-10-08T00:00:00"/>
    <x v="0"/>
    <x v="3"/>
    <x v="1"/>
    <n v="1"/>
    <x v="0"/>
    <n v="5.9333333333333336"/>
    <s v="SINGLE"/>
    <n v="1409"/>
    <n v="249.44045599999998"/>
    <n v="237.47191011235955"/>
    <n v="42.040526292134828"/>
  </r>
  <r>
    <d v="2023-10-09T00:00:00"/>
    <x v="0"/>
    <x v="3"/>
    <x v="5"/>
    <n v="0"/>
    <x v="1"/>
    <n v="6.2166666666666668"/>
    <s v="SINGLE"/>
    <n v="1222.5"/>
    <n v="231.20622"/>
    <n v="196.64879356568363"/>
    <n v="37.191349061662201"/>
  </r>
  <r>
    <d v="2023-10-10T00:00:00"/>
    <x v="0"/>
    <x v="3"/>
    <x v="6"/>
    <n v="0"/>
    <x v="1"/>
    <n v="4.5"/>
    <s v="SINGLE"/>
    <n v="1012"/>
    <n v="162.29396800000001"/>
    <n v="224.88888888888889"/>
    <n v="36.065326222222225"/>
  </r>
  <r>
    <d v="2023-10-11T00:00:00"/>
    <x v="0"/>
    <x v="3"/>
    <x v="2"/>
    <n v="0"/>
    <x v="1"/>
    <n v="3.25"/>
    <s v="SINGLE"/>
    <n v="212.5"/>
    <n v="31.566172000000002"/>
    <n v="65.384615384615387"/>
    <n v="9.7126683076923079"/>
  </r>
  <r>
    <d v="2023-10-12T00:00:00"/>
    <x v="0"/>
    <x v="3"/>
    <x v="3"/>
    <n v="0"/>
    <x v="1"/>
    <n v="3.75"/>
    <s v="SINGLE"/>
    <n v="306.5"/>
    <n v="50.00262"/>
    <n v="81.733333333333334"/>
    <n v="13.334032000000001"/>
  </r>
  <r>
    <d v="2023-10-15T00:00:00"/>
    <x v="0"/>
    <x v="3"/>
    <x v="1"/>
    <n v="1"/>
    <x v="0"/>
    <n v="6.0166666666666666"/>
    <s v="SINGLE"/>
    <n v="1403.5"/>
    <n v="137.80432400000001"/>
    <n v="233.26869806094183"/>
    <n v="22.903765761772856"/>
  </r>
  <r>
    <d v="2023-10-16T00:00:00"/>
    <x v="0"/>
    <x v="3"/>
    <x v="5"/>
    <n v="0"/>
    <x v="1"/>
    <n v="6.4333333333333336"/>
    <s v="SINGLE"/>
    <n v="1422.48"/>
    <n v="242.09894400000002"/>
    <n v="221.11088082901554"/>
    <n v="37.63196020725389"/>
  </r>
  <r>
    <d v="2023-10-17T00:00:00"/>
    <x v="1"/>
    <x v="3"/>
    <x v="6"/>
    <n v="0"/>
    <x v="1"/>
    <n v="5.2"/>
    <s v="DOUBLE"/>
    <n v="836"/>
    <n v="115.57019199999999"/>
    <n v="160.76923076923077"/>
    <n v="22.225036923076921"/>
  </r>
  <r>
    <d v="2023-10-17T00:00:00"/>
    <x v="0"/>
    <x v="3"/>
    <x v="6"/>
    <n v="0"/>
    <x v="1"/>
    <n v="2.9333333333333331"/>
    <s v="DOUBLE"/>
    <n v="245"/>
    <n v="39.669471999999999"/>
    <n v="83.52272727272728"/>
    <n v="13.523683636363637"/>
  </r>
  <r>
    <d v="2023-10-18T00:00:00"/>
    <x v="0"/>
    <x v="3"/>
    <x v="2"/>
    <n v="0"/>
    <x v="1"/>
    <n v="4.5666666666666664"/>
    <s v="SINGLE"/>
    <n v="1018"/>
    <n v="188.66008000000002"/>
    <n v="222.9197080291971"/>
    <n v="41.312426277372268"/>
  </r>
  <r>
    <d v="2023-10-19T00:00:00"/>
    <x v="0"/>
    <x v="3"/>
    <x v="3"/>
    <n v="0"/>
    <x v="1"/>
    <n v="6.05"/>
    <s v="SINGLE"/>
    <n v="955"/>
    <n v="156.47206000000003"/>
    <n v="157.85123966942149"/>
    <n v="25.863150413223146"/>
  </r>
  <r>
    <d v="2023-10-22T00:00:00"/>
    <x v="0"/>
    <x v="3"/>
    <x v="1"/>
    <n v="1"/>
    <x v="0"/>
    <n v="5.4833333333333334"/>
    <s v="SINGLE"/>
    <n v="1040.5"/>
    <n v="174.95838000000001"/>
    <n v="189.75683890577508"/>
    <n v="31.907303343465045"/>
  </r>
  <r>
    <d v="2023-10-23T00:00:00"/>
    <x v="0"/>
    <x v="3"/>
    <x v="5"/>
    <n v="0"/>
    <x v="1"/>
    <n v="5.583333333333333"/>
    <s v="SINGLE"/>
    <n v="1279"/>
    <n v="204.05530799999997"/>
    <n v="229.07462686567166"/>
    <n v="36.547219343283579"/>
  </r>
  <r>
    <d v="2023-10-24T00:00:00"/>
    <x v="1"/>
    <x v="3"/>
    <x v="6"/>
    <n v="0"/>
    <x v="1"/>
    <n v="3.2333333333333334"/>
    <s v="DOUBLE"/>
    <n v="640"/>
    <n v="102.89900799999999"/>
    <n v="197.93814432989691"/>
    <n v="31.824435463917524"/>
  </r>
  <r>
    <d v="2023-10-24T00:00:00"/>
    <x v="0"/>
    <x v="3"/>
    <x v="6"/>
    <n v="0"/>
    <x v="1"/>
    <n v="3.6"/>
    <s v="DOUBLE"/>
    <n v="558"/>
    <n v="90.058800000000005"/>
    <n v="155"/>
    <n v="25.016333333333336"/>
  </r>
  <r>
    <d v="2023-10-25T00:00:00"/>
    <x v="1"/>
    <x v="3"/>
    <x v="2"/>
    <n v="0"/>
    <x v="1"/>
    <n v="3.2666666666666666"/>
    <s v="SINGLE"/>
    <n v="351"/>
    <n v="60.758799999999994"/>
    <n v="107.44897959183673"/>
    <n v="18.599632653061224"/>
  </r>
  <r>
    <d v="2023-10-27T00:00:00"/>
    <x v="0"/>
    <x v="3"/>
    <x v="4"/>
    <n v="1"/>
    <x v="0"/>
    <n v="5.4333333333333336"/>
    <s v="SINGLE"/>
    <n v="1010"/>
    <n v="198.68506400000001"/>
    <n v="185.88957055214723"/>
    <n v="36.567803190184051"/>
  </r>
  <r>
    <d v="2023-10-28T00:00:00"/>
    <x v="0"/>
    <x v="3"/>
    <x v="0"/>
    <n v="1"/>
    <x v="0"/>
    <n v="7.6833333333333336"/>
    <s v="SINGLE"/>
    <n v="1353"/>
    <n v="220.97762"/>
    <n v="176.09544468546636"/>
    <n v="28.760644685466378"/>
  </r>
  <r>
    <d v="2023-10-30T00:00:00"/>
    <x v="0"/>
    <x v="3"/>
    <x v="5"/>
    <n v="0"/>
    <x v="1"/>
    <n v="3.7"/>
    <s v="SINGLE"/>
    <n v="593"/>
    <n v="99.087248000000002"/>
    <n v="160.27027027027026"/>
    <n v="26.780337297297297"/>
  </r>
  <r>
    <d v="2023-10-31T00:00:00"/>
    <x v="1"/>
    <x v="3"/>
    <x v="6"/>
    <n v="0"/>
    <x v="1"/>
    <n v="3.2166666666666668"/>
    <s v="DOUBLE"/>
    <n v="410"/>
    <n v="71.073899999999995"/>
    <n v="127.46113989637306"/>
    <n v="22.095512953367873"/>
  </r>
  <r>
    <d v="2023-10-31T00:00:00"/>
    <x v="0"/>
    <x v="3"/>
    <x v="6"/>
    <n v="0"/>
    <x v="1"/>
    <n v="3.6166666666666667"/>
    <s v="DOUBLE"/>
    <n v="603"/>
    <n v="94.832580000000007"/>
    <n v="166.72811059907835"/>
    <n v="26.220989861751153"/>
  </r>
  <r>
    <d v="2023-11-03T00:00:00"/>
    <x v="0"/>
    <x v="4"/>
    <x v="4"/>
    <n v="1"/>
    <x v="0"/>
    <n v="7.083333333333333"/>
    <s v="SINGLE"/>
    <n v="1618.5"/>
    <n v="333.18904399999997"/>
    <n v="228.49411764705883"/>
    <n v="47.038453270588235"/>
  </r>
  <r>
    <d v="2023-11-04T00:00:00"/>
    <x v="0"/>
    <x v="4"/>
    <x v="0"/>
    <n v="1"/>
    <x v="0"/>
    <n v="6.85"/>
    <s v="SINGLE"/>
    <n v="1228.5"/>
    <n v="194.315012"/>
    <n v="179.34306569343067"/>
    <n v="28.367155036496353"/>
  </r>
  <r>
    <d v="2023-11-06T00:00:00"/>
    <x v="0"/>
    <x v="4"/>
    <x v="5"/>
    <n v="0"/>
    <x v="1"/>
    <n v="6.4"/>
    <s v="SINGLE"/>
    <n v="1127.25"/>
    <n v="193.85134399999998"/>
    <n v="176.1328125"/>
    <n v="30.289272499999996"/>
  </r>
  <r>
    <d v="2023-11-07T00:00:00"/>
    <x v="1"/>
    <x v="4"/>
    <x v="6"/>
    <n v="0"/>
    <x v="1"/>
    <n v="3.05"/>
    <s v="DOUBLE"/>
    <n v="591.5"/>
    <n v="98.136363999999986"/>
    <n v="193.9344262295082"/>
    <n v="32.175857049180323"/>
  </r>
  <r>
    <d v="2023-11-07T00:00:00"/>
    <x v="0"/>
    <x v="4"/>
    <x v="6"/>
    <n v="0"/>
    <x v="1"/>
    <n v="5.0333333333333332"/>
    <s v="DOUBLE"/>
    <n v="947.5"/>
    <n v="176.85569600000002"/>
    <n v="188.24503311258277"/>
    <n v="35.136893245033122"/>
  </r>
  <r>
    <d v="2023-11-10T00:00:00"/>
    <x v="0"/>
    <x v="4"/>
    <x v="4"/>
    <n v="1"/>
    <x v="0"/>
    <n v="6.7666666666666666"/>
    <s v="SINGLE"/>
    <n v="1505"/>
    <n v="236.089088"/>
    <n v="222.41379310344828"/>
    <n v="34.890013004926111"/>
  </r>
  <r>
    <d v="2023-11-11T00:00:00"/>
    <x v="0"/>
    <x v="4"/>
    <x v="0"/>
    <n v="1"/>
    <x v="0"/>
    <n v="6.3166666666666664"/>
    <s v="SINGLE"/>
    <n v="1098"/>
    <n v="205.845732"/>
    <n v="173.82585751978891"/>
    <n v="32.58771482849604"/>
  </r>
  <r>
    <d v="2023-11-12T00:00:00"/>
    <x v="0"/>
    <x v="4"/>
    <x v="1"/>
    <n v="1"/>
    <x v="0"/>
    <n v="6.55"/>
    <s v="SINGLE"/>
    <n v="1284"/>
    <n v="210.13176400000003"/>
    <n v="196.03053435114504"/>
    <n v="32.081185343511457"/>
  </r>
  <r>
    <d v="2023-11-13T00:00:00"/>
    <x v="1"/>
    <x v="4"/>
    <x v="5"/>
    <n v="0"/>
    <x v="1"/>
    <n v="4.6333333333333337"/>
    <s v="SINGLE"/>
    <n v="568"/>
    <n v="97.287064000000001"/>
    <n v="122.58992805755395"/>
    <n v="20.997208057553955"/>
  </r>
  <r>
    <d v="2023-11-14T00:00:00"/>
    <x v="1"/>
    <x v="4"/>
    <x v="6"/>
    <n v="0"/>
    <x v="1"/>
    <n v="4.5333333333333332"/>
    <s v="SINGLE"/>
    <n v="988"/>
    <n v="148.91745600000002"/>
    <n v="217.94117647058823"/>
    <n v="32.849438823529418"/>
  </r>
  <r>
    <d v="2023-11-15T00:00:00"/>
    <x v="1"/>
    <x v="4"/>
    <x v="2"/>
    <n v="0"/>
    <x v="1"/>
    <n v="3.7666666666666666"/>
    <s v="SINGLE"/>
    <n v="731"/>
    <n v="106.313872"/>
    <n v="194.07079646017701"/>
    <n v="28.224921769911507"/>
  </r>
  <r>
    <d v="2023-11-17T00:00:00"/>
    <x v="0"/>
    <x v="4"/>
    <x v="4"/>
    <n v="1"/>
    <x v="0"/>
    <n v="5.85"/>
    <s v="SINGLE"/>
    <n v="1036.5"/>
    <n v="162.82282000000001"/>
    <n v="177.17948717948718"/>
    <n v="27.832960683760685"/>
  </r>
  <r>
    <d v="2023-11-18T00:00:00"/>
    <x v="0"/>
    <x v="4"/>
    <x v="0"/>
    <n v="1"/>
    <x v="0"/>
    <n v="4.583333333333333"/>
    <s v="SINGLE"/>
    <n v="1264"/>
    <n v="210.67860399999998"/>
    <n v="275.78181818181821"/>
    <n v="45.966240872727269"/>
  </r>
  <r>
    <d v="2023-11-20T00:00:00"/>
    <x v="0"/>
    <x v="4"/>
    <x v="5"/>
    <n v="0"/>
    <x v="1"/>
    <n v="6.45"/>
    <s v="SINGLE"/>
    <n v="1271"/>
    <n v="246.31573199999997"/>
    <n v="197.05426356589146"/>
    <n v="38.188485581395341"/>
  </r>
  <r>
    <d v="2023-11-21T00:00:00"/>
    <x v="1"/>
    <x v="4"/>
    <x v="6"/>
    <n v="0"/>
    <x v="1"/>
    <n v="3.25"/>
    <s v="DOUBLE"/>
    <n v="410"/>
    <n v="69.237492000000003"/>
    <n v="126.15384615384616"/>
    <n v="21.303843692307694"/>
  </r>
  <r>
    <d v="2023-11-21T00:00:00"/>
    <x v="0"/>
    <x v="4"/>
    <x v="6"/>
    <n v="0"/>
    <x v="1"/>
    <n v="4.75"/>
    <s v="DOUBLE"/>
    <n v="1448"/>
    <n v="241.88926000000001"/>
    <n v="304.84210526315792"/>
    <n v="50.924054736842109"/>
  </r>
  <r>
    <d v="2023-11-22T00:00:00"/>
    <x v="1"/>
    <x v="4"/>
    <x v="2"/>
    <n v="0"/>
    <x v="1"/>
    <n v="4.583333333333333"/>
    <s v="SINGLE"/>
    <n v="306"/>
    <n v="48.530916000000005"/>
    <n v="66.763636363636365"/>
    <n v="10.588563490909092"/>
  </r>
  <r>
    <d v="2023-11-24T00:00:00"/>
    <x v="0"/>
    <x v="4"/>
    <x v="4"/>
    <n v="1"/>
    <x v="0"/>
    <n v="4.3"/>
    <s v="SINGLE"/>
    <n v="835.5"/>
    <n v="124.98876000000001"/>
    <n v="194.30232558139537"/>
    <n v="29.067153488372096"/>
  </r>
  <r>
    <d v="2023-11-27T00:00:00"/>
    <x v="0"/>
    <x v="4"/>
    <x v="5"/>
    <n v="0"/>
    <x v="1"/>
    <n v="5.2666666666666666"/>
    <s v="SINGLE"/>
    <n v="535"/>
    <n v="92.886856000000009"/>
    <n v="101.58227848101266"/>
    <n v="17.636744810126583"/>
  </r>
  <r>
    <d v="2023-11-28T00:00:00"/>
    <x v="1"/>
    <x v="4"/>
    <x v="6"/>
    <n v="0"/>
    <x v="1"/>
    <n v="4.5"/>
    <s v="SINGLE"/>
    <n v="509"/>
    <n v="86.225679999999997"/>
    <n v="113.11111111111111"/>
    <n v="19.16126222222222"/>
  </r>
  <r>
    <d v="2023-11-30T00:00:00"/>
    <x v="0"/>
    <x v="4"/>
    <x v="3"/>
    <n v="0"/>
    <x v="1"/>
    <n v="3.8833333333333333"/>
    <s v="SINGLE"/>
    <n v="438.5"/>
    <n v="83.191628000000009"/>
    <n v="112.91845493562232"/>
    <n v="21.422736824034338"/>
  </r>
  <r>
    <d v="2023-12-01T00:00:00"/>
    <x v="0"/>
    <x v="5"/>
    <x v="4"/>
    <n v="1"/>
    <x v="0"/>
    <n v="5.55"/>
    <s v="SINGLE"/>
    <n v="1084.5"/>
    <n v="178.117964"/>
    <n v="195.40540540540542"/>
    <n v="32.09332684684685"/>
  </r>
  <r>
    <d v="2023-12-03T00:00:00"/>
    <x v="0"/>
    <x v="5"/>
    <x v="1"/>
    <n v="1"/>
    <x v="0"/>
    <n v="4.4833333333333334"/>
    <s v="SINGLE"/>
    <n v="1199"/>
    <n v="201.53945999999999"/>
    <n v="267.43494423791822"/>
    <n v="44.953039405204457"/>
  </r>
  <r>
    <d v="2023-12-04T00:00:00"/>
    <x v="0"/>
    <x v="5"/>
    <x v="5"/>
    <n v="0"/>
    <x v="1"/>
    <n v="5.2"/>
    <s v="SINGLE"/>
    <n v="465"/>
    <n v="85.968488000000008"/>
    <n v="89.42307692307692"/>
    <n v="16.532401538461539"/>
  </r>
  <r>
    <d v="2023-12-06T00:00:00"/>
    <x v="1"/>
    <x v="5"/>
    <x v="2"/>
    <n v="0"/>
    <x v="1"/>
    <n v="4.5166666666666666"/>
    <s v="SINGLE"/>
    <n v="698.5"/>
    <n v="107.33346"/>
    <n v="154.64944649446494"/>
    <n v="23.763865682656828"/>
  </r>
  <r>
    <d v="2023-12-08T00:00:00"/>
    <x v="0"/>
    <x v="5"/>
    <x v="4"/>
    <n v="1"/>
    <x v="0"/>
    <n v="5.3"/>
    <s v="SINGLE"/>
    <n v="1617"/>
    <n v="260.403952"/>
    <n v="305.09433962264154"/>
    <n v="49.132821132075478"/>
  </r>
  <r>
    <d v="2023-12-09T00:00:00"/>
    <x v="1"/>
    <x v="5"/>
    <x v="0"/>
    <n v="1"/>
    <x v="0"/>
    <n v="2.9333333333333331"/>
    <s v="DOUBLE"/>
    <n v="322"/>
    <n v="58.094623999999996"/>
    <n v="109.77272727272728"/>
    <n v="19.804985454545456"/>
  </r>
  <r>
    <d v="2023-12-09T00:00:00"/>
    <x v="0"/>
    <x v="5"/>
    <x v="0"/>
    <n v="1"/>
    <x v="0"/>
    <n v="4.8833333333333337"/>
    <s v="DOUBLE"/>
    <n v="1072"/>
    <n v="172.93660399999999"/>
    <n v="219.52218430034128"/>
    <n v="35.413639044368594"/>
  </r>
  <r>
    <d v="2023-12-11T00:00:00"/>
    <x v="0"/>
    <x v="5"/>
    <x v="5"/>
    <n v="0"/>
    <x v="1"/>
    <n v="4.166666666666667"/>
    <s v="SINGLE"/>
    <n v="1044.5"/>
    <n v="180.80057600000001"/>
    <n v="250.67999999999998"/>
    <n v="43.392138240000001"/>
  </r>
  <r>
    <d v="2023-12-13T00:00:00"/>
    <x v="1"/>
    <x v="5"/>
    <x v="2"/>
    <n v="0"/>
    <x v="1"/>
    <n v="5.1333333333333337"/>
    <s v="SINGLE"/>
    <n v="695"/>
    <n v="127.98885600000001"/>
    <n v="135.38961038961037"/>
    <n v="24.932894025974026"/>
  </r>
  <r>
    <d v="2023-12-15T00:00:00"/>
    <x v="0"/>
    <x v="5"/>
    <x v="4"/>
    <n v="1"/>
    <x v="0"/>
    <n v="3.4333333333333331"/>
    <s v="SINGLE"/>
    <n v="659"/>
    <n v="121.60652"/>
    <n v="191.94174757281556"/>
    <n v="35.41937475728156"/>
  </r>
  <r>
    <d v="2023-12-16T00:00:00"/>
    <x v="0"/>
    <x v="5"/>
    <x v="0"/>
    <n v="1"/>
    <x v="0"/>
    <n v="5"/>
    <s v="SINGLE"/>
    <n v="1181"/>
    <n v="181.37616800000001"/>
    <n v="236.2"/>
    <n v="36.2752336"/>
  </r>
  <r>
    <d v="2023-12-17T00:00:00"/>
    <x v="0"/>
    <x v="5"/>
    <x v="1"/>
    <n v="1"/>
    <x v="0"/>
    <n v="5.6166666666666663"/>
    <s v="SINGLE"/>
    <n v="1390"/>
    <n v="217.58837200000002"/>
    <n v="247.47774480712167"/>
    <n v="38.73976949554897"/>
  </r>
  <r>
    <d v="2023-12-18T00:00:00"/>
    <x v="0"/>
    <x v="5"/>
    <x v="5"/>
    <n v="0"/>
    <x v="1"/>
    <n v="5.65"/>
    <s v="SINGLE"/>
    <n v="1140"/>
    <n v="187.37920400000002"/>
    <n v="201.76991150442475"/>
    <n v="33.164460884955751"/>
  </r>
  <r>
    <d v="2023-12-21T00:00:00"/>
    <x v="0"/>
    <x v="5"/>
    <x v="3"/>
    <n v="0"/>
    <x v="1"/>
    <n v="5.3666666666666663"/>
    <s v="SINGLE"/>
    <n v="1102"/>
    <n v="199.11728000000002"/>
    <n v="205.34161490683232"/>
    <n v="37.102598757763985"/>
  </r>
  <r>
    <d v="2023-12-22T00:00:00"/>
    <x v="0"/>
    <x v="5"/>
    <x v="4"/>
    <n v="1"/>
    <x v="0"/>
    <n v="5.3"/>
    <s v="SINGLE"/>
    <n v="1445"/>
    <n v="232.50149599999997"/>
    <n v="272.64150943396226"/>
    <n v="43.868206792452824"/>
  </r>
  <r>
    <d v="2023-12-23T00:00:00"/>
    <x v="0"/>
    <x v="5"/>
    <x v="0"/>
    <n v="1"/>
    <x v="0"/>
    <n v="5.45"/>
    <s v="SINGLE"/>
    <n v="1427"/>
    <n v="259.20059599999996"/>
    <n v="261.83486238532112"/>
    <n v="47.559742385321094"/>
  </r>
  <r>
    <d v="2023-12-27T00:00:00"/>
    <x v="1"/>
    <x v="5"/>
    <x v="2"/>
    <n v="0"/>
    <x v="1"/>
    <n v="4.8666666666666663"/>
    <s v="DOUBLE"/>
    <n v="1065.5"/>
    <n v="208.52860799999999"/>
    <n v="218.93835616438358"/>
    <n v="42.848344109589043"/>
  </r>
  <r>
    <d v="2023-12-27T00:00:00"/>
    <x v="0"/>
    <x v="5"/>
    <x v="2"/>
    <n v="0"/>
    <x v="1"/>
    <n v="4.416666666666667"/>
    <s v="DOUBLE"/>
    <n v="1625.5"/>
    <n v="286.64925200000005"/>
    <n v="368.03773584905656"/>
    <n v="64.901717433962276"/>
  </r>
  <r>
    <d v="2023-12-29T00:00:00"/>
    <x v="0"/>
    <x v="5"/>
    <x v="4"/>
    <n v="1"/>
    <x v="0"/>
    <n v="5.0333333333333332"/>
    <s v="SINGLE"/>
    <n v="1304"/>
    <n v="216.11023999999998"/>
    <n v="259.07284768211923"/>
    <n v="42.935809271523176"/>
  </r>
  <r>
    <d v="2023-12-30T00:00:00"/>
    <x v="0"/>
    <x v="5"/>
    <x v="0"/>
    <n v="1"/>
    <x v="0"/>
    <n v="4.9000000000000004"/>
    <s v="SINGLE"/>
    <n v="1261"/>
    <n v="193.792216"/>
    <n v="257.34693877551018"/>
    <n v="39.549431836734691"/>
  </r>
  <r>
    <d v="2024-01-01T00:00:00"/>
    <x v="1"/>
    <x v="6"/>
    <x v="5"/>
    <n v="0"/>
    <x v="1"/>
    <n v="3.3833333333333333"/>
    <s v="DOUBLE"/>
    <n v="298"/>
    <n v="59.834435999999997"/>
    <n v="88.078817733990149"/>
    <n v="17.685054975369457"/>
  </r>
  <r>
    <d v="2024-01-01T00:00:00"/>
    <x v="0"/>
    <x v="6"/>
    <x v="5"/>
    <n v="0"/>
    <x v="1"/>
    <n v="3.7166666666666668"/>
    <s v="DOUBLE"/>
    <n v="946.5"/>
    <n v="167.03622000000001"/>
    <n v="254.66367713004485"/>
    <n v="44.942480717488792"/>
  </r>
  <r>
    <d v="2024-01-03T00:00:00"/>
    <x v="0"/>
    <x v="6"/>
    <x v="2"/>
    <n v="0"/>
    <x v="1"/>
    <n v="6.4333333333333336"/>
    <s v="SINGLE"/>
    <n v="1426.5"/>
    <n v="258.35831999999999"/>
    <n v="221.73575129533677"/>
    <n v="40.159324352331602"/>
  </r>
  <r>
    <d v="2024-01-05T00:00:00"/>
    <x v="0"/>
    <x v="6"/>
    <x v="4"/>
    <n v="1"/>
    <x v="0"/>
    <n v="4.8"/>
    <s v="SINGLE"/>
    <n v="1373.5"/>
    <n v="213.26584799999998"/>
    <n v="286.14583333333337"/>
    <n v="44.430384999999994"/>
  </r>
  <r>
    <d v="2024-01-06T00:00:00"/>
    <x v="0"/>
    <x v="6"/>
    <x v="0"/>
    <n v="1"/>
    <x v="0"/>
    <n v="5.4333333333333336"/>
    <s v="SINGLE"/>
    <n v="1280"/>
    <n v="197.23952"/>
    <n v="235.58282208588955"/>
    <n v="36.301752147239263"/>
  </r>
  <r>
    <d v="2024-01-07T00:00:00"/>
    <x v="0"/>
    <x v="6"/>
    <x v="1"/>
    <n v="1"/>
    <x v="0"/>
    <n v="5.2333333333333334"/>
    <s v="SINGLE"/>
    <n v="1389.5"/>
    <n v="233.85552799999999"/>
    <n v="265.50955414012736"/>
    <n v="44.685769681528662"/>
  </r>
  <r>
    <d v="2024-01-08T00:00:00"/>
    <x v="0"/>
    <x v="6"/>
    <x v="5"/>
    <n v="0"/>
    <x v="1"/>
    <n v="6.1333333333333337"/>
    <s v="SINGLE"/>
    <n v="491.5"/>
    <n v="92.215599999999995"/>
    <n v="80.135869565217391"/>
    <n v="15.035152173913042"/>
  </r>
  <r>
    <d v="2024-01-10T00:00:00"/>
    <x v="0"/>
    <x v="6"/>
    <x v="2"/>
    <n v="0"/>
    <x v="1"/>
    <n v="5.8166666666666664"/>
    <s v="SINGLE"/>
    <n v="1140.5"/>
    <n v="171.09210000000002"/>
    <n v="196.07449856733524"/>
    <n v="29.414114613180519"/>
  </r>
  <r>
    <d v="2024-01-12T00:00:00"/>
    <x v="0"/>
    <x v="6"/>
    <x v="4"/>
    <n v="1"/>
    <x v="0"/>
    <n v="5.9833333333333334"/>
    <s v="SINGLE"/>
    <n v="1276.5"/>
    <n v="215.94746000000001"/>
    <n v="213.34261838440111"/>
    <n v="36.091497493036215"/>
  </r>
  <r>
    <d v="2024-01-13T00:00:00"/>
    <x v="0"/>
    <x v="6"/>
    <x v="0"/>
    <n v="1"/>
    <x v="0"/>
    <n v="6.2833333333333332"/>
    <s v="SINGLE"/>
    <n v="1227"/>
    <n v="228.13538799999998"/>
    <n v="195.27851458885942"/>
    <n v="36.308019310344825"/>
  </r>
  <r>
    <d v="2024-01-17T00:00:00"/>
    <x v="0"/>
    <x v="6"/>
    <x v="2"/>
    <n v="0"/>
    <x v="1"/>
    <n v="5.4666666666666668"/>
    <s v="SINGLE"/>
    <n v="454"/>
    <n v="78.785280000000014"/>
    <n v="83.048780487804876"/>
    <n v="14.411941463414637"/>
  </r>
  <r>
    <d v="2024-01-18T00:00:00"/>
    <x v="1"/>
    <x v="6"/>
    <x v="3"/>
    <n v="0"/>
    <x v="1"/>
    <n v="5.25"/>
    <s v="SINGLE"/>
    <n v="919"/>
    <n v="148.03595600000003"/>
    <n v="175.04761904761904"/>
    <n v="28.197324952380956"/>
  </r>
  <r>
    <d v="2024-01-19T00:00:00"/>
    <x v="0"/>
    <x v="6"/>
    <x v="4"/>
    <n v="1"/>
    <x v="0"/>
    <n v="5.2166666666666668"/>
    <s v="SINGLE"/>
    <n v="1417"/>
    <n v="235.33174"/>
    <n v="271.62939297124598"/>
    <n v="45.111515654952072"/>
  </r>
  <r>
    <d v="2024-01-20T00:00:00"/>
    <x v="0"/>
    <x v="6"/>
    <x v="0"/>
    <n v="1"/>
    <x v="0"/>
    <n v="5.7333333333333334"/>
    <s v="SINGLE"/>
    <n v="1544"/>
    <n v="259.32637599999998"/>
    <n v="269.30232558139534"/>
    <n v="45.231344651162786"/>
  </r>
  <r>
    <d v="2024-01-22T00:00:00"/>
    <x v="1"/>
    <x v="6"/>
    <x v="5"/>
    <n v="0"/>
    <x v="1"/>
    <n v="2.85"/>
    <s v="SINGLE"/>
    <n v="283.5"/>
    <n v="44.028148000000002"/>
    <n v="99.473684210526315"/>
    <n v="15.44847298245614"/>
  </r>
  <r>
    <d v="2024-01-24T00:00:00"/>
    <x v="0"/>
    <x v="6"/>
    <x v="2"/>
    <n v="0"/>
    <x v="1"/>
    <n v="5"/>
    <s v="SINGLE"/>
    <n v="1000"/>
    <n v="167.29"/>
    <n v="200"/>
    <n v="33.457999999999998"/>
  </r>
  <r>
    <d v="2024-01-25T00:00:00"/>
    <x v="0"/>
    <x v="6"/>
    <x v="3"/>
    <n v="0"/>
    <x v="1"/>
    <n v="6.7666666666666666"/>
    <s v="SINGLE"/>
    <n v="1739"/>
    <n v="287.61990400000002"/>
    <n v="256.99507389162562"/>
    <n v="42.50540453201971"/>
  </r>
  <r>
    <d v="2024-01-26T00:00:00"/>
    <x v="0"/>
    <x v="6"/>
    <x v="4"/>
    <n v="1"/>
    <x v="0"/>
    <n v="4.7"/>
    <s v="SINGLE"/>
    <n v="1224"/>
    <n v="194.26603999999998"/>
    <n v="260.42553191489361"/>
    <n v="41.333199999999991"/>
  </r>
  <r>
    <d v="2024-01-27T00:00:00"/>
    <x v="1"/>
    <x v="6"/>
    <x v="0"/>
    <n v="1"/>
    <x v="0"/>
    <n v="5.0999999999999996"/>
    <s v="DOUBLE"/>
    <n v="1188.5"/>
    <n v="198.829072"/>
    <n v="233.03921568627453"/>
    <n v="38.98609254901961"/>
  </r>
  <r>
    <d v="2024-01-27T00:00:00"/>
    <x v="0"/>
    <x v="6"/>
    <x v="0"/>
    <n v="1"/>
    <x v="0"/>
    <n v="4.3666666666666663"/>
    <s v="DOUBLE"/>
    <n v="1192.5"/>
    <n v="198.46371199999999"/>
    <n v="273.09160305343516"/>
    <n v="45.449705038167941"/>
  </r>
  <r>
    <d v="2024-01-28T00:00:00"/>
    <x v="0"/>
    <x v="6"/>
    <x v="1"/>
    <n v="1"/>
    <x v="0"/>
    <n v="4.333333333333333"/>
    <s v="SINGLE"/>
    <n v="908"/>
    <n v="144.33091999999999"/>
    <n v="209.53846153846155"/>
    <n v="33.307135384615385"/>
  </r>
  <r>
    <d v="2024-01-31T00:00:00"/>
    <x v="0"/>
    <x v="6"/>
    <x v="2"/>
    <n v="0"/>
    <x v="1"/>
    <n v="6.2666666666666666"/>
    <s v="SINGLE"/>
    <n v="1320"/>
    <n v="183.97036800000001"/>
    <n v="210.63829787234042"/>
    <n v="29.356973617021278"/>
  </r>
  <r>
    <d v="2024-02-01T00:00:00"/>
    <x v="0"/>
    <x v="7"/>
    <x v="3"/>
    <n v="0"/>
    <x v="1"/>
    <n v="6.6333333333333337"/>
    <s v="SINGLE"/>
    <n v="1451.5"/>
    <n v="241.10095200000001"/>
    <n v="218.81909547738692"/>
    <n v="36.34687718592965"/>
  </r>
  <r>
    <d v="2024-02-02T00:00:00"/>
    <x v="0"/>
    <x v="7"/>
    <x v="4"/>
    <n v="1"/>
    <x v="0"/>
    <n v="7.9666666666666668"/>
    <s v="SINGLE"/>
    <n v="1462"/>
    <n v="276.31105599999995"/>
    <n v="183.51464435146443"/>
    <n v="34.683396150627608"/>
  </r>
  <r>
    <d v="2024-02-03T00:00:00"/>
    <x v="1"/>
    <x v="7"/>
    <x v="0"/>
    <n v="1"/>
    <x v="0"/>
    <n v="2.7333333333333334"/>
    <s v="SINGLE"/>
    <n v="207"/>
    <n v="43.126488000000002"/>
    <n v="75.731707317073173"/>
    <n v="15.777983414634146"/>
  </r>
  <r>
    <d v="2024-02-04T00:00:00"/>
    <x v="0"/>
    <x v="7"/>
    <x v="1"/>
    <n v="1"/>
    <x v="0"/>
    <n v="4"/>
    <s v="SINGLE"/>
    <n v="1094.5"/>
    <n v="187.93316000000002"/>
    <n v="273.625"/>
    <n v="46.983290000000004"/>
  </r>
  <r>
    <d v="2024-02-05T00:00:00"/>
    <x v="1"/>
    <x v="7"/>
    <x v="5"/>
    <n v="0"/>
    <x v="1"/>
    <n v="2.5166666666666666"/>
    <s v="DOUBLE"/>
    <n v="334"/>
    <n v="57.636924"/>
    <n v="132.71523178807948"/>
    <n v="22.902089006622518"/>
  </r>
  <r>
    <d v="2024-02-05T00:00:00"/>
    <x v="0"/>
    <x v="7"/>
    <x v="5"/>
    <n v="0"/>
    <x v="1"/>
    <n v="4.5333333333333332"/>
    <s v="DOUBLE"/>
    <n v="1044"/>
    <n v="184.10223999999999"/>
    <n v="230.29411764705884"/>
    <n v="40.610788235294116"/>
  </r>
  <r>
    <d v="2024-02-07T00:00:00"/>
    <x v="1"/>
    <x v="7"/>
    <x v="2"/>
    <n v="0"/>
    <x v="1"/>
    <n v="3.7833333333333332"/>
    <s v="DOUBLE"/>
    <n v="980"/>
    <n v="220.50298800000002"/>
    <n v="259.03083700440527"/>
    <n v="58.282728105726875"/>
  </r>
  <r>
    <d v="2024-02-07T00:00:00"/>
    <x v="0"/>
    <x v="7"/>
    <x v="2"/>
    <n v="0"/>
    <x v="1"/>
    <n v="5.7833333333333332"/>
    <s v="DOUBLE"/>
    <n v="1491.5"/>
    <n v="248.87699599999996"/>
    <n v="257.89625360230548"/>
    <n v="43.033486340057628"/>
  </r>
  <r>
    <d v="2024-02-08T00:00:00"/>
    <x v="0"/>
    <x v="7"/>
    <x v="3"/>
    <n v="0"/>
    <x v="1"/>
    <n v="6.1333333333333337"/>
    <s v="SINGLE"/>
    <n v="1198"/>
    <n v="206.80472799999998"/>
    <n v="195.32608695652172"/>
    <n v="33.718162173913036"/>
  </r>
  <r>
    <d v="2024-02-10T00:00:00"/>
    <x v="1"/>
    <x v="7"/>
    <x v="0"/>
    <n v="1"/>
    <x v="0"/>
    <n v="4.9333333333333336"/>
    <s v="SINGLE"/>
    <n v="908.5"/>
    <n v="175.62089600000002"/>
    <n v="184.15540540540539"/>
    <n v="35.59883027027027"/>
  </r>
  <r>
    <d v="2024-02-11T00:00:00"/>
    <x v="1"/>
    <x v="7"/>
    <x v="1"/>
    <n v="1"/>
    <x v="0"/>
    <n v="3.6666666666666665"/>
    <s v="SINGLE"/>
    <n v="513"/>
    <n v="87.969680000000011"/>
    <n v="139.90909090909091"/>
    <n v="23.991730909090911"/>
  </r>
  <r>
    <d v="2024-02-12T00:00:00"/>
    <x v="1"/>
    <x v="7"/>
    <x v="5"/>
    <n v="0"/>
    <x v="1"/>
    <n v="1.9166666666666667"/>
    <s v="DOUBLE"/>
    <n v="55"/>
    <n v="12.697699999999999"/>
    <n v="28.695652173913043"/>
    <n v="6.6248869565217383"/>
  </r>
  <r>
    <d v="2024-02-12T00:00:00"/>
    <x v="0"/>
    <x v="7"/>
    <x v="5"/>
    <n v="0"/>
    <x v="1"/>
    <n v="4.3833333333333337"/>
    <s v="DOUBLE"/>
    <n v="1041.5"/>
    <n v="141.91920399999998"/>
    <n v="237.60456273764257"/>
    <n v="32.377004714828892"/>
  </r>
  <r>
    <d v="2024-02-14T00:00:00"/>
    <x v="0"/>
    <x v="7"/>
    <x v="2"/>
    <n v="0"/>
    <x v="1"/>
    <n v="6.4666666666666668"/>
    <s v="SINGLE"/>
    <n v="2119"/>
    <n v="373.043768"/>
    <n v="327.68041237113403"/>
    <n v="57.687180618556702"/>
  </r>
  <r>
    <d v="2024-02-15T00:00:00"/>
    <x v="0"/>
    <x v="7"/>
    <x v="3"/>
    <n v="0"/>
    <x v="1"/>
    <n v="7.05"/>
    <s v="SINGLE"/>
    <n v="1197"/>
    <n v="211.08129200000002"/>
    <n v="169.78723404255319"/>
    <n v="29.940608794326245"/>
  </r>
  <r>
    <d v="2024-02-17T00:00:00"/>
    <x v="1"/>
    <x v="7"/>
    <x v="0"/>
    <n v="1"/>
    <x v="0"/>
    <n v="5.2666666666666666"/>
    <s v="DOUBLE"/>
    <n v="1085"/>
    <n v="163.45064799999997"/>
    <n v="206.01265822784811"/>
    <n v="31.034933164556957"/>
  </r>
  <r>
    <d v="2024-02-17T00:00:00"/>
    <x v="0"/>
    <x v="7"/>
    <x v="0"/>
    <n v="1"/>
    <x v="0"/>
    <n v="5.0999999999999996"/>
    <s v="DOUBLE"/>
    <n v="1526.5"/>
    <n v="238.391864"/>
    <n v="299.31372549019608"/>
    <n v="46.743502745098041"/>
  </r>
  <r>
    <d v="2024-02-18T00:00:00"/>
    <x v="1"/>
    <x v="7"/>
    <x v="1"/>
    <n v="1"/>
    <x v="0"/>
    <n v="4.666666666666667"/>
    <s v="DOUBLE"/>
    <n v="779"/>
    <n v="134.12731199999999"/>
    <n v="166.92857142857142"/>
    <n v="28.741566857142853"/>
  </r>
  <r>
    <d v="2024-02-18T00:00:00"/>
    <x v="0"/>
    <x v="7"/>
    <x v="1"/>
    <n v="1"/>
    <x v="0"/>
    <n v="4.583333333333333"/>
    <s v="DOUBLE"/>
    <n v="1245"/>
    <n v="235.05908399999998"/>
    <n v="271.63636363636363"/>
    <n v="51.285618327272729"/>
  </r>
  <r>
    <d v="2024-02-19T00:00:00"/>
    <x v="1"/>
    <x v="7"/>
    <x v="5"/>
    <n v="0"/>
    <x v="1"/>
    <n v="4"/>
    <s v="DOUBLE"/>
    <n v="566"/>
    <n v="88.340215999999984"/>
    <n v="141.5"/>
    <n v="22.085053999999996"/>
  </r>
  <r>
    <d v="2024-02-19T00:00:00"/>
    <x v="0"/>
    <x v="7"/>
    <x v="5"/>
    <n v="0"/>
    <x v="1"/>
    <n v="4.9666666666666668"/>
    <s v="DOUBLE"/>
    <n v="1027.5"/>
    <n v="178.746624"/>
    <n v="206.87919463087249"/>
    <n v="35.989253154362416"/>
  </r>
  <r>
    <d v="2024-02-24T00:00:00"/>
    <x v="0"/>
    <x v="7"/>
    <x v="0"/>
    <n v="1"/>
    <x v="0"/>
    <n v="5.75"/>
    <s v="SINGLE"/>
    <n v="1762"/>
    <n v="289.77713199999999"/>
    <n v="306.43478260869563"/>
    <n v="50.39602295652174"/>
  </r>
  <r>
    <d v="2024-02-25T00:00:00"/>
    <x v="0"/>
    <x v="7"/>
    <x v="1"/>
    <n v="1"/>
    <x v="0"/>
    <n v="5.2333333333333334"/>
    <s v="SINGLE"/>
    <n v="1062"/>
    <n v="169.05556000000001"/>
    <n v="202.92993630573247"/>
    <n v="32.303610191082804"/>
  </r>
  <r>
    <d v="2024-02-26T00:00:00"/>
    <x v="1"/>
    <x v="7"/>
    <x v="5"/>
    <n v="0"/>
    <x v="1"/>
    <n v="3.0166666666666666"/>
    <s v="DOUBLE"/>
    <n v="451.5"/>
    <n v="68.663443999999998"/>
    <n v="149.66850828729281"/>
    <n v="22.761362651933702"/>
  </r>
  <r>
    <d v="2024-02-26T00:00:00"/>
    <x v="0"/>
    <x v="7"/>
    <x v="5"/>
    <n v="0"/>
    <x v="1"/>
    <n v="5.4333333333333336"/>
    <s v="DOUBLE"/>
    <n v="975"/>
    <n v="181.67976800000002"/>
    <n v="179.4478527607362"/>
    <n v="33.43799411042945"/>
  </r>
  <r>
    <d v="2024-02-28T00:00:00"/>
    <x v="0"/>
    <x v="7"/>
    <x v="2"/>
    <n v="0"/>
    <x v="1"/>
    <n v="6"/>
    <s v="SINGLE"/>
    <n v="992"/>
    <n v="165.27627200000001"/>
    <n v="165.33333333333334"/>
    <n v="27.546045333333335"/>
  </r>
  <r>
    <d v="2024-03-01T00:00:00"/>
    <x v="1"/>
    <x v="8"/>
    <x v="4"/>
    <n v="0"/>
    <x v="1"/>
    <n v="5.25"/>
    <s v="SINGLE"/>
    <n v="1078"/>
    <n v="121.807196"/>
    <n v="205.33333333333334"/>
    <n v="23.201370666666669"/>
  </r>
  <r>
    <d v="2024-03-02T00:00:00"/>
    <x v="0"/>
    <x v="8"/>
    <x v="0"/>
    <n v="1"/>
    <x v="0"/>
    <n v="5.5333333333333332"/>
    <s v="SINGLE"/>
    <n v="1060"/>
    <n v="162.63203999999999"/>
    <n v="191.56626506024097"/>
    <n v="29.391332530120479"/>
  </r>
  <r>
    <d v="2024-03-03T00:00:00"/>
    <x v="1"/>
    <x v="8"/>
    <x v="1"/>
    <n v="1"/>
    <x v="0"/>
    <n v="4"/>
    <s v="DOUBLE"/>
    <n v="600"/>
    <n v="82.839999999999989"/>
    <n v="150"/>
    <n v="20.709999999999997"/>
  </r>
  <r>
    <d v="2024-03-03T00:00:00"/>
    <x v="0"/>
    <x v="8"/>
    <x v="1"/>
    <n v="1"/>
    <x v="0"/>
    <n v="5.5666666666666664"/>
    <s v="DOUBLE"/>
    <n v="2022"/>
    <n v="283.06921599999998"/>
    <n v="363.23353293413174"/>
    <n v="50.850757365269459"/>
  </r>
  <r>
    <d v="2024-03-04T00:00:00"/>
    <x v="1"/>
    <x v="8"/>
    <x v="5"/>
    <n v="0"/>
    <x v="1"/>
    <n v="2.75"/>
    <s v="DOUBLE"/>
    <n v="562"/>
    <n v="89.287804000000008"/>
    <n v="204.36363636363637"/>
    <n v="32.468292363636365"/>
  </r>
  <r>
    <d v="2024-03-04T00:00:00"/>
    <x v="0"/>
    <x v="8"/>
    <x v="5"/>
    <n v="0"/>
    <x v="1"/>
    <n v="5.4"/>
    <s v="DOUBLE"/>
    <n v="1687"/>
    <n v="311.89962400000002"/>
    <n v="312.40740740740739"/>
    <n v="57.759189629629631"/>
  </r>
  <r>
    <d v="2024-03-06T00:00:00"/>
    <x v="0"/>
    <x v="8"/>
    <x v="2"/>
    <n v="0"/>
    <x v="1"/>
    <n v="6.5"/>
    <s v="SINGLE"/>
    <n v="1484"/>
    <n v="248.45899199999999"/>
    <n v="228.30769230769232"/>
    <n v="38.224460307692304"/>
  </r>
  <r>
    <d v="2024-03-08T00:00:00"/>
    <x v="0"/>
    <x v="8"/>
    <x v="4"/>
    <n v="1"/>
    <x v="0"/>
    <n v="6.8166666666666664"/>
    <s v="SINGLE"/>
    <n v="1644"/>
    <n v="225.74660400000002"/>
    <n v="241.17359413202934"/>
    <n v="33.116861222493888"/>
  </r>
  <r>
    <d v="2024-03-09T00:00:00"/>
    <x v="1"/>
    <x v="8"/>
    <x v="0"/>
    <n v="1"/>
    <x v="0"/>
    <n v="3.2333333333333334"/>
    <s v="DOUBLE"/>
    <n v="410"/>
    <n v="76.934904000000003"/>
    <n v="126.80412371134021"/>
    <n v="23.794300206185568"/>
  </r>
  <r>
    <d v="2024-03-09T00:00:00"/>
    <x v="0"/>
    <x v="8"/>
    <x v="0"/>
    <n v="1"/>
    <x v="0"/>
    <n v="5.5666666666666664"/>
    <s v="DOUBLE"/>
    <n v="2225.5"/>
    <n v="344.84610399999997"/>
    <n v="399.79041916167665"/>
    <n v="61.948401916167661"/>
  </r>
  <r>
    <d v="2024-03-10T00:00:00"/>
    <x v="1"/>
    <x v="8"/>
    <x v="1"/>
    <n v="1"/>
    <x v="0"/>
    <n v="4.2166666666666668"/>
    <s v="DOUBLE"/>
    <n v="481"/>
    <n v="78.937404000000001"/>
    <n v="114.07114624505928"/>
    <n v="18.720332964426877"/>
  </r>
  <r>
    <d v="2024-03-10T00:00:00"/>
    <x v="0"/>
    <x v="8"/>
    <x v="1"/>
    <n v="1"/>
    <x v="0"/>
    <n v="4.5999999999999996"/>
    <s v="DOUBLE"/>
    <n v="1184"/>
    <n v="172.90884799999998"/>
    <n v="257.39130434782612"/>
    <n v="37.588879999999996"/>
  </r>
  <r>
    <d v="2024-03-11T00:00:00"/>
    <x v="0"/>
    <x v="8"/>
    <x v="5"/>
    <n v="0"/>
    <x v="1"/>
    <n v="6.3833333333333337"/>
    <s v="SINGLE"/>
    <n v="2178.5"/>
    <n v="347.55293999999998"/>
    <n v="341.2793733681462"/>
    <n v="54.44693577023498"/>
  </r>
  <r>
    <d v="2024-03-13T00:00:00"/>
    <x v="0"/>
    <x v="8"/>
    <x v="2"/>
    <n v="0"/>
    <x v="1"/>
    <n v="6.6333333333333337"/>
    <s v="SINGLE"/>
    <n v="1915"/>
    <n v="326.54312000000004"/>
    <n v="288.6934673366834"/>
    <n v="49.22760603015076"/>
  </r>
  <r>
    <d v="2024-03-15T00:00:00"/>
    <x v="0"/>
    <x v="8"/>
    <x v="4"/>
    <n v="1"/>
    <x v="0"/>
    <n v="8.2166666666666668"/>
    <s v="SINGLE"/>
    <n v="1924.5"/>
    <n v="298.03705200000002"/>
    <n v="234.21906693711966"/>
    <n v="36.27225784989858"/>
  </r>
  <r>
    <d v="2024-03-16T00:00:00"/>
    <x v="1"/>
    <x v="8"/>
    <x v="0"/>
    <n v="1"/>
    <x v="0"/>
    <n v="4.1500000000000004"/>
    <s v="DOUBLE"/>
    <n v="567"/>
    <n v="95.098060000000004"/>
    <n v="136.62650602409639"/>
    <n v="22.91519518072289"/>
  </r>
  <r>
    <d v="2024-03-16T00:00:00"/>
    <x v="0"/>
    <x v="8"/>
    <x v="0"/>
    <n v="1"/>
    <x v="0"/>
    <n v="4.2"/>
    <s v="DOUBLE"/>
    <n v="1429"/>
    <n v="219.94739200000001"/>
    <n v="340.23809523809524"/>
    <n v="52.368426666666664"/>
  </r>
  <r>
    <d v="2024-03-17T00:00:00"/>
    <x v="1"/>
    <x v="8"/>
    <x v="1"/>
    <n v="1"/>
    <x v="0"/>
    <n v="4.7"/>
    <s v="SINGLE"/>
    <n v="357.5"/>
    <n v="66.363367999999994"/>
    <n v="76.063829787234042"/>
    <n v="14.119865531914892"/>
  </r>
  <r>
    <d v="2024-03-18T00:00:00"/>
    <x v="1"/>
    <x v="8"/>
    <x v="5"/>
    <n v="0"/>
    <x v="1"/>
    <n v="3.45"/>
    <s v="DOUBLE"/>
    <n v="578.58000000000004"/>
    <n v="90.931659999999994"/>
    <n v="167.70434782608697"/>
    <n v="26.357002898550721"/>
  </r>
  <r>
    <d v="2024-03-18T00:00:00"/>
    <x v="0"/>
    <x v="8"/>
    <x v="5"/>
    <n v="0"/>
    <x v="1"/>
    <n v="4.5166666666666666"/>
    <s v="DOUBLE"/>
    <n v="1089"/>
    <n v="173.95813999999999"/>
    <n v="241.1070110701107"/>
    <n v="38.51471734317343"/>
  </r>
  <r>
    <d v="2024-03-20T00:00:00"/>
    <x v="0"/>
    <x v="8"/>
    <x v="2"/>
    <n v="0"/>
    <x v="1"/>
    <n v="4.2333333333333334"/>
    <s v="SINGLE"/>
    <n v="365"/>
    <n v="53.015720000000002"/>
    <n v="86.220472440944874"/>
    <n v="12.52339842519685"/>
  </r>
  <r>
    <d v="2024-03-23T00:00:00"/>
    <x v="0"/>
    <x v="8"/>
    <x v="0"/>
    <n v="1"/>
    <x v="0"/>
    <n v="6.75"/>
    <s v="SINGLE"/>
    <n v="1565.5"/>
    <n v="230.48858799999996"/>
    <n v="231.92592592592592"/>
    <n v="34.146457481481477"/>
  </r>
  <r>
    <d v="2024-03-24T00:00:00"/>
    <x v="1"/>
    <x v="8"/>
    <x v="1"/>
    <n v="1"/>
    <x v="0"/>
    <n v="5"/>
    <s v="SINGLE"/>
    <n v="913"/>
    <n v="155.60628"/>
    <n v="182.6"/>
    <n v="31.121255999999999"/>
  </r>
  <r>
    <d v="2024-03-25T00:00:00"/>
    <x v="1"/>
    <x v="8"/>
    <x v="5"/>
    <n v="0"/>
    <x v="1"/>
    <n v="3.4166666666666665"/>
    <s v="DOUBLE"/>
    <n v="341.5"/>
    <n v="55.795068000000001"/>
    <n v="99.951219512195124"/>
    <n v="16.330263804878051"/>
  </r>
  <r>
    <d v="2024-03-25T00:00:00"/>
    <x v="0"/>
    <x v="8"/>
    <x v="5"/>
    <n v="0"/>
    <x v="1"/>
    <n v="5.95"/>
    <s v="DOUBLE"/>
    <n v="1253.5"/>
    <n v="212.710452"/>
    <n v="210.67226890756302"/>
    <n v="35.749655798319324"/>
  </r>
  <r>
    <d v="2024-03-29T00:00:00"/>
    <x v="0"/>
    <x v="8"/>
    <x v="4"/>
    <n v="1"/>
    <x v="0"/>
    <n v="7.8166666666666664"/>
    <s v="SINGLE"/>
    <n v="2191.5"/>
    <n v="345.4649"/>
    <n v="280.36247334754796"/>
    <n v="44.195936034115142"/>
  </r>
  <r>
    <d v="2024-03-30T00:00:00"/>
    <x v="0"/>
    <x v="8"/>
    <x v="0"/>
    <n v="1"/>
    <x v="0"/>
    <n v="5.1333333333333337"/>
    <s v="SINGLE"/>
    <n v="953.5"/>
    <n v="155.63970399999999"/>
    <n v="185.74675324675323"/>
    <n v="30.319422857142854"/>
  </r>
  <r>
    <d v="2024-03-31T00:00:00"/>
    <x v="1"/>
    <x v="8"/>
    <x v="1"/>
    <n v="1"/>
    <x v="0"/>
    <n v="3.95"/>
    <s v="DOUBLE"/>
    <n v="815.5"/>
    <n v="103.476812"/>
    <n v="206.45569620253164"/>
    <n v="26.196661265822783"/>
  </r>
  <r>
    <d v="2024-03-31T00:00:00"/>
    <x v="0"/>
    <x v="8"/>
    <x v="1"/>
    <n v="1"/>
    <x v="0"/>
    <n v="5.0333333333333332"/>
    <s v="DOUBLE"/>
    <n v="1087"/>
    <n v="166.80110400000001"/>
    <n v="215.96026490066225"/>
    <n v="33.139292185430463"/>
  </r>
  <r>
    <d v="2024-04-01T00:00:00"/>
    <x v="1"/>
    <x v="9"/>
    <x v="5"/>
    <n v="0"/>
    <x v="1"/>
    <n v="4.1166666666666663"/>
    <s v="DOUBLE"/>
    <n v="770.5"/>
    <n v="147.19654799999998"/>
    <n v="187.16599190283404"/>
    <n v="35.756246477732795"/>
  </r>
  <r>
    <d v="2024-04-01T00:00:00"/>
    <x v="0"/>
    <x v="9"/>
    <x v="5"/>
    <n v="0"/>
    <x v="1"/>
    <n v="4.2333333333333334"/>
    <s v="DOUBLE"/>
    <n v="858"/>
    <n v="167.286216"/>
    <n v="202.6771653543307"/>
    <n v="39.516428976377952"/>
  </r>
  <r>
    <d v="2024-04-02T00:00:00"/>
    <x v="0"/>
    <x v="9"/>
    <x v="6"/>
    <n v="0"/>
    <x v="1"/>
    <n v="6.166666666666667"/>
    <s v="SINGLE"/>
    <n v="1193.5"/>
    <n v="212.50799999999998"/>
    <n v="193.54054054054052"/>
    <n v="34.460756756756751"/>
  </r>
  <r>
    <d v="2024-04-03T00:00:00"/>
    <x v="1"/>
    <x v="9"/>
    <x v="2"/>
    <n v="0"/>
    <x v="1"/>
    <n v="3.75"/>
    <s v="DOUBLE"/>
    <n v="591"/>
    <n v="90.533100000000005"/>
    <n v="157.6"/>
    <n v="24.142160000000001"/>
  </r>
  <r>
    <d v="2024-04-03T00:00:00"/>
    <x v="0"/>
    <x v="9"/>
    <x v="2"/>
    <n v="0"/>
    <x v="1"/>
    <n v="3.25"/>
    <s v="DOUBLE"/>
    <n v="368"/>
    <n v="63.631980000000006"/>
    <n v="113.23076923076923"/>
    <n v="19.579070769230771"/>
  </r>
  <r>
    <d v="2024-04-05T00:00:00"/>
    <x v="0"/>
    <x v="9"/>
    <x v="4"/>
    <n v="1"/>
    <x v="0"/>
    <n v="6.583333333333333"/>
    <s v="SINGLE"/>
    <n v="1198"/>
    <n v="198.61344399999999"/>
    <n v="181.97468354430382"/>
    <n v="30.169130734177216"/>
  </r>
  <r>
    <d v="2024-04-07T00:00:00"/>
    <x v="0"/>
    <x v="9"/>
    <x v="1"/>
    <n v="1"/>
    <x v="0"/>
    <n v="5.8666666666666663"/>
    <s v="SINGLE"/>
    <n v="975"/>
    <n v="147.77316000000002"/>
    <n v="166.19318181818184"/>
    <n v="25.188606818181825"/>
  </r>
  <r>
    <d v="2024-04-08T00:00:00"/>
    <x v="1"/>
    <x v="9"/>
    <x v="5"/>
    <n v="0"/>
    <x v="1"/>
    <n v="1.5166666666666666"/>
    <s v="DOUBLE"/>
    <n v="99"/>
    <n v="17.499027999999999"/>
    <n v="65.27472527472527"/>
    <n v="11.537820659340658"/>
  </r>
  <r>
    <d v="2024-04-08T00:00:00"/>
    <x v="0"/>
    <x v="9"/>
    <x v="5"/>
    <n v="0"/>
    <x v="1"/>
    <n v="3.8166666666666669"/>
    <s v="DOUBLE"/>
    <n v="594"/>
    <n v="106.895884"/>
    <n v="155.63318777292577"/>
    <n v="28.007655196506548"/>
  </r>
  <r>
    <d v="2024-04-10T00:00:00"/>
    <x v="1"/>
    <x v="9"/>
    <x v="2"/>
    <n v="0"/>
    <x v="1"/>
    <n v="3.0833333333333335"/>
    <s v="DOUBLE"/>
    <n v="319"/>
    <n v="56.53566"/>
    <n v="103.45945945945945"/>
    <n v="18.335889729729729"/>
  </r>
  <r>
    <d v="2024-04-10T00:00:00"/>
    <x v="0"/>
    <x v="9"/>
    <x v="2"/>
    <n v="0"/>
    <x v="1"/>
    <n v="4.3499999999999996"/>
    <s v="DOUBLE"/>
    <n v="856"/>
    <n v="189.01321999999999"/>
    <n v="196.78160919540232"/>
    <n v="43.451314942528739"/>
  </r>
  <r>
    <d v="2024-04-12T00:00:00"/>
    <x v="1"/>
    <x v="9"/>
    <x v="4"/>
    <n v="0"/>
    <x v="1"/>
    <n v="3.15"/>
    <s v="DOUBLE"/>
    <n v="369.5"/>
    <n v="72.763332000000005"/>
    <n v="117.3015873015873"/>
    <n v="23.099470476190479"/>
  </r>
  <r>
    <d v="2024-04-12T00:00:00"/>
    <x v="0"/>
    <x v="9"/>
    <x v="4"/>
    <n v="1"/>
    <x v="0"/>
    <n v="5.2333333333333334"/>
    <s v="DOUBLE"/>
    <n v="1566.5"/>
    <n v="251.99614399999996"/>
    <n v="299.33121019108279"/>
    <n v="48.152129426751586"/>
  </r>
  <r>
    <d v="2024-04-13T00:00:00"/>
    <x v="1"/>
    <x v="9"/>
    <x v="0"/>
    <n v="1"/>
    <x v="0"/>
    <n v="5"/>
    <s v="DOUBLE"/>
    <n v="1278.25"/>
    <n v="219.69695200000001"/>
    <n v="255.65"/>
    <n v="43.939390400000001"/>
  </r>
  <r>
    <d v="2024-04-13T00:00:00"/>
    <x v="0"/>
    <x v="9"/>
    <x v="0"/>
    <n v="1"/>
    <x v="0"/>
    <n v="5"/>
    <s v="DOUBLE"/>
    <n v="1278.25"/>
    <n v="219.69695200000001"/>
    <n v="255.65"/>
    <n v="43.939390400000001"/>
  </r>
  <r>
    <d v="2024-04-14T00:00:00"/>
    <x v="0"/>
    <x v="9"/>
    <x v="1"/>
    <n v="1"/>
    <x v="0"/>
    <n v="6.5333333333333332"/>
    <s v="SINGLE"/>
    <n v="2054.5"/>
    <n v="341.546808"/>
    <n v="314.46428571428572"/>
    <n v="52.277572653061227"/>
  </r>
  <r>
    <d v="2024-04-16T00:00:00"/>
    <x v="1"/>
    <x v="9"/>
    <x v="6"/>
    <n v="0"/>
    <x v="1"/>
    <n v="5.3083333333333336"/>
    <s v="DOUBLE"/>
    <n v="677"/>
    <n v="131.962042"/>
    <n v="127.53532182103611"/>
    <n v="24.859411365777078"/>
  </r>
  <r>
    <d v="2024-04-16T00:00:00"/>
    <x v="0"/>
    <x v="9"/>
    <x v="6"/>
    <n v="0"/>
    <x v="1"/>
    <n v="5.3083333333333336"/>
    <s v="DOUBLE"/>
    <n v="677"/>
    <n v="131.962042"/>
    <n v="127.53532182103611"/>
    <n v="24.859411365777078"/>
  </r>
  <r>
    <d v="2024-04-17T00:00:00"/>
    <x v="1"/>
    <x v="9"/>
    <x v="2"/>
    <n v="0"/>
    <x v="1"/>
    <n v="3.4333333333333331"/>
    <s v="DOUBLE"/>
    <n v="421"/>
    <n v="69.276480000000006"/>
    <n v="122.62135922330098"/>
    <n v="20.177615533980585"/>
  </r>
  <r>
    <d v="2024-04-17T00:00:00"/>
    <x v="0"/>
    <x v="9"/>
    <x v="2"/>
    <n v="0"/>
    <x v="1"/>
    <n v="3.95"/>
    <s v="DOUBLE"/>
    <n v="801.5"/>
    <n v="145.55123599999999"/>
    <n v="202.91139240506328"/>
    <n v="36.848414177215183"/>
  </r>
  <r>
    <d v="2024-04-18T00:00:00"/>
    <x v="1"/>
    <x v="9"/>
    <x v="3"/>
    <n v="0"/>
    <x v="1"/>
    <n v="4.4083333333333332"/>
    <s v="DOUBLE"/>
    <n v="602.5"/>
    <n v="100.37970200000001"/>
    <n v="136.67296786389414"/>
    <n v="22.770442797731572"/>
  </r>
  <r>
    <d v="2024-04-18T00:00:00"/>
    <x v="0"/>
    <x v="9"/>
    <x v="3"/>
    <n v="0"/>
    <x v="1"/>
    <n v="4.4083333333333332"/>
    <s v="DOUBLE"/>
    <n v="602.5"/>
    <n v="100.37970200000001"/>
    <n v="136.67296786389414"/>
    <n v="22.770442797731572"/>
  </r>
  <r>
    <d v="2024-04-19T00:00:00"/>
    <x v="0"/>
    <x v="9"/>
    <x v="4"/>
    <n v="1"/>
    <x v="0"/>
    <n v="6.4666666666666668"/>
    <s v="SINGLE"/>
    <n v="1313.5"/>
    <n v="216.12048000000001"/>
    <n v="203.11855670103091"/>
    <n v="33.420692783505153"/>
  </r>
  <r>
    <d v="2024-04-20T00:00:00"/>
    <x v="1"/>
    <x v="9"/>
    <x v="0"/>
    <n v="1"/>
    <x v="0"/>
    <n v="4.3916666666666666"/>
    <s v="DOUBLE"/>
    <n v="1112"/>
    <n v="203.769158"/>
    <n v="253.2068311195446"/>
    <n v="46.399049259962048"/>
  </r>
  <r>
    <d v="2024-04-20T00:00:00"/>
    <x v="0"/>
    <x v="9"/>
    <x v="0"/>
    <n v="1"/>
    <x v="0"/>
    <n v="5.3916666666666666"/>
    <s v="DOUBLE"/>
    <n v="1112"/>
    <n v="205.899158"/>
    <n v="206.24420401854715"/>
    <n v="38.188406429675425"/>
  </r>
  <r>
    <d v="2024-04-22T00:00:00"/>
    <x v="1"/>
    <x v="9"/>
    <x v="5"/>
    <n v="0"/>
    <x v="1"/>
    <n v="2.1833333333333331"/>
    <s v="SINGLE"/>
    <n v="240"/>
    <n v="37.632892000000005"/>
    <n v="109.92366412213741"/>
    <n v="17.236439083969469"/>
  </r>
  <r>
    <d v="2024-04-26T00:00:00"/>
    <x v="0"/>
    <x v="9"/>
    <x v="4"/>
    <n v="1"/>
    <x v="0"/>
    <n v="7.166666666666667"/>
    <s v="SINGLE"/>
    <n v="1526"/>
    <n v="284.76803999999998"/>
    <n v="212.93023255813952"/>
    <n v="39.735075348837206"/>
  </r>
  <r>
    <d v="2024-04-27T00:00:00"/>
    <x v="1"/>
    <x v="9"/>
    <x v="0"/>
    <n v="1"/>
    <x v="0"/>
    <n v="5.1166666666666663"/>
    <s v="DOUBLE"/>
    <n v="1427"/>
    <n v="234.53430800000001"/>
    <n v="278.89250814332252"/>
    <n v="45.837324039087953"/>
  </r>
  <r>
    <d v="2024-04-27T00:00:00"/>
    <x v="0"/>
    <x v="9"/>
    <x v="0"/>
    <n v="1"/>
    <x v="0"/>
    <n v="5.1166666666666663"/>
    <s v="DOUBLE"/>
    <n v="1427"/>
    <n v="234.53430800000001"/>
    <n v="278.89250814332252"/>
    <n v="45.837324039087953"/>
  </r>
  <r>
    <d v="2024-04-28T00:00:00"/>
    <x v="0"/>
    <x v="9"/>
    <x v="1"/>
    <n v="1"/>
    <x v="0"/>
    <n v="5.4666666666666668"/>
    <s v="SINGLE"/>
    <n v="1798.5"/>
    <n v="309.659424"/>
    <n v="328.9939024390244"/>
    <n v="56.645016585365852"/>
  </r>
  <r>
    <d v="2024-04-29T00:00:00"/>
    <x v="1"/>
    <x v="9"/>
    <x v="5"/>
    <n v="0"/>
    <x v="1"/>
    <n v="4.0166666666666666"/>
    <s v="DOUBLE"/>
    <n v="538"/>
    <n v="104.67538"/>
    <n v="133.94190871369295"/>
    <n v="26.060260580912864"/>
  </r>
  <r>
    <d v="2024-04-29T00:00:00"/>
    <x v="0"/>
    <x v="9"/>
    <x v="5"/>
    <n v="0"/>
    <x v="1"/>
    <n v="4.166666666666667"/>
    <s v="DOUBLE"/>
    <n v="766.5"/>
    <n v="117.92331999999999"/>
    <n v="183.95999999999998"/>
    <n v="28.301596799999995"/>
  </r>
  <r>
    <d v="2024-05-01T00:00:00"/>
    <x v="1"/>
    <x v="10"/>
    <x v="2"/>
    <n v="0"/>
    <x v="1"/>
    <n v="4.0999999999999996"/>
    <s v="DOUBLE"/>
    <n v="724"/>
    <n v="121.366584"/>
    <n v="176.58536585365854"/>
    <n v="29.60160585365854"/>
  </r>
  <r>
    <d v="2024-05-01T00:00:00"/>
    <x v="0"/>
    <x v="10"/>
    <x v="2"/>
    <n v="0"/>
    <x v="1"/>
    <n v="4.4666666666666668"/>
    <s v="DOUBLE"/>
    <n v="968.5"/>
    <n v="155.88106400000001"/>
    <n v="216.82835820895522"/>
    <n v="34.898745671641791"/>
  </r>
  <r>
    <d v="2024-05-03T00:00:00"/>
    <x v="0"/>
    <x v="10"/>
    <x v="4"/>
    <n v="1"/>
    <x v="0"/>
    <n v="7.55"/>
    <s v="SINGLE"/>
    <n v="1715.5"/>
    <n v="262.33873999999997"/>
    <n v="227.21854304635761"/>
    <n v="34.746852980132445"/>
  </r>
  <r>
    <d v="2024-05-04T00:00:00"/>
    <x v="1"/>
    <x v="10"/>
    <x v="0"/>
    <n v="1"/>
    <x v="0"/>
    <n v="5.1416666666666666"/>
    <s v="DOUBLE"/>
    <n v="1198.335"/>
    <n v="194.77481399999999"/>
    <n v="233.06353322528363"/>
    <n v="37.88164940032415"/>
  </r>
  <r>
    <d v="2024-05-04T00:00:00"/>
    <x v="0"/>
    <x v="10"/>
    <x v="0"/>
    <n v="1"/>
    <x v="0"/>
    <n v="5.1416666666666666"/>
    <s v="DOUBLE"/>
    <n v="1198.335"/>
    <n v="194.77481399999999"/>
    <n v="233.06353322528363"/>
    <n v="37.88164940032415"/>
  </r>
  <r>
    <d v="2024-05-05T00:00:00"/>
    <x v="0"/>
    <x v="10"/>
    <x v="1"/>
    <n v="1"/>
    <x v="0"/>
    <n v="6.166666666666667"/>
    <s v="SINGLE"/>
    <n v="1314.5"/>
    <n v="330.93636000000004"/>
    <n v="213.16216216216216"/>
    <n v="53.665355675675677"/>
  </r>
  <r>
    <d v="2024-05-06T00:00:00"/>
    <x v="0"/>
    <x v="10"/>
    <x v="5"/>
    <n v="0"/>
    <x v="1"/>
    <n v="4.7833333333333332"/>
    <s v="SINGLE"/>
    <n v="1397.5"/>
    <n v="219.89998"/>
    <n v="292.16027874564463"/>
    <n v="45.9721212543554"/>
  </r>
  <r>
    <d v="2024-05-08T00:00:00"/>
    <x v="0"/>
    <x v="10"/>
    <x v="2"/>
    <n v="0"/>
    <x v="1"/>
    <n v="4"/>
    <s v="SINGLE"/>
    <n v="570.5"/>
    <n v="98.66968"/>
    <n v="142.625"/>
    <n v="24.66742"/>
  </r>
  <r>
    <d v="2024-05-10T00:00:00"/>
    <x v="0"/>
    <x v="10"/>
    <x v="4"/>
    <n v="1"/>
    <x v="0"/>
    <n v="7.333333333333333"/>
    <s v="SINGLE"/>
    <n v="1527.5"/>
    <n v="220.57392000000004"/>
    <n v="208.29545454545456"/>
    <n v="30.078261818181826"/>
  </r>
  <r>
    <d v="2024-05-11T00:00:00"/>
    <x v="1"/>
    <x v="10"/>
    <x v="0"/>
    <n v="1"/>
    <x v="0"/>
    <n v="5.4"/>
    <s v="DOUBLE"/>
    <n v="1165"/>
    <n v="180.02605600000001"/>
    <n v="215.74074074074073"/>
    <n v="33.338158518518519"/>
  </r>
  <r>
    <d v="2024-05-11T00:00:00"/>
    <x v="0"/>
    <x v="10"/>
    <x v="0"/>
    <n v="1"/>
    <x v="0"/>
    <n v="5.4"/>
    <s v="DOUBLE"/>
    <n v="1165"/>
    <n v="180.02605600000001"/>
    <n v="215.74074074074073"/>
    <n v="33.338158518518519"/>
  </r>
  <r>
    <d v="2024-05-12T00:00:00"/>
    <x v="0"/>
    <x v="10"/>
    <x v="1"/>
    <n v="1"/>
    <x v="0"/>
    <n v="7"/>
    <s v="SINGLE"/>
    <n v="2631.5"/>
    <n v="441.84240000000005"/>
    <n v="375.92857142857144"/>
    <n v="63.120342857142866"/>
  </r>
  <r>
    <d v="2024-05-13T00:00:00"/>
    <x v="1"/>
    <x v="10"/>
    <x v="5"/>
    <n v="0"/>
    <x v="1"/>
    <n v="0"/>
    <s v="SINGLE"/>
    <n v="390.5"/>
    <n v="68.12"/>
    <n v="0"/>
    <n v="0"/>
  </r>
  <r>
    <d v="2024-05-15T00:00:00"/>
    <x v="0"/>
    <x v="10"/>
    <x v="2"/>
    <n v="0"/>
    <x v="1"/>
    <n v="4.3666666666666663"/>
    <s v="SINGLE"/>
    <n v="904"/>
    <n v="151.49395200000001"/>
    <n v="207.02290076335879"/>
    <n v="34.693271450381687"/>
  </r>
  <r>
    <d v="2024-05-16T00:00:00"/>
    <x v="0"/>
    <x v="10"/>
    <x v="3"/>
    <n v="0"/>
    <x v="1"/>
    <n v="5"/>
    <s v="SINGLE"/>
    <n v="1066.5"/>
    <n v="158.003232"/>
    <n v="213.3"/>
    <n v="31.600646399999999"/>
  </r>
  <r>
    <d v="2024-05-18T00:00:00"/>
    <x v="1"/>
    <x v="10"/>
    <x v="0"/>
    <n v="0"/>
    <x v="1"/>
    <n v="0"/>
    <s v="SINGLE"/>
    <n v="1385.5"/>
    <n v="158.691464"/>
    <n v="0"/>
    <n v="0"/>
  </r>
  <r>
    <d v="2024-05-18T00:00:00"/>
    <x v="0"/>
    <x v="10"/>
    <x v="0"/>
    <n v="1"/>
    <x v="0"/>
    <n v="5.2833333333333332"/>
    <s v="SINGLE"/>
    <n v="1555"/>
    <n v="280.04757199999995"/>
    <n v="294.32176656151421"/>
    <n v="53.005849589905353"/>
  </r>
  <r>
    <d v="2024-05-19T00:00:00"/>
    <x v="1"/>
    <x v="10"/>
    <x v="1"/>
    <n v="1"/>
    <x v="0"/>
    <n v="4.833333333333333"/>
    <s v="DOUBLE"/>
    <n v="525"/>
    <n v="103.512664"/>
    <n v="108.62068965517243"/>
    <n v="21.416413241379313"/>
  </r>
  <r>
    <d v="2024-05-19T00:00:00"/>
    <x v="0"/>
    <x v="10"/>
    <x v="1"/>
    <n v="1"/>
    <x v="0"/>
    <n v="4.8833333333333337"/>
    <s v="DOUBLE"/>
    <n v="1435"/>
    <n v="213.52000400000003"/>
    <n v="293.85665529010237"/>
    <n v="43.724232901023896"/>
  </r>
  <r>
    <d v="2024-05-20T00:00:00"/>
    <x v="0"/>
    <x v="10"/>
    <x v="5"/>
    <n v="0"/>
    <x v="1"/>
    <n v="3.95"/>
    <s v="SINGLE"/>
    <n v="57"/>
    <n v="132.661508"/>
    <n v="14.430379746835442"/>
    <n v="33.585191898734173"/>
  </r>
  <r>
    <d v="2024-05-22T00:00:00"/>
    <x v="0"/>
    <x v="10"/>
    <x v="2"/>
    <n v="0"/>
    <x v="1"/>
    <n v="6.0166666666666666"/>
    <s v="SINGLE"/>
    <n v="1368"/>
    <n v="236.30309999999997"/>
    <n v="227.36842105263159"/>
    <n v="39.274753462603876"/>
  </r>
  <r>
    <d v="2024-05-23T00:00:00"/>
    <x v="0"/>
    <x v="10"/>
    <x v="3"/>
    <n v="0"/>
    <x v="1"/>
    <n v="4.833333333333333"/>
    <s v="SINGLE"/>
    <n v="1300.5"/>
    <n v="210.908976"/>
    <n v="269.06896551724139"/>
    <n v="43.636339862068965"/>
  </r>
  <r>
    <d v="2024-05-24T00:00:00"/>
    <x v="1"/>
    <x v="10"/>
    <x v="4"/>
    <n v="0"/>
    <x v="1"/>
    <n v="3.5833333333333335"/>
    <s v="DOUBLE"/>
    <n v="571"/>
    <n v="92.010459999999995"/>
    <n v="159.34883720930233"/>
    <n v="25.677337674418602"/>
  </r>
  <r>
    <d v="2024-05-24T00:00:00"/>
    <x v="0"/>
    <x v="10"/>
    <x v="4"/>
    <n v="1"/>
    <x v="0"/>
    <n v="5.1166666666666663"/>
    <s v="DOUBLE"/>
    <n v="1434.5"/>
    <n v="223.43648400000001"/>
    <n v="280.3583061889251"/>
    <n v="43.668368208469062"/>
  </r>
  <r>
    <d v="2024-05-25T00:00:00"/>
    <x v="1"/>
    <x v="10"/>
    <x v="0"/>
    <n v="1"/>
    <x v="0"/>
    <n v="4.0999999999999996"/>
    <s v="DOUBLE"/>
    <n v="943.5"/>
    <n v="138.638608"/>
    <n v="230.12195121951223"/>
    <n v="33.814294634146343"/>
  </r>
  <r>
    <d v="2024-05-25T00:00:00"/>
    <x v="0"/>
    <x v="10"/>
    <x v="0"/>
    <n v="1"/>
    <x v="0"/>
    <n v="4.0999999999999996"/>
    <s v="DOUBLE"/>
    <n v="943.5"/>
    <n v="138.638608"/>
    <n v="230.12195121951223"/>
    <n v="33.814294634146343"/>
  </r>
  <r>
    <d v="2024-05-26T00:00:00"/>
    <x v="1"/>
    <x v="10"/>
    <x v="1"/>
    <n v="1"/>
    <x v="0"/>
    <n v="3.6666666666666665"/>
    <s v="SINGLE"/>
    <n v="613.5"/>
    <n v="110.51574399999998"/>
    <n v="167.31818181818181"/>
    <n v="30.140657454545451"/>
  </r>
  <r>
    <d v="2024-06-01T00:00:00"/>
    <x v="1"/>
    <x v="11"/>
    <x v="0"/>
    <n v="1"/>
    <x v="0"/>
    <n v="5.4833333333333334"/>
    <s v="SINGLE"/>
    <n v="872"/>
    <n v="158.522908"/>
    <n v="159.02735562310031"/>
    <n v="28.90995282674772"/>
  </r>
  <r>
    <d v="2024-06-02T00:00:00"/>
    <x v="1"/>
    <x v="11"/>
    <x v="1"/>
    <n v="1"/>
    <x v="0"/>
    <n v="5.166666666666667"/>
    <s v="SINGLE"/>
    <n v="782"/>
    <n v="132.892088"/>
    <n v="151.35483870967741"/>
    <n v="25.721049290322579"/>
  </r>
  <r>
    <d v="2024-06-03T00:00:00"/>
    <x v="0"/>
    <x v="11"/>
    <x v="5"/>
    <n v="0"/>
    <x v="1"/>
    <n v="4.3666666666666663"/>
    <s v="SINGLE"/>
    <n v="586"/>
    <n v="99.568080000000009"/>
    <n v="134.19847328244276"/>
    <n v="22.801850381679394"/>
  </r>
  <r>
    <d v="2024-06-05T00:00:00"/>
    <x v="0"/>
    <x v="11"/>
    <x v="2"/>
    <n v="0"/>
    <x v="1"/>
    <n v="5.8166666666666664"/>
    <s v="SINGLE"/>
    <n v="1027"/>
    <n v="179.55335600000001"/>
    <n v="176.56160458452723"/>
    <n v="30.868771805157596"/>
  </r>
  <r>
    <d v="2024-06-06T00:00:00"/>
    <x v="0"/>
    <x v="11"/>
    <x v="3"/>
    <n v="0"/>
    <x v="1"/>
    <n v="5.2666666666666666"/>
    <s v="SINGLE"/>
    <n v="1121"/>
    <n v="211.11614399999999"/>
    <n v="212.84810126582278"/>
    <n v="40.085343797468354"/>
  </r>
  <r>
    <d v="2024-06-08T00:00:00"/>
    <x v="1"/>
    <x v="11"/>
    <x v="0"/>
    <n v="1"/>
    <x v="0"/>
    <n v="5.1166666666666663"/>
    <s v="DOUBLE"/>
    <n v="1216"/>
    <n v="222.51209999999998"/>
    <n v="237.65472312703585"/>
    <n v="43.487706840390878"/>
  </r>
  <r>
    <d v="2024-06-08T00:00:00"/>
    <x v="0"/>
    <x v="11"/>
    <x v="0"/>
    <n v="1"/>
    <x v="0"/>
    <n v="4.0333333333333332"/>
    <s v="DOUBLE"/>
    <n v="1351"/>
    <n v="237.050104"/>
    <n v="334.95867768595042"/>
    <n v="58.77275305785124"/>
  </r>
  <r>
    <d v="2024-06-09T00:00:00"/>
    <x v="1"/>
    <x v="11"/>
    <x v="1"/>
    <n v="1"/>
    <x v="0"/>
    <n v="4.0166666666666666"/>
    <s v="DOUBLE"/>
    <n v="615.5"/>
    <n v="111.141576"/>
    <n v="153.23651452282158"/>
    <n v="27.670101908713693"/>
  </r>
  <r>
    <d v="2024-06-09T00:00:00"/>
    <x v="0"/>
    <x v="11"/>
    <x v="1"/>
    <n v="1"/>
    <x v="0"/>
    <n v="4.0166666666666666"/>
    <s v="DOUBLE"/>
    <n v="615.5"/>
    <n v="111.141576"/>
    <n v="153.23651452282158"/>
    <n v="27.670101908713693"/>
  </r>
  <r>
    <d v="2024-06-12T00:00:00"/>
    <x v="0"/>
    <x v="11"/>
    <x v="2"/>
    <n v="0"/>
    <x v="1"/>
    <n v="6.5"/>
    <s v="SINGLE"/>
    <n v="966.5"/>
    <n v="214.95384799999997"/>
    <n v="148.69230769230768"/>
    <n v="33.069822769230761"/>
  </r>
  <r>
    <d v="2024-06-14T00:00:00"/>
    <x v="1"/>
    <x v="11"/>
    <x v="4"/>
    <n v="0"/>
    <x v="1"/>
    <n v="4.916666666666667"/>
    <s v="SINGLE"/>
    <n v="761"/>
    <n v="126.74560399999999"/>
    <n v="154.77966101694915"/>
    <n v="25.778766915254234"/>
  </r>
  <r>
    <d v="2024-06-15T00:00:00"/>
    <x v="1"/>
    <x v="11"/>
    <x v="0"/>
    <n v="1"/>
    <x v="0"/>
    <n v="4.833333333333333"/>
    <s v="DOUBLE"/>
    <n v="460"/>
    <n v="82.762343999999999"/>
    <n v="95.172413793103459"/>
    <n v="17.123243586206897"/>
  </r>
  <r>
    <d v="2024-06-15T00:00:00"/>
    <x v="0"/>
    <x v="11"/>
    <x v="0"/>
    <n v="1"/>
    <x v="0"/>
    <n v="4.95"/>
    <s v="DOUBLE"/>
    <n v="1515"/>
    <n v="237.54638799999998"/>
    <n v="306.06060606060606"/>
    <n v="47.98916929292929"/>
  </r>
  <r>
    <d v="2024-06-16T00:00:00"/>
    <x v="1"/>
    <x v="11"/>
    <x v="1"/>
    <n v="1"/>
    <x v="0"/>
    <n v="4.95"/>
    <s v="DOUBLE"/>
    <n v="1295.25"/>
    <n v="209.43259599999999"/>
    <n v="261.66666666666669"/>
    <n v="42.309615353535349"/>
  </r>
  <r>
    <d v="2024-06-16T00:00:00"/>
    <x v="0"/>
    <x v="11"/>
    <x v="1"/>
    <n v="1"/>
    <x v="0"/>
    <n v="4.95"/>
    <s v="DOUBLE"/>
    <n v="1295.25"/>
    <n v="209.43259599999999"/>
    <n v="261.66666666666669"/>
    <n v="42.309615353535349"/>
  </r>
  <r>
    <d v="2024-06-19T00:00:00"/>
    <x v="0"/>
    <x v="11"/>
    <x v="2"/>
    <n v="0"/>
    <x v="1"/>
    <n v="5.4"/>
    <s v="SINGLE"/>
    <n v="753"/>
    <n v="123.729696"/>
    <n v="139.44444444444443"/>
    <n v="22.912906666666665"/>
  </r>
  <r>
    <d v="2024-06-21T00:00:00"/>
    <x v="1"/>
    <x v="11"/>
    <x v="4"/>
    <n v="0"/>
    <x v="1"/>
    <n v="3.3166666666666669"/>
    <s v="SINGLE"/>
    <n v="323.5"/>
    <n v="57.147619999999996"/>
    <n v="97.537688442211049"/>
    <n v="17.230438190954771"/>
  </r>
  <r>
    <d v="2024-06-22T00:00:00"/>
    <x v="1"/>
    <x v="11"/>
    <x v="0"/>
    <n v="1"/>
    <x v="0"/>
    <n v="4.3166666666666664"/>
    <s v="SINGLE"/>
    <n v="1123.5"/>
    <n v="184.09456400000002"/>
    <n v="260.27027027027026"/>
    <n v="42.647389343629349"/>
  </r>
  <r>
    <d v="2024-06-23T00:00:00"/>
    <x v="1"/>
    <x v="11"/>
    <x v="1"/>
    <n v="1"/>
    <x v="0"/>
    <n v="3.7666666666666666"/>
    <s v="DOUBLE"/>
    <n v="621"/>
    <n v="111.53288000000001"/>
    <n v="164.86725663716814"/>
    <n v="29.610499115044249"/>
  </r>
  <r>
    <d v="2024-06-23T00:00:00"/>
    <x v="0"/>
    <x v="11"/>
    <x v="1"/>
    <n v="1"/>
    <x v="0"/>
    <n v="4.083333333333333"/>
    <s v="DOUBLE"/>
    <n v="1017.5"/>
    <n v="182.21433999999999"/>
    <n v="249.18367346938777"/>
    <n v="44.623919999999998"/>
  </r>
  <r>
    <d v="2024-06-24T00:00:00"/>
    <x v="0"/>
    <x v="11"/>
    <x v="5"/>
    <n v="0"/>
    <x v="1"/>
    <n v="4.45"/>
    <s v="SINGLE"/>
    <n v="508"/>
    <n v="93.586739999999992"/>
    <n v="114.15730337078651"/>
    <n v="21.030728089887639"/>
  </r>
  <r>
    <d v="2024-06-26T00:00:00"/>
    <x v="0"/>
    <x v="11"/>
    <x v="2"/>
    <n v="0"/>
    <x v="1"/>
    <n v="5.7833333333333332"/>
    <s v="SINGLE"/>
    <n v="997"/>
    <n v="139.57476400000002"/>
    <n v="172.39193083573488"/>
    <n v="24.133964956772338"/>
  </r>
  <r>
    <d v="2024-06-28T00:00:00"/>
    <x v="1"/>
    <x v="11"/>
    <x v="4"/>
    <n v="0"/>
    <x v="1"/>
    <n v="4.2166666666666668"/>
    <s v="DOUBLE"/>
    <n v="468"/>
    <n v="74.405467999999999"/>
    <n v="110.98814229249011"/>
    <n v="17.645565533596837"/>
  </r>
  <r>
    <d v="2024-06-28T00:00:00"/>
    <x v="0"/>
    <x v="11"/>
    <x v="4"/>
    <n v="1"/>
    <x v="0"/>
    <n v="3.8333333333333335"/>
    <s v="DOUBLE"/>
    <n v="1204.5"/>
    <n v="197.65393599999999"/>
    <n v="314.21739130434781"/>
    <n v="51.561896347826085"/>
  </r>
  <r>
    <d v="2024-06-29T00:00:00"/>
    <x v="1"/>
    <x v="11"/>
    <x v="0"/>
    <n v="1"/>
    <x v="0"/>
    <n v="3.1666666666666665"/>
    <s v="DOUBLE"/>
    <n v="190"/>
    <n v="26.718888"/>
    <n v="60"/>
    <n v="8.4375435789473681"/>
  </r>
  <r>
    <d v="2024-06-29T00:00:00"/>
    <x v="0"/>
    <x v="11"/>
    <x v="0"/>
    <n v="1"/>
    <x v="0"/>
    <n v="4.7833333333333332"/>
    <s v="DOUBLE"/>
    <n v="1205.5"/>
    <n v="195.04674800000001"/>
    <n v="252.02090592334494"/>
    <n v="40.776323623693379"/>
  </r>
  <r>
    <d v="2024-06-30T00:00:00"/>
    <x v="0"/>
    <x v="11"/>
    <x v="1"/>
    <n v="1"/>
    <x v="0"/>
    <n v="5.7666666666666666"/>
    <s v="SINGLE"/>
    <n v="1072.5"/>
    <n v="195.33083199999999"/>
    <n v="185.98265895953759"/>
    <n v="33.8723986127167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FEFD30-F37C-4E6F-9318-C582EF6FACF7}"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H1:BP15" firstHeaderRow="1" firstDataRow="2" firstDataCol="1"/>
  <pivotFields count="12">
    <pivotField numFmtId="14" showAll="0"/>
    <pivotField showAll="0"/>
    <pivotField axis="axisRow" showAll="0">
      <items count="13">
        <item x="6"/>
        <item x="7"/>
        <item x="8"/>
        <item x="9"/>
        <item x="10"/>
        <item x="11"/>
        <item x="0"/>
        <item x="1"/>
        <item x="2"/>
        <item x="3"/>
        <item x="4"/>
        <item x="5"/>
        <item t="default"/>
      </items>
    </pivotField>
    <pivotField axis="axisCol" showAll="0">
      <items count="8">
        <item x="2"/>
        <item x="3"/>
        <item x="4"/>
        <item x="0"/>
        <item x="1"/>
        <item x="5"/>
        <item x="6"/>
        <item t="default"/>
      </items>
    </pivotField>
    <pivotField showAll="0"/>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Fields count="1">
    <field x="3"/>
  </colFields>
  <colItems count="8">
    <i>
      <x/>
    </i>
    <i>
      <x v="1"/>
    </i>
    <i>
      <x v="2"/>
    </i>
    <i>
      <x v="3"/>
    </i>
    <i>
      <x v="4"/>
    </i>
    <i>
      <x v="5"/>
    </i>
    <i>
      <x v="6"/>
    </i>
    <i t="grand">
      <x/>
    </i>
  </colItems>
  <dataFields count="1">
    <dataField name="Average of INCOME_PER_HOUR" fld="11" subtotal="average" baseField="2" baseItem="0" numFmtId="164"/>
  </dataFields>
  <formats count="5">
    <format dxfId="289">
      <pivotArea collapsedLevelsAreSubtotals="1" fieldPosition="0">
        <references count="2">
          <reference field="2" count="0"/>
          <reference field="3" count="0" selected="0"/>
        </references>
      </pivotArea>
    </format>
    <format dxfId="288">
      <pivotArea grandRow="1" outline="0" collapsedLevelsAreSubtotals="1" fieldPosition="0"/>
    </format>
    <format dxfId="287">
      <pivotArea field="2" grandCol="1" collapsedLevelsAreSubtotals="1" axis="axisRow" fieldPosition="0">
        <references count="1">
          <reference field="2" count="0"/>
        </references>
      </pivotArea>
    </format>
    <format dxfId="286">
      <pivotArea collapsedLevelsAreSubtotals="1" fieldPosition="0">
        <references count="2">
          <reference field="2" count="1">
            <x v="3"/>
          </reference>
          <reference field="3" count="1" selected="0">
            <x v="4"/>
          </reference>
        </references>
      </pivotArea>
    </format>
    <format dxfId="285">
      <pivotArea outline="0" collapsedLevelsAreSubtotals="1" fieldPosition="0"/>
    </format>
  </formats>
  <conditionalFormats count="1">
    <conditionalFormat priority="8">
      <pivotAreas count="1">
        <pivotArea type="data" collapsedLevelsAreSubtotals="1" fieldPosition="0">
          <references count="3">
            <reference field="4294967294" count="1" selected="0">
              <x v="0"/>
            </reference>
            <reference field="2" count="12">
              <x v="0"/>
              <x v="1"/>
              <x v="2"/>
              <x v="3"/>
              <x v="4"/>
              <x v="5"/>
              <x v="6"/>
              <x v="7"/>
              <x v="8"/>
              <x v="9"/>
              <x v="10"/>
              <x v="11"/>
            </reference>
            <reference field="3" count="7" selected="0">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85F351-90E2-4DCD-B91A-066A57A463FA}"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M4:P12" firstHeaderRow="0" firstDataRow="1" firstDataCol="1"/>
  <pivotFields count="12">
    <pivotField numFmtId="14" showAll="0"/>
    <pivotField showAll="0"/>
    <pivotField showAll="0"/>
    <pivotField axis="axisRow" showAll="0">
      <items count="8">
        <item x="1"/>
        <item x="5"/>
        <item x="6"/>
        <item x="2"/>
        <item x="3"/>
        <item x="4"/>
        <item x="0"/>
        <item t="default"/>
      </items>
    </pivotField>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3">
    <i>
      <x/>
    </i>
    <i i="1">
      <x v="1"/>
    </i>
    <i i="2">
      <x v="2"/>
    </i>
  </colItems>
  <dataFields count="3">
    <dataField name="OBSERVATIONS" fld="10" subtotal="count" baseField="3" baseItem="0" numFmtId="1"/>
    <dataField name="AVG SALES_PER_HOUR" fld="10" subtotal="average" baseField="3" baseItem="0"/>
    <dataField name="Var of SALES_PER_HOUR" fld="10" subtotal="var" baseField="3" baseItem="0"/>
  </dataFields>
  <formats count="4">
    <format dxfId="56">
      <pivotArea outline="0" collapsedLevelsAreSubtotals="1" fieldPosition="0"/>
    </format>
    <format dxfId="55">
      <pivotArea field="3" type="button" dataOnly="0" labelOnly="1" outline="0" axis="axisRow" fieldPosition="0"/>
    </format>
    <format dxfId="54">
      <pivotArea dataOnly="0" labelOnly="1" outline="0" fieldPosition="0">
        <references count="1">
          <reference field="4294967294" count="3">
            <x v="0"/>
            <x v="1"/>
            <x v="2"/>
          </reference>
        </references>
      </pivotArea>
    </format>
    <format dxfId="53">
      <pivotArea outline="0" collapsedLevelsAreSubtotals="1" fieldPosition="0">
        <references count="1">
          <reference field="4294967294" count="1" selected="0">
            <x v="0"/>
          </reference>
        </references>
      </pivotArea>
    </format>
  </formats>
  <conditionalFormats count="4">
    <conditionalFormat priority="76">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priority="75">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priority="74">
      <pivotAreas count="1">
        <pivotArea type="data" collapsedLevelsAreSubtotals="1" fieldPosition="0">
          <references count="2">
            <reference field="4294967294" count="1" selected="0">
              <x v="2"/>
            </reference>
            <reference field="3" count="7">
              <x v="0"/>
              <x v="1"/>
              <x v="2"/>
              <x v="3"/>
              <x v="4"/>
              <x v="5"/>
              <x v="6"/>
            </reference>
          </references>
        </pivotArea>
      </pivotAreas>
    </conditionalFormat>
    <conditionalFormat priority="73">
      <pivotAreas count="1">
        <pivotArea type="data" collapsedLevelsAreSubtotals="1" fieldPosition="0">
          <references count="2">
            <reference field="4294967294" count="1" selected="0">
              <x v="2"/>
            </reference>
            <reference field="3" count="7">
              <x v="0"/>
              <x v="1"/>
              <x v="2"/>
              <x v="3"/>
              <x v="4"/>
              <x v="5"/>
              <x v="6"/>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A5E732-AD42-403F-A7BD-5DA63774D0F7}"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H37:K40" firstHeaderRow="0" firstDataRow="1" firstDataCol="1"/>
  <pivotFields count="12">
    <pivotField numFmtId="14" showAll="0"/>
    <pivotField showAll="0"/>
    <pivotField showAll="0"/>
    <pivotField showAll="0">
      <items count="8">
        <item x="1"/>
        <item x="5"/>
        <item x="6"/>
        <item x="2"/>
        <item x="3"/>
        <item x="4"/>
        <item x="0"/>
        <item t="default"/>
      </items>
    </pivotField>
    <pivotField showAll="0"/>
    <pivotField axis="axisRow" showAll="0">
      <items count="5">
        <item m="1" x="3"/>
        <item m="1" x="2"/>
        <item x="0"/>
        <item x="1"/>
        <item t="default"/>
      </items>
    </pivotField>
    <pivotField showAll="0"/>
    <pivotField showAll="0"/>
    <pivotField showAll="0"/>
    <pivotField dataField="1" showAll="0"/>
    <pivotField showAll="0"/>
    <pivotField showAll="0"/>
  </pivotFields>
  <rowFields count="1">
    <field x="5"/>
  </rowFields>
  <rowItems count="3">
    <i>
      <x v="2"/>
    </i>
    <i>
      <x v="3"/>
    </i>
    <i t="grand">
      <x/>
    </i>
  </rowItems>
  <colFields count="1">
    <field x="-2"/>
  </colFields>
  <colItems count="3">
    <i>
      <x/>
    </i>
    <i i="1">
      <x v="1"/>
    </i>
    <i i="2">
      <x v="2"/>
    </i>
  </colItems>
  <dataFields count="3">
    <dataField name="OBSERVATIONS" fld="9" subtotal="count" baseField="3" baseItem="0" numFmtId="1"/>
    <dataField name="AVG INCOME" fld="9" subtotal="average" baseField="3" baseItem="0"/>
    <dataField name="Var of INCOME" fld="9" subtotal="var" baseField="3" baseItem="0"/>
  </dataFields>
  <formats count="4">
    <format dxfId="60">
      <pivotArea outline="0" collapsedLevelsAreSubtotals="1" fieldPosition="0"/>
    </format>
    <format dxfId="59">
      <pivotArea field="3" type="button" dataOnly="0" labelOnly="1" outline="0"/>
    </format>
    <format dxfId="58">
      <pivotArea dataOnly="0" labelOnly="1" outline="0" fieldPosition="0">
        <references count="1">
          <reference field="4294967294" count="3">
            <x v="0"/>
            <x v="1"/>
            <x v="2"/>
          </reference>
        </references>
      </pivotArea>
    </format>
    <format dxfId="57">
      <pivotArea outline="0" collapsedLevelsAreSubtotals="1" fieldPosition="0">
        <references count="1">
          <reference field="4294967294" count="1" selected="0">
            <x v="0"/>
          </reference>
        </references>
      </pivotArea>
    </format>
  </formats>
  <conditionalFormats count="4">
    <conditionalFormat priority="32">
      <pivotAreas count="1">
        <pivotArea type="data" collapsedLevelsAreSubtotals="1" fieldPosition="0">
          <references count="2">
            <reference field="4294967294" count="1" selected="0">
              <x v="1"/>
            </reference>
            <reference field="5" count="2">
              <x v="2"/>
              <x v="3"/>
            </reference>
          </references>
        </pivotArea>
      </pivotAreas>
    </conditionalFormat>
    <conditionalFormat priority="31">
      <pivotAreas count="1">
        <pivotArea type="data" collapsedLevelsAreSubtotals="1" fieldPosition="0">
          <references count="2">
            <reference field="4294967294" count="1" selected="0">
              <x v="1"/>
            </reference>
            <reference field="5" count="2">
              <x v="2"/>
              <x v="3"/>
            </reference>
          </references>
        </pivotArea>
      </pivotAreas>
    </conditionalFormat>
    <conditionalFormat priority="30">
      <pivotAreas count="1">
        <pivotArea type="data" collapsedLevelsAreSubtotals="1" fieldPosition="0">
          <references count="2">
            <reference field="4294967294" count="1" selected="0">
              <x v="2"/>
            </reference>
            <reference field="5" count="2">
              <x v="2"/>
              <x v="3"/>
            </reference>
          </references>
        </pivotArea>
      </pivotAreas>
    </conditionalFormat>
    <conditionalFormat priority="29">
      <pivotAreas count="1">
        <pivotArea type="data" collapsedLevelsAreSubtotals="1" fieldPosition="0">
          <references count="2">
            <reference field="4294967294" count="1" selected="0">
              <x v="2"/>
            </reference>
            <reference field="5" count="2">
              <x v="2"/>
              <x v="3"/>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0701D5-4AC1-426D-A307-C32BDDECB046}"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M37:P40" firstHeaderRow="0" firstDataRow="1" firstDataCol="1"/>
  <pivotFields count="12">
    <pivotField numFmtId="14" showAll="0"/>
    <pivotField showAll="0"/>
    <pivotField showAll="0"/>
    <pivotField showAll="0">
      <items count="8">
        <item x="1"/>
        <item x="5"/>
        <item x="6"/>
        <item x="2"/>
        <item x="3"/>
        <item x="4"/>
        <item x="0"/>
        <item t="default"/>
      </items>
    </pivotField>
    <pivotField showAll="0"/>
    <pivotField axis="axisRow" showAll="0">
      <items count="5">
        <item m="1" x="3"/>
        <item m="1" x="2"/>
        <item x="0"/>
        <item x="1"/>
        <item t="default"/>
      </items>
    </pivotField>
    <pivotField showAll="0"/>
    <pivotField showAll="0"/>
    <pivotField showAll="0"/>
    <pivotField showAll="0"/>
    <pivotField dataField="1" showAll="0"/>
    <pivotField showAll="0"/>
  </pivotFields>
  <rowFields count="1">
    <field x="5"/>
  </rowFields>
  <rowItems count="3">
    <i>
      <x v="2"/>
    </i>
    <i>
      <x v="3"/>
    </i>
    <i t="grand">
      <x/>
    </i>
  </rowItems>
  <colFields count="1">
    <field x="-2"/>
  </colFields>
  <colItems count="3">
    <i>
      <x/>
    </i>
    <i i="1">
      <x v="1"/>
    </i>
    <i i="2">
      <x v="2"/>
    </i>
  </colItems>
  <dataFields count="3">
    <dataField name="OBSERVATIONS" fld="10" subtotal="count" baseField="3" baseItem="0" numFmtId="1"/>
    <dataField name="AVG SALES_PER_HOUR" fld="10" subtotal="average" baseField="3" baseItem="0"/>
    <dataField name="Var of SALES_PER_HOUR" fld="10" subtotal="var" baseField="3" baseItem="0"/>
  </dataFields>
  <formats count="4">
    <format dxfId="64">
      <pivotArea outline="0" collapsedLevelsAreSubtotals="1" fieldPosition="0"/>
    </format>
    <format dxfId="63">
      <pivotArea field="3" type="button" dataOnly="0" labelOnly="1" outline="0"/>
    </format>
    <format dxfId="62">
      <pivotArea dataOnly="0" labelOnly="1" outline="0" fieldPosition="0">
        <references count="1">
          <reference field="4294967294" count="3">
            <x v="0"/>
            <x v="1"/>
            <x v="2"/>
          </reference>
        </references>
      </pivotArea>
    </format>
    <format dxfId="61">
      <pivotArea outline="0" collapsedLevelsAreSubtotals="1" fieldPosition="0">
        <references count="1">
          <reference field="4294967294" count="1" selected="0">
            <x v="0"/>
          </reference>
        </references>
      </pivotArea>
    </format>
  </formats>
  <conditionalFormats count="4">
    <conditionalFormat priority="22">
      <pivotAreas count="1">
        <pivotArea type="data" collapsedLevelsAreSubtotals="1" fieldPosition="0">
          <references count="2">
            <reference field="4294967294" count="1" selected="0">
              <x v="1"/>
            </reference>
            <reference field="5" count="2">
              <x v="2"/>
              <x v="3"/>
            </reference>
          </references>
        </pivotArea>
      </pivotAreas>
    </conditionalFormat>
    <conditionalFormat priority="21">
      <pivotAreas count="1">
        <pivotArea type="data" collapsedLevelsAreSubtotals="1" fieldPosition="0">
          <references count="2">
            <reference field="4294967294" count="1" selected="0">
              <x v="1"/>
            </reference>
            <reference field="5" count="2">
              <x v="2"/>
              <x v="3"/>
            </reference>
          </references>
        </pivotArea>
      </pivotAreas>
    </conditionalFormat>
    <conditionalFormat priority="20">
      <pivotAreas count="1">
        <pivotArea type="data" collapsedLevelsAreSubtotals="1" fieldPosition="0">
          <references count="2">
            <reference field="4294967294" count="1" selected="0">
              <x v="2"/>
            </reference>
            <reference field="5" count="2">
              <x v="2"/>
              <x v="3"/>
            </reference>
          </references>
        </pivotArea>
      </pivotAreas>
    </conditionalFormat>
    <conditionalFormat priority="19">
      <pivotAreas count="1">
        <pivotArea type="data" collapsedLevelsAreSubtotals="1" fieldPosition="0">
          <references count="2">
            <reference field="4294967294" count="1" selected="0">
              <x v="2"/>
            </reference>
            <reference field="5" count="2">
              <x v="2"/>
              <x v="3"/>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660746-BAD8-4C6D-9C85-0395EC23E18D}"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H4:K12" firstHeaderRow="0" firstDataRow="1" firstDataCol="1"/>
  <pivotFields count="12">
    <pivotField numFmtId="14" showAll="0"/>
    <pivotField showAll="0"/>
    <pivotField showAll="0"/>
    <pivotField axis="axisRow" showAll="0">
      <items count="8">
        <item x="1"/>
        <item x="5"/>
        <item x="6"/>
        <item x="2"/>
        <item x="3"/>
        <item x="4"/>
        <item x="0"/>
        <item t="default"/>
      </items>
    </pivotField>
    <pivotField showAll="0"/>
    <pivotField showAll="0"/>
    <pivotField showAll="0"/>
    <pivotField showAll="0"/>
    <pivotField showAll="0"/>
    <pivotField dataField="1" showAll="0"/>
    <pivotField showAll="0"/>
    <pivotField showAll="0"/>
  </pivotFields>
  <rowFields count="1">
    <field x="3"/>
  </rowFields>
  <rowItems count="8">
    <i>
      <x/>
    </i>
    <i>
      <x v="1"/>
    </i>
    <i>
      <x v="2"/>
    </i>
    <i>
      <x v="3"/>
    </i>
    <i>
      <x v="4"/>
    </i>
    <i>
      <x v="5"/>
    </i>
    <i>
      <x v="6"/>
    </i>
    <i t="grand">
      <x/>
    </i>
  </rowItems>
  <colFields count="1">
    <field x="-2"/>
  </colFields>
  <colItems count="3">
    <i>
      <x/>
    </i>
    <i i="1">
      <x v="1"/>
    </i>
    <i i="2">
      <x v="2"/>
    </i>
  </colItems>
  <dataFields count="3">
    <dataField name="OBSERVATIONS" fld="9" subtotal="count" baseField="3" baseItem="0"/>
    <dataField name="AVG INCOME" fld="9" subtotal="average" baseField="3" baseItem="0"/>
    <dataField name="Var of INCOME" fld="9" subtotal="var" baseField="3" baseItem="0"/>
  </dataFields>
  <formats count="5">
    <format dxfId="69">
      <pivotArea outline="0" collapsedLevelsAreSubtotals="1" fieldPosition="0"/>
    </format>
    <format dxfId="68">
      <pivotArea field="3" type="button" dataOnly="0" labelOnly="1" outline="0" axis="axisRow" fieldPosition="0"/>
    </format>
    <format dxfId="67">
      <pivotArea dataOnly="0" labelOnly="1" outline="0" fieldPosition="0">
        <references count="1">
          <reference field="4294967294" count="3">
            <x v="0"/>
            <x v="1"/>
            <x v="2"/>
          </reference>
        </references>
      </pivotArea>
    </format>
    <format dxfId="66">
      <pivotArea collapsedLevelsAreSubtotals="1" fieldPosition="0">
        <references count="2">
          <reference field="4294967294" count="1" selected="0">
            <x v="0"/>
          </reference>
          <reference field="3" count="0"/>
        </references>
      </pivotArea>
    </format>
    <format dxfId="65">
      <pivotArea field="3" grandRow="1" outline="0" collapsedLevelsAreSubtotals="1" axis="axisRow" fieldPosition="0">
        <references count="1">
          <reference field="4294967294" count="1" selected="0">
            <x v="0"/>
          </reference>
        </references>
      </pivotArea>
    </format>
  </formats>
  <conditionalFormats count="4">
    <conditionalFormat priority="80">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priority="79">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priority="78">
      <pivotAreas count="1">
        <pivotArea type="data" collapsedLevelsAreSubtotals="1" fieldPosition="0">
          <references count="2">
            <reference field="4294967294" count="1" selected="0">
              <x v="2"/>
            </reference>
            <reference field="3" count="7">
              <x v="0"/>
              <x v="1"/>
              <x v="2"/>
              <x v="3"/>
              <x v="4"/>
              <x v="5"/>
              <x v="6"/>
            </reference>
          </references>
        </pivotArea>
      </pivotAreas>
    </conditionalFormat>
    <conditionalFormat priority="77">
      <pivotAreas count="1">
        <pivotArea type="data" collapsedLevelsAreSubtotals="1" fieldPosition="0">
          <references count="2">
            <reference field="4294967294" count="1" selected="0">
              <x v="2"/>
            </reference>
            <reference field="3" count="7">
              <x v="0"/>
              <x v="1"/>
              <x v="2"/>
              <x v="3"/>
              <x v="4"/>
              <x v="5"/>
              <x v="6"/>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E2B432-A305-425C-B7DE-F691A8281375}"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R31:U34" firstHeaderRow="0" firstDataRow="1" firstDataCol="1"/>
  <pivotFields count="12">
    <pivotField numFmtId="14" showAll="0"/>
    <pivotField axis="axisRow" showAll="0">
      <items count="3">
        <item x="1"/>
        <item x="0"/>
        <item t="default"/>
      </items>
    </pivotField>
    <pivotField showAll="0"/>
    <pivotField showAll="0">
      <items count="8">
        <item x="1"/>
        <item x="5"/>
        <item x="6"/>
        <item x="2"/>
        <item x="3"/>
        <item x="4"/>
        <item x="0"/>
        <item t="default"/>
      </items>
    </pivotField>
    <pivotField showAll="0"/>
    <pivotField showAll="0"/>
    <pivotField showAll="0"/>
    <pivotField showAll="0"/>
    <pivotField showAll="0"/>
    <pivotField showAll="0"/>
    <pivotField showAll="0"/>
    <pivotField dataField="1" showAll="0"/>
  </pivotFields>
  <rowFields count="1">
    <field x="1"/>
  </rowFields>
  <rowItems count="3">
    <i>
      <x/>
    </i>
    <i>
      <x v="1"/>
    </i>
    <i t="grand">
      <x/>
    </i>
  </rowItems>
  <colFields count="1">
    <field x="-2"/>
  </colFields>
  <colItems count="3">
    <i>
      <x/>
    </i>
    <i i="1">
      <x v="1"/>
    </i>
    <i i="2">
      <x v="2"/>
    </i>
  </colItems>
  <dataFields count="3">
    <dataField name="OBSERVATIONS" fld="11" subtotal="count" baseField="3" baseItem="0" numFmtId="1"/>
    <dataField name="AVG INCOME_PER_HOUR" fld="11" subtotal="average" baseField="3" baseItem="0" numFmtId="164"/>
    <dataField name="Var of INCOME_PER_HOUR" fld="11" subtotal="var" baseField="3" baseItem="0" numFmtId="164"/>
  </dataFields>
  <formats count="4">
    <format dxfId="73">
      <pivotArea field="3" type="button" dataOnly="0" labelOnly="1" outline="0"/>
    </format>
    <format dxfId="72">
      <pivotArea outline="0" collapsedLevelsAreSubtotals="1" fieldPosition="0"/>
    </format>
    <format dxfId="71">
      <pivotArea dataOnly="0" labelOnly="1" outline="0" fieldPosition="0">
        <references count="1">
          <reference field="4294967294" count="1">
            <x v="1"/>
          </reference>
        </references>
      </pivotArea>
    </format>
    <format dxfId="70">
      <pivotArea outline="0" collapsedLevelsAreSubtotals="1" fieldPosition="0">
        <references count="1">
          <reference field="4294967294" count="2" selected="0">
            <x v="1"/>
            <x v="2"/>
          </reference>
        </references>
      </pivotArea>
    </format>
  </formats>
  <conditionalFormats count="4">
    <conditionalFormat priority="18">
      <pivotAreas count="1">
        <pivotArea type="data" collapsedLevelsAreSubtotals="1" fieldPosition="0">
          <references count="2">
            <reference field="4294967294" count="1" selected="0">
              <x v="1"/>
            </reference>
            <reference field="1" count="2">
              <x v="0"/>
              <x v="1"/>
            </reference>
          </references>
        </pivotArea>
      </pivotAreas>
    </conditionalFormat>
    <conditionalFormat priority="17">
      <pivotAreas count="1">
        <pivotArea type="data" collapsedLevelsAreSubtotals="1" fieldPosition="0">
          <references count="2">
            <reference field="4294967294" count="1" selected="0">
              <x v="1"/>
            </reference>
            <reference field="1" count="2">
              <x v="0"/>
              <x v="1"/>
            </reference>
          </references>
        </pivotArea>
      </pivotAreas>
    </conditionalFormat>
    <conditionalFormat priority="16">
      <pivotAreas count="1">
        <pivotArea type="data" collapsedLevelsAreSubtotals="1" fieldPosition="0">
          <references count="2">
            <reference field="4294967294" count="1" selected="0">
              <x v="2"/>
            </reference>
            <reference field="1" count="2">
              <x v="0"/>
              <x v="1"/>
            </reference>
          </references>
        </pivotArea>
      </pivotAreas>
    </conditionalFormat>
    <conditionalFormat priority="15">
      <pivotAreas count="1">
        <pivotArea type="data" collapsedLevelsAreSubtotals="1" fieldPosition="0">
          <references count="2">
            <reference field="4294967294" count="1" selected="0">
              <x v="2"/>
            </reference>
            <reference field="1" count="2">
              <x v="0"/>
              <x v="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5A58098-78E4-4B34-ADF7-D65FB181B317}"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H15:K28" firstHeaderRow="0" firstDataRow="1" firstDataCol="1"/>
  <pivotFields count="12">
    <pivotField numFmtId="14" showAll="0"/>
    <pivotField showAll="0"/>
    <pivotField axis="axisRow" showAll="0">
      <items count="13">
        <item x="6"/>
        <item x="7"/>
        <item x="8"/>
        <item x="9"/>
        <item x="10"/>
        <item x="11"/>
        <item x="0"/>
        <item x="1"/>
        <item x="2"/>
        <item x="3"/>
        <item x="4"/>
        <item x="5"/>
        <item t="default"/>
      </items>
    </pivotField>
    <pivotField showAll="0">
      <items count="8">
        <item x="1"/>
        <item x="5"/>
        <item x="6"/>
        <item x="2"/>
        <item x="3"/>
        <item x="4"/>
        <item x="0"/>
        <item t="default"/>
      </items>
    </pivotField>
    <pivotField showAll="0"/>
    <pivotField showAll="0"/>
    <pivotField showAll="0"/>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OBSERVATIONS" fld="9" subtotal="count" baseField="3" baseItem="0"/>
    <dataField name="AVG INCOME" fld="9" subtotal="average" baseField="3" baseItem="0"/>
    <dataField name="Var of INCOME" fld="9" subtotal="var" baseField="3" baseItem="0"/>
  </dataFields>
  <formats count="5">
    <format dxfId="78">
      <pivotArea outline="0" collapsedLevelsAreSubtotals="1" fieldPosition="0"/>
    </format>
    <format dxfId="77">
      <pivotArea field="3" type="button" dataOnly="0" labelOnly="1" outline="0"/>
    </format>
    <format dxfId="76">
      <pivotArea dataOnly="0" labelOnly="1" outline="0" fieldPosition="0">
        <references count="1">
          <reference field="4294967294" count="3">
            <x v="0"/>
            <x v="1"/>
            <x v="2"/>
          </reference>
        </references>
      </pivotArea>
    </format>
    <format dxfId="75">
      <pivotArea collapsedLevelsAreSubtotals="1" fieldPosition="0">
        <references count="1">
          <reference field="2" count="0"/>
        </references>
      </pivotArea>
    </format>
    <format dxfId="74">
      <pivotArea dataOnly="0" labelOnly="1" fieldPosition="0">
        <references count="1">
          <reference field="2" count="0"/>
        </references>
      </pivotArea>
    </format>
  </formats>
  <conditionalFormats count="4">
    <conditionalFormat priority="52">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51">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50">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 priority="49">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6456A02-B947-4738-A4F5-E7E89BB82C58}"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M15:P28" firstHeaderRow="0" firstDataRow="1" firstDataCol="1"/>
  <pivotFields count="12">
    <pivotField numFmtId="14" showAll="0"/>
    <pivotField showAll="0"/>
    <pivotField axis="axisRow" showAll="0">
      <items count="13">
        <item x="6"/>
        <item x="7"/>
        <item x="8"/>
        <item x="9"/>
        <item x="10"/>
        <item x="11"/>
        <item x="0"/>
        <item x="1"/>
        <item x="2"/>
        <item x="3"/>
        <item x="4"/>
        <item x="5"/>
        <item t="default"/>
      </items>
    </pivotField>
    <pivotField showAll="0">
      <items count="8">
        <item x="1"/>
        <item x="5"/>
        <item x="6"/>
        <item x="2"/>
        <item x="3"/>
        <item x="4"/>
        <item x="0"/>
        <item t="default"/>
      </items>
    </pivotField>
    <pivotField showAll="0"/>
    <pivotField showAll="0"/>
    <pivotField showAll="0"/>
    <pivotField showAll="0"/>
    <pivotField showAll="0"/>
    <pivotField showAll="0"/>
    <pivotField dataField="1" showAll="0"/>
    <pivotField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OBSERVATIONS" fld="10" subtotal="count" baseField="3" baseItem="0" numFmtId="1"/>
    <dataField name="AVG SALES_PER_HOUR" fld="10" subtotal="average" baseField="3" baseItem="0"/>
    <dataField name="Var of SALES_PER_HOUR" fld="10" subtotal="var" baseField="3" baseItem="0"/>
  </dataFields>
  <formats count="8">
    <format dxfId="86">
      <pivotArea outline="0" collapsedLevelsAreSubtotals="1" fieldPosition="0"/>
    </format>
    <format dxfId="85">
      <pivotArea field="3" type="button" dataOnly="0" labelOnly="1" outline="0"/>
    </format>
    <format dxfId="84">
      <pivotArea dataOnly="0" labelOnly="1" outline="0" fieldPosition="0">
        <references count="1">
          <reference field="4294967294" count="3">
            <x v="0"/>
            <x v="1"/>
            <x v="2"/>
          </reference>
        </references>
      </pivotArea>
    </format>
    <format dxfId="83">
      <pivotArea collapsedLevelsAreSubtotals="1" fieldPosition="0">
        <references count="1">
          <reference field="2" count="0"/>
        </references>
      </pivotArea>
    </format>
    <format dxfId="82">
      <pivotArea dataOnly="0" labelOnly="1" fieldPosition="0">
        <references count="1">
          <reference field="2" count="0"/>
        </references>
      </pivotArea>
    </format>
    <format dxfId="81">
      <pivotArea outline="0" collapsedLevelsAreSubtotals="1" fieldPosition="0">
        <references count="1">
          <reference field="4294967294" count="1" selected="0">
            <x v="0"/>
          </reference>
        </references>
      </pivotArea>
    </format>
    <format dxfId="80">
      <pivotArea collapsedLevelsAreSubtotals="1" fieldPosition="0">
        <references count="2">
          <reference field="4294967294" count="1" selected="0">
            <x v="2"/>
          </reference>
          <reference field="2" count="0"/>
        </references>
      </pivotArea>
    </format>
    <format dxfId="79">
      <pivotArea collapsedLevelsAreSubtotals="1" fieldPosition="0">
        <references count="2">
          <reference field="4294967294" count="1" selected="0">
            <x v="1"/>
          </reference>
          <reference field="2" count="0"/>
        </references>
      </pivotArea>
    </format>
  </formats>
  <conditionalFormats count="4">
    <conditionalFormat priority="56">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55">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54">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 priority="53">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6075844-9385-4D25-A564-2313D5F398E9}"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R15:U28" firstHeaderRow="0" firstDataRow="1" firstDataCol="1"/>
  <pivotFields count="12">
    <pivotField numFmtId="14" showAll="0"/>
    <pivotField showAll="0"/>
    <pivotField axis="axisRow" showAll="0">
      <items count="13">
        <item x="6"/>
        <item x="7"/>
        <item x="8"/>
        <item x="9"/>
        <item x="10"/>
        <item x="11"/>
        <item x="0"/>
        <item x="1"/>
        <item x="2"/>
        <item x="3"/>
        <item x="4"/>
        <item x="5"/>
        <item t="default"/>
      </items>
    </pivotField>
    <pivotField showAll="0">
      <items count="8">
        <item x="1"/>
        <item x="5"/>
        <item x="6"/>
        <item x="2"/>
        <item x="3"/>
        <item x="4"/>
        <item x="0"/>
        <item t="default"/>
      </items>
    </pivotField>
    <pivotField showAll="0"/>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OBSERVATIONS" fld="11" subtotal="count" baseField="3" baseItem="0" numFmtId="1"/>
    <dataField name="AVG INCOME_PER_HOUR" fld="11" subtotal="average" baseField="3" baseItem="0" numFmtId="164"/>
    <dataField name="Var of INCOME_PER_HOUR" fld="11" subtotal="var" baseField="3" baseItem="0" numFmtId="164"/>
  </dataFields>
  <formats count="8">
    <format dxfId="94">
      <pivotArea field="3" type="button" dataOnly="0" labelOnly="1" outline="0"/>
    </format>
    <format dxfId="93">
      <pivotArea outline="0" collapsedLevelsAreSubtotals="1" fieldPosition="0"/>
    </format>
    <format dxfId="92">
      <pivotArea dataOnly="0" labelOnly="1" outline="0" fieldPosition="0">
        <references count="1">
          <reference field="4294967294" count="1">
            <x v="1"/>
          </reference>
        </references>
      </pivotArea>
    </format>
    <format dxfId="91">
      <pivotArea outline="0" collapsedLevelsAreSubtotals="1" fieldPosition="0">
        <references count="1">
          <reference field="4294967294" count="2" selected="0">
            <x v="1"/>
            <x v="2"/>
          </reference>
        </references>
      </pivotArea>
    </format>
    <format dxfId="90">
      <pivotArea collapsedLevelsAreSubtotals="1" fieldPosition="0">
        <references count="1">
          <reference field="2" count="0"/>
        </references>
      </pivotArea>
    </format>
    <format dxfId="89">
      <pivotArea dataOnly="0" labelOnly="1" fieldPosition="0">
        <references count="1">
          <reference field="2" count="0"/>
        </references>
      </pivotArea>
    </format>
    <format dxfId="88">
      <pivotArea collapsedLevelsAreSubtotals="1" fieldPosition="0">
        <references count="2">
          <reference field="4294967294" count="1" selected="0">
            <x v="2"/>
          </reference>
          <reference field="2" count="0"/>
        </references>
      </pivotArea>
    </format>
    <format dxfId="87">
      <pivotArea collapsedLevelsAreSubtotals="1" fieldPosition="0">
        <references count="2">
          <reference field="4294967294" count="1" selected="0">
            <x v="1"/>
          </reference>
          <reference field="2" count="0"/>
        </references>
      </pivotArea>
    </format>
  </formats>
  <conditionalFormats count="4">
    <conditionalFormat priority="60">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59">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58">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 priority="57">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A141F8E-C538-4835-9C37-44C0FBF95AB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C4:F12" firstHeaderRow="0" firstDataRow="1" firstDataCol="1"/>
  <pivotFields count="12">
    <pivotField numFmtId="14" showAll="0"/>
    <pivotField showAll="0"/>
    <pivotField showAll="0"/>
    <pivotField axis="axisRow" showAll="0">
      <items count="8">
        <item x="1"/>
        <item x="5"/>
        <item x="6"/>
        <item x="2"/>
        <item x="3"/>
        <item x="4"/>
        <item x="0"/>
        <item t="default"/>
      </items>
    </pivotField>
    <pivotField showAll="0"/>
    <pivotField showAll="0"/>
    <pivotField showAll="0"/>
    <pivotField showAll="0"/>
    <pivotField dataField="1" showAll="0"/>
    <pivotField showAll="0"/>
    <pivotField showAll="0"/>
    <pivotField showAll="0"/>
  </pivotFields>
  <rowFields count="1">
    <field x="3"/>
  </rowFields>
  <rowItems count="8">
    <i>
      <x/>
    </i>
    <i>
      <x v="1"/>
    </i>
    <i>
      <x v="2"/>
    </i>
    <i>
      <x v="3"/>
    </i>
    <i>
      <x v="4"/>
    </i>
    <i>
      <x v="5"/>
    </i>
    <i>
      <x v="6"/>
    </i>
    <i t="grand">
      <x/>
    </i>
  </rowItems>
  <colFields count="1">
    <field x="-2"/>
  </colFields>
  <colItems count="3">
    <i>
      <x/>
    </i>
    <i i="1">
      <x v="1"/>
    </i>
    <i i="2">
      <x v="2"/>
    </i>
  </colItems>
  <dataFields count="3">
    <dataField name="OBSERVATIONS" fld="8" subtotal="count" baseField="3" baseItem="0" numFmtId="1"/>
    <dataField name="AVG SALES" fld="8" subtotal="average" baseField="3" baseItem="0"/>
    <dataField name="Var of SALES" fld="8" subtotal="var" baseField="3" baseItem="0"/>
  </dataFields>
  <formats count="7">
    <format dxfId="101">
      <pivotArea outline="0" collapsedLevelsAreSubtotals="1" fieldPosition="0"/>
    </format>
    <format dxfId="100">
      <pivotArea outline="0" collapsedLevelsAreSubtotals="1" fieldPosition="0">
        <references count="1">
          <reference field="4294967294" count="1" selected="0">
            <x v="0"/>
          </reference>
        </references>
      </pivotArea>
    </format>
    <format dxfId="99">
      <pivotArea collapsedLevelsAreSubtotals="1" fieldPosition="0">
        <references count="2">
          <reference field="4294967294" count="1" selected="0">
            <x v="0"/>
          </reference>
          <reference field="3" count="0"/>
        </references>
      </pivotArea>
    </format>
    <format dxfId="98">
      <pivotArea dataOnly="0" labelOnly="1" outline="0" fieldPosition="0">
        <references count="1">
          <reference field="4294967294" count="1">
            <x v="1"/>
          </reference>
        </references>
      </pivotArea>
    </format>
    <format dxfId="97">
      <pivotArea collapsedLevelsAreSubtotals="1" fieldPosition="0">
        <references count="2">
          <reference field="4294967294" count="2" selected="0">
            <x v="1"/>
            <x v="2"/>
          </reference>
          <reference field="3" count="0"/>
        </references>
      </pivotArea>
    </format>
    <format dxfId="96">
      <pivotArea field="3" type="button" dataOnly="0" labelOnly="1" outline="0" axis="axisRow" fieldPosition="0"/>
    </format>
    <format dxfId="95">
      <pivotArea dataOnly="0" labelOnly="1" outline="0" fieldPosition="0">
        <references count="1">
          <reference field="4294967294" count="3">
            <x v="0"/>
            <x v="1"/>
            <x v="2"/>
          </reference>
        </references>
      </pivotArea>
    </format>
  </formats>
  <conditionalFormats count="4">
    <conditionalFormat type="all" priority="84">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type="all" priority="83">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priority="82">
      <pivotAreas count="1">
        <pivotArea type="data" collapsedLevelsAreSubtotals="1" fieldPosition="0">
          <references count="2">
            <reference field="4294967294" count="1" selected="0">
              <x v="2"/>
            </reference>
            <reference field="3" count="7">
              <x v="0"/>
              <x v="1"/>
              <x v="2"/>
              <x v="3"/>
              <x v="4"/>
              <x v="5"/>
              <x v="6"/>
            </reference>
          </references>
        </pivotArea>
      </pivotAreas>
    </conditionalFormat>
    <conditionalFormat priority="81">
      <pivotAreas count="1">
        <pivotArea type="data" collapsedLevelsAreSubtotals="1" fieldPosition="0">
          <references count="2">
            <reference field="4294967294" count="1" selected="0">
              <x v="2"/>
            </reference>
            <reference field="3" count="7">
              <x v="0"/>
              <x v="1"/>
              <x v="2"/>
              <x v="3"/>
              <x v="4"/>
              <x v="5"/>
              <x v="6"/>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90BDAE2-E5F1-4780-B959-83A558B20607}"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W4:Z12" firstHeaderRow="0" firstDataRow="1" firstDataCol="1"/>
  <pivotFields count="12">
    <pivotField numFmtId="14" showAll="0"/>
    <pivotField showAll="0"/>
    <pivotField showAll="0"/>
    <pivotField axis="axisRow" showAll="0">
      <items count="8">
        <item x="1"/>
        <item x="5"/>
        <item x="6"/>
        <item x="2"/>
        <item x="3"/>
        <item x="4"/>
        <item x="0"/>
        <item t="default"/>
      </items>
    </pivotField>
    <pivotField showAll="0"/>
    <pivotField showAll="0"/>
    <pivotField dataField="1" showAll="0"/>
    <pivotField showAll="0"/>
    <pivotField showAll="0"/>
    <pivotField showAll="0"/>
    <pivotField showAll="0"/>
    <pivotField showAll="0"/>
  </pivotFields>
  <rowFields count="1">
    <field x="3"/>
  </rowFields>
  <rowItems count="8">
    <i>
      <x/>
    </i>
    <i>
      <x v="1"/>
    </i>
    <i>
      <x v="2"/>
    </i>
    <i>
      <x v="3"/>
    </i>
    <i>
      <x v="4"/>
    </i>
    <i>
      <x v="5"/>
    </i>
    <i>
      <x v="6"/>
    </i>
    <i t="grand">
      <x/>
    </i>
  </rowItems>
  <colFields count="1">
    <field x="-2"/>
  </colFields>
  <colItems count="3">
    <i>
      <x/>
    </i>
    <i i="1">
      <x v="1"/>
    </i>
    <i i="2">
      <x v="2"/>
    </i>
  </colItems>
  <dataFields count="3">
    <dataField name="OBSERVATIONS" fld="6" subtotal="count" baseField="3" baseItem="0"/>
    <dataField name="AVG HOURS" fld="6" subtotal="average" baseField="3" baseItem="0"/>
    <dataField name="Var of HOURS" fld="6" subtotal="var" baseField="3" baseItem="0"/>
  </dataFields>
  <formats count="7">
    <format dxfId="108">
      <pivotArea field="3" type="button" dataOnly="0" labelOnly="1" outline="0" axis="axisRow" fieldPosition="0"/>
    </format>
    <format dxfId="107">
      <pivotArea outline="0" collapsedLevelsAreSubtotals="1" fieldPosition="0"/>
    </format>
    <format dxfId="106">
      <pivotArea collapsedLevelsAreSubtotals="1" fieldPosition="0">
        <references count="1">
          <reference field="3" count="0"/>
        </references>
      </pivotArea>
    </format>
    <format dxfId="105">
      <pivotArea dataOnly="0" labelOnly="1" fieldPosition="0">
        <references count="1">
          <reference field="3" count="0"/>
        </references>
      </pivotArea>
    </format>
    <format dxfId="104">
      <pivotArea collapsedLevelsAreSubtotals="1" fieldPosition="0">
        <references count="2">
          <reference field="4294967294" count="2" selected="0">
            <x v="1"/>
            <x v="2"/>
          </reference>
          <reference field="3" count="0"/>
        </references>
      </pivotArea>
    </format>
    <format dxfId="103">
      <pivotArea collapsedLevelsAreSubtotals="1" fieldPosition="0">
        <references count="2">
          <reference field="4294967294" count="1" selected="0">
            <x v="1"/>
          </reference>
          <reference field="3" count="0"/>
        </references>
      </pivotArea>
    </format>
    <format dxfId="102">
      <pivotArea collapsedLevelsAreSubtotals="1" fieldPosition="0">
        <references count="2">
          <reference field="4294967294" count="1" selected="0">
            <x v="2"/>
          </reference>
          <reference field="3" count="0"/>
        </references>
      </pivotArea>
    </format>
  </formats>
  <conditionalFormats count="4">
    <conditionalFormat priority="68">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priority="67">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priority="66">
      <pivotAreas count="1">
        <pivotArea type="data" collapsedLevelsAreSubtotals="1" fieldPosition="0">
          <references count="2">
            <reference field="4294967294" count="1" selected="0">
              <x v="2"/>
            </reference>
            <reference field="3" count="7">
              <x v="0"/>
              <x v="1"/>
              <x v="2"/>
              <x v="3"/>
              <x v="4"/>
              <x v="5"/>
              <x v="6"/>
            </reference>
          </references>
        </pivotArea>
      </pivotAreas>
    </conditionalFormat>
    <conditionalFormat priority="65">
      <pivotAreas count="1">
        <pivotArea type="data" collapsedLevelsAreSubtotals="1" fieldPosition="0">
          <references count="2">
            <reference field="4294967294" count="1" selected="0">
              <x v="2"/>
            </reference>
            <reference field="3" count="7">
              <x v="0"/>
              <x v="1"/>
              <x v="2"/>
              <x v="3"/>
              <x v="4"/>
              <x v="5"/>
              <x v="6"/>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FC2AE4-7D2E-40A4-AECC-AFB228CD72D3}"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M31:P34" firstHeaderRow="0" firstDataRow="1" firstDataCol="1"/>
  <pivotFields count="12">
    <pivotField numFmtId="14" showAll="0"/>
    <pivotField axis="axisRow" showAll="0">
      <items count="3">
        <item x="1"/>
        <item x="0"/>
        <item t="default"/>
      </items>
    </pivotField>
    <pivotField showAll="0"/>
    <pivotField showAll="0">
      <items count="8">
        <item x="1"/>
        <item x="5"/>
        <item x="6"/>
        <item x="2"/>
        <item x="3"/>
        <item x="4"/>
        <item x="0"/>
        <item t="default"/>
      </items>
    </pivotField>
    <pivotField showAll="0"/>
    <pivotField showAll="0"/>
    <pivotField showAll="0"/>
    <pivotField showAll="0"/>
    <pivotField showAll="0"/>
    <pivotField showAll="0"/>
    <pivotField dataField="1" showAll="0"/>
    <pivotField showAll="0"/>
  </pivotFields>
  <rowFields count="1">
    <field x="1"/>
  </rowFields>
  <rowItems count="3">
    <i>
      <x/>
    </i>
    <i>
      <x v="1"/>
    </i>
    <i t="grand">
      <x/>
    </i>
  </rowItems>
  <colFields count="1">
    <field x="-2"/>
  </colFields>
  <colItems count="3">
    <i>
      <x/>
    </i>
    <i i="1">
      <x v="1"/>
    </i>
    <i i="2">
      <x v="2"/>
    </i>
  </colItems>
  <dataFields count="3">
    <dataField name="OBSERVATIONS" fld="10" subtotal="count" baseField="3" baseItem="0" numFmtId="1"/>
    <dataField name="AVG SALES_PER_HOUR" fld="10" subtotal="average" baseField="3" baseItem="0"/>
    <dataField name="Var of SALES_PER_HOUR" fld="10" subtotal="var" baseField="3" baseItem="0"/>
  </dataFields>
  <formats count="5">
    <format dxfId="13">
      <pivotArea outline="0" collapsedLevelsAreSubtotals="1" fieldPosition="0"/>
    </format>
    <format dxfId="12">
      <pivotArea field="3" type="button" dataOnly="0" labelOnly="1" outline="0"/>
    </format>
    <format dxfId="11">
      <pivotArea dataOnly="0" labelOnly="1" outline="0" fieldPosition="0">
        <references count="1">
          <reference field="4294967294" count="3">
            <x v="0"/>
            <x v="1"/>
            <x v="2"/>
          </reference>
        </references>
      </pivotArea>
    </format>
    <format dxfId="10">
      <pivotArea outline="0" collapsedLevelsAreSubtotals="1" fieldPosition="0">
        <references count="1">
          <reference field="4294967294" count="1" selected="0">
            <x v="0"/>
          </reference>
        </references>
      </pivotArea>
    </format>
    <format dxfId="9">
      <pivotArea collapsedLevelsAreSubtotals="1" fieldPosition="0">
        <references count="2">
          <reference field="4294967294" count="1" selected="0">
            <x v="0"/>
          </reference>
          <reference field="1" count="0"/>
        </references>
      </pivotArea>
    </format>
  </formats>
  <conditionalFormats count="4">
    <conditionalFormat priority="26">
      <pivotAreas count="1">
        <pivotArea type="data" collapsedLevelsAreSubtotals="1" fieldPosition="0">
          <references count="2">
            <reference field="4294967294" count="1" selected="0">
              <x v="1"/>
            </reference>
            <reference field="1" count="2">
              <x v="0"/>
              <x v="1"/>
            </reference>
          </references>
        </pivotArea>
      </pivotAreas>
    </conditionalFormat>
    <conditionalFormat priority="25">
      <pivotAreas count="1">
        <pivotArea type="data" collapsedLevelsAreSubtotals="1" fieldPosition="0">
          <references count="2">
            <reference field="4294967294" count="1" selected="0">
              <x v="1"/>
            </reference>
            <reference field="1" count="2">
              <x v="0"/>
              <x v="1"/>
            </reference>
          </references>
        </pivotArea>
      </pivotAreas>
    </conditionalFormat>
    <conditionalFormat priority="24">
      <pivotAreas count="1">
        <pivotArea type="data" collapsedLevelsAreSubtotals="1" fieldPosition="0">
          <references count="2">
            <reference field="4294967294" count="1" selected="0">
              <x v="2"/>
            </reference>
            <reference field="1" count="2">
              <x v="0"/>
              <x v="1"/>
            </reference>
          </references>
        </pivotArea>
      </pivotAreas>
    </conditionalFormat>
    <conditionalFormat priority="23">
      <pivotAreas count="1">
        <pivotArea type="data" collapsedLevelsAreSubtotals="1" fieldPosition="0">
          <references count="2">
            <reference field="4294967294" count="1" selected="0">
              <x v="2"/>
            </reference>
            <reference field="1" count="2">
              <x v="0"/>
              <x v="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3A286E9-1B07-46A2-887B-F1C4FB70C3D6}"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W37:Z40" firstHeaderRow="0" firstDataRow="1" firstDataCol="1"/>
  <pivotFields count="12">
    <pivotField numFmtId="14" showAll="0"/>
    <pivotField showAll="0"/>
    <pivotField showAll="0">
      <items count="13">
        <item x="6"/>
        <item x="7"/>
        <item x="8"/>
        <item x="9"/>
        <item x="10"/>
        <item x="11"/>
        <item x="0"/>
        <item x="1"/>
        <item x="2"/>
        <item x="3"/>
        <item x="4"/>
        <item x="5"/>
        <item t="default"/>
      </items>
    </pivotField>
    <pivotField showAll="0">
      <items count="8">
        <item x="1"/>
        <item x="5"/>
        <item x="6"/>
        <item x="2"/>
        <item x="3"/>
        <item x="4"/>
        <item x="0"/>
        <item t="default"/>
      </items>
    </pivotField>
    <pivotField showAll="0"/>
    <pivotField axis="axisRow" showAll="0">
      <items count="5">
        <item m="1" x="3"/>
        <item x="1"/>
        <item x="0"/>
        <item m="1" x="2"/>
        <item t="default"/>
      </items>
    </pivotField>
    <pivotField dataField="1" showAll="0"/>
    <pivotField showAll="0"/>
    <pivotField showAll="0"/>
    <pivotField showAll="0"/>
    <pivotField showAll="0"/>
    <pivotField showAll="0"/>
  </pivotFields>
  <rowFields count="1">
    <field x="5"/>
  </rowFields>
  <rowItems count="3">
    <i>
      <x v="1"/>
    </i>
    <i>
      <x v="2"/>
    </i>
    <i t="grand">
      <x/>
    </i>
  </rowItems>
  <colFields count="1">
    <field x="-2"/>
  </colFields>
  <colItems count="3">
    <i>
      <x/>
    </i>
    <i i="1">
      <x v="1"/>
    </i>
    <i i="2">
      <x v="2"/>
    </i>
  </colItems>
  <dataFields count="3">
    <dataField name="OBSERVATIONS" fld="6" subtotal="count" baseField="3" baseItem="0"/>
    <dataField name="AVG HOURS" fld="6" subtotal="average" baseField="3" baseItem="0" numFmtId="2"/>
    <dataField name="Var of HOURS" fld="6" subtotal="var" baseField="3" baseItem="0" numFmtId="2"/>
  </dataFields>
  <formats count="5">
    <format dxfId="113">
      <pivotArea field="3" type="button" dataOnly="0" labelOnly="1" outline="0"/>
    </format>
    <format dxfId="112">
      <pivotArea outline="0" collapsedLevelsAreSubtotals="1" fieldPosition="0"/>
    </format>
    <format dxfId="111">
      <pivotArea outline="0" collapsedLevelsAreSubtotals="1" fieldPosition="0">
        <references count="1">
          <reference field="4294967294" count="2" selected="0">
            <x v="1"/>
            <x v="2"/>
          </reference>
        </references>
      </pivotArea>
    </format>
    <format dxfId="110">
      <pivotArea collapsedLevelsAreSubtotals="1" fieldPosition="0">
        <references count="2">
          <reference field="4294967294" count="1" selected="0">
            <x v="1"/>
          </reference>
          <reference field="5" count="0"/>
        </references>
      </pivotArea>
    </format>
    <format dxfId="109">
      <pivotArea collapsedLevelsAreSubtotals="1" fieldPosition="0">
        <references count="2">
          <reference field="4294967294" count="1" selected="0">
            <x v="2"/>
          </reference>
          <reference field="5" count="0"/>
        </references>
      </pivotArea>
    </format>
  </formats>
  <conditionalFormats count="4">
    <conditionalFormat priority="4">
      <pivotAreas count="1">
        <pivotArea type="data" collapsedLevelsAreSubtotals="1" fieldPosition="0">
          <references count="2">
            <reference field="4294967294" count="1" selected="0">
              <x v="1"/>
            </reference>
            <reference field="5" count="2">
              <x v="1"/>
              <x v="2"/>
            </reference>
          </references>
        </pivotArea>
      </pivotAreas>
    </conditionalFormat>
    <conditionalFormat priority="3">
      <pivotAreas count="1">
        <pivotArea type="data" collapsedLevelsAreSubtotals="1" fieldPosition="0">
          <references count="2">
            <reference field="4294967294" count="1" selected="0">
              <x v="1"/>
            </reference>
            <reference field="5" count="2">
              <x v="1"/>
              <x v="2"/>
            </reference>
          </references>
        </pivotArea>
      </pivotAreas>
    </conditionalFormat>
    <conditionalFormat priority="2">
      <pivotAreas count="1">
        <pivotArea type="data" collapsedLevelsAreSubtotals="1" fieldPosition="0">
          <references count="2">
            <reference field="4294967294" count="1" selected="0">
              <x v="2"/>
            </reference>
            <reference field="5" count="2">
              <x v="1"/>
              <x v="2"/>
            </reference>
          </references>
        </pivotArea>
      </pivotAreas>
    </conditionalFormat>
    <conditionalFormat priority="1">
      <pivotAreas count="1">
        <pivotArea type="data" collapsedLevelsAreSubtotals="1" fieldPosition="0">
          <references count="2">
            <reference field="4294967294" count="1" selected="0">
              <x v="2"/>
            </reference>
            <reference field="5" count="2">
              <x v="1"/>
              <x v="2"/>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2EE82B2-1FDB-4399-99F5-D672103C4E5C}"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C37:F40" firstHeaderRow="0" firstDataRow="1" firstDataCol="1"/>
  <pivotFields count="12">
    <pivotField numFmtId="14" showAll="0"/>
    <pivotField showAll="0"/>
    <pivotField showAll="0"/>
    <pivotField showAll="0">
      <items count="8">
        <item x="1"/>
        <item x="5"/>
        <item x="6"/>
        <item x="2"/>
        <item x="3"/>
        <item x="4"/>
        <item x="0"/>
        <item t="default"/>
      </items>
    </pivotField>
    <pivotField showAll="0"/>
    <pivotField axis="axisRow" showAll="0">
      <items count="5">
        <item m="1" x="3"/>
        <item m="1" x="2"/>
        <item x="0"/>
        <item x="1"/>
        <item t="default"/>
      </items>
    </pivotField>
    <pivotField showAll="0"/>
    <pivotField showAll="0"/>
    <pivotField dataField="1" showAll="0"/>
    <pivotField showAll="0"/>
    <pivotField showAll="0"/>
    <pivotField showAll="0"/>
  </pivotFields>
  <rowFields count="1">
    <field x="5"/>
  </rowFields>
  <rowItems count="3">
    <i>
      <x v="2"/>
    </i>
    <i>
      <x v="3"/>
    </i>
    <i t="grand">
      <x/>
    </i>
  </rowItems>
  <colFields count="1">
    <field x="-2"/>
  </colFields>
  <colItems count="3">
    <i>
      <x/>
    </i>
    <i i="1">
      <x v="1"/>
    </i>
    <i i="2">
      <x v="2"/>
    </i>
  </colItems>
  <dataFields count="3">
    <dataField name="OBSERVATIONS" fld="8" subtotal="count" baseField="3" baseItem="0" numFmtId="1"/>
    <dataField name="AVG SALES" fld="8" subtotal="average" baseField="3" baseItem="0"/>
    <dataField name="Var of SALES" fld="8" subtotal="var" baseField="3" baseItem="0"/>
  </dataFields>
  <formats count="5">
    <format dxfId="118">
      <pivotArea outline="0" collapsedLevelsAreSubtotals="1" fieldPosition="0"/>
    </format>
    <format dxfId="117">
      <pivotArea outline="0" collapsedLevelsAreSubtotals="1" fieldPosition="0">
        <references count="1">
          <reference field="4294967294" count="1" selected="0">
            <x v="0"/>
          </reference>
        </references>
      </pivotArea>
    </format>
    <format dxfId="116">
      <pivotArea dataOnly="0" labelOnly="1" outline="0" fieldPosition="0">
        <references count="1">
          <reference field="4294967294" count="1">
            <x v="1"/>
          </reference>
        </references>
      </pivotArea>
    </format>
    <format dxfId="115">
      <pivotArea field="3" type="button" dataOnly="0" labelOnly="1" outline="0"/>
    </format>
    <format dxfId="114">
      <pivotArea dataOnly="0" labelOnly="1" outline="0" fieldPosition="0">
        <references count="1">
          <reference field="4294967294" count="3">
            <x v="0"/>
            <x v="1"/>
            <x v="2"/>
          </reference>
        </references>
      </pivotArea>
    </format>
  </formats>
  <conditionalFormats count="4">
    <conditionalFormat priority="40">
      <pivotAreas count="1">
        <pivotArea type="data" collapsedLevelsAreSubtotals="1" fieldPosition="0">
          <references count="2">
            <reference field="4294967294" count="1" selected="0">
              <x v="1"/>
            </reference>
            <reference field="5" count="2">
              <x v="2"/>
              <x v="3"/>
            </reference>
          </references>
        </pivotArea>
      </pivotAreas>
    </conditionalFormat>
    <conditionalFormat priority="39">
      <pivotAreas count="1">
        <pivotArea type="data" collapsedLevelsAreSubtotals="1" fieldPosition="0">
          <references count="2">
            <reference field="4294967294" count="1" selected="0">
              <x v="1"/>
            </reference>
            <reference field="5" count="2">
              <x v="2"/>
              <x v="3"/>
            </reference>
          </references>
        </pivotArea>
      </pivotAreas>
    </conditionalFormat>
    <conditionalFormat priority="38">
      <pivotAreas count="1">
        <pivotArea type="data" collapsedLevelsAreSubtotals="1" fieldPosition="0">
          <references count="2">
            <reference field="4294967294" count="1" selected="0">
              <x v="2"/>
            </reference>
            <reference field="5" count="2">
              <x v="2"/>
              <x v="3"/>
            </reference>
          </references>
        </pivotArea>
      </pivotAreas>
    </conditionalFormat>
    <conditionalFormat priority="37">
      <pivotAreas count="1">
        <pivotArea type="data" collapsedLevelsAreSubtotals="1" fieldPosition="0">
          <references count="2">
            <reference field="4294967294" count="1" selected="0">
              <x v="2"/>
            </reference>
            <reference field="5" count="2">
              <x v="2"/>
              <x v="3"/>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5E953-DB8A-4C31-9B21-0C26F1825A6F}"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W15:Z28" firstHeaderRow="0" firstDataRow="1" firstDataCol="1"/>
  <pivotFields count="12">
    <pivotField numFmtId="14" showAll="0"/>
    <pivotField showAll="0"/>
    <pivotField axis="axisRow" showAll="0">
      <items count="13">
        <item x="6"/>
        <item x="7"/>
        <item x="8"/>
        <item x="9"/>
        <item x="10"/>
        <item x="11"/>
        <item x="0"/>
        <item x="1"/>
        <item x="2"/>
        <item x="3"/>
        <item x="4"/>
        <item x="5"/>
        <item t="default"/>
      </items>
    </pivotField>
    <pivotField showAll="0">
      <items count="8">
        <item x="1"/>
        <item x="5"/>
        <item x="6"/>
        <item x="2"/>
        <item x="3"/>
        <item x="4"/>
        <item x="0"/>
        <item t="default"/>
      </items>
    </pivotField>
    <pivotField showAll="0"/>
    <pivotField showAll="0"/>
    <pivotField dataField="1"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OBSERVATIONS" fld="6" subtotal="count" baseField="3" baseItem="0"/>
    <dataField name="AVG HOURS" fld="6" subtotal="average" baseField="3" baseItem="0" numFmtId="2"/>
    <dataField name="Var of HOURS" fld="6" subtotal="var" baseField="3" baseItem="0" numFmtId="2"/>
  </dataFields>
  <formats count="5">
    <format dxfId="18">
      <pivotArea field="3" type="button" dataOnly="0" labelOnly="1" outline="0"/>
    </format>
    <format dxfId="17">
      <pivotArea outline="0" collapsedLevelsAreSubtotals="1" fieldPosition="0"/>
    </format>
    <format dxfId="16">
      <pivotArea outline="0" collapsedLevelsAreSubtotals="1" fieldPosition="0">
        <references count="1">
          <reference field="4294967294" count="2" selected="0">
            <x v="1"/>
            <x v="2"/>
          </reference>
        </references>
      </pivotArea>
    </format>
    <format dxfId="15">
      <pivotArea collapsedLevelsAreSubtotals="1" fieldPosition="0">
        <references count="2">
          <reference field="4294967294" count="1" selected="0">
            <x v="2"/>
          </reference>
          <reference field="2" count="0"/>
        </references>
      </pivotArea>
    </format>
    <format dxfId="14">
      <pivotArea collapsedLevelsAreSubtotals="1" fieldPosition="0">
        <references count="2">
          <reference field="4294967294" count="1" selected="0">
            <x v="1"/>
          </reference>
          <reference field="2" count="0"/>
        </references>
      </pivotArea>
    </format>
  </formats>
  <conditionalFormats count="4">
    <conditionalFormat priority="64">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63">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62">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 priority="61">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B9602-3750-49E4-832D-FF59B786A870}"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R4:U12" firstHeaderRow="0" firstDataRow="1" firstDataCol="1"/>
  <pivotFields count="12">
    <pivotField numFmtId="14" showAll="0"/>
    <pivotField showAll="0"/>
    <pivotField showAll="0"/>
    <pivotField axis="axisRow" showAll="0">
      <items count="8">
        <item x="1"/>
        <item x="5"/>
        <item x="6"/>
        <item x="2"/>
        <item x="3"/>
        <item x="4"/>
        <item x="0"/>
        <item t="default"/>
      </items>
    </pivotField>
    <pivotField showAll="0"/>
    <pivotField showAll="0"/>
    <pivotField showAll="0"/>
    <pivotField showAll="0"/>
    <pivotField showAll="0"/>
    <pivotField showAll="0"/>
    <pivotField showAll="0"/>
    <pivotField dataField="1" showAll="0"/>
  </pivotFields>
  <rowFields count="1">
    <field x="3"/>
  </rowFields>
  <rowItems count="8">
    <i>
      <x/>
    </i>
    <i>
      <x v="1"/>
    </i>
    <i>
      <x v="2"/>
    </i>
    <i>
      <x v="3"/>
    </i>
    <i>
      <x v="4"/>
    </i>
    <i>
      <x v="5"/>
    </i>
    <i>
      <x v="6"/>
    </i>
    <i t="grand">
      <x/>
    </i>
  </rowItems>
  <colFields count="1">
    <field x="-2"/>
  </colFields>
  <colItems count="3">
    <i>
      <x/>
    </i>
    <i i="1">
      <x v="1"/>
    </i>
    <i i="2">
      <x v="2"/>
    </i>
  </colItems>
  <dataFields count="3">
    <dataField name="OBSERVATIONS" fld="11" subtotal="count" baseField="3" baseItem="0" numFmtId="1"/>
    <dataField name="AVG INCOME_PER_HOUR" fld="11" subtotal="average" baseField="3" baseItem="0" numFmtId="164"/>
    <dataField name="Var of INCOME_PER_HOUR" fld="11" subtotal="var" baseField="3" baseItem="0" numFmtId="164"/>
  </dataFields>
  <formats count="6">
    <format dxfId="24">
      <pivotArea field="3" type="button" dataOnly="0" labelOnly="1" outline="0" axis="axisRow" fieldPosition="0"/>
    </format>
    <format dxfId="23">
      <pivotArea outline="0" collapsedLevelsAreSubtotals="1" fieldPosition="0"/>
    </format>
    <format dxfId="22">
      <pivotArea dataOnly="0" labelOnly="1" outline="0" fieldPosition="0">
        <references count="1">
          <reference field="4294967294" count="1">
            <x v="1"/>
          </reference>
        </references>
      </pivotArea>
    </format>
    <format dxfId="21">
      <pivotArea outline="0" collapsedLevelsAreSubtotals="1" fieldPosition="0">
        <references count="1">
          <reference field="4294967294" count="2" selected="0">
            <x v="1"/>
            <x v="2"/>
          </reference>
        </references>
      </pivotArea>
    </format>
    <format dxfId="20">
      <pivotArea collapsedLevelsAreSubtotals="1" fieldPosition="0">
        <references count="2">
          <reference field="4294967294" count="1" selected="0">
            <x v="2"/>
          </reference>
          <reference field="3" count="0"/>
        </references>
      </pivotArea>
    </format>
    <format dxfId="19">
      <pivotArea dataOnly="0" labelOnly="1" outline="0" fieldPosition="0">
        <references count="1">
          <reference field="4294967294" count="1">
            <x v="2"/>
          </reference>
        </references>
      </pivotArea>
    </format>
  </formats>
  <conditionalFormats count="2">
    <conditionalFormat priority="72">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 priority="71">
      <pivotAreas count="1">
        <pivotArea type="data" collapsedLevelsAreSubtotals="1" fieldPosition="0">
          <references count="2">
            <reference field="4294967294" count="1" selected="0">
              <x v="1"/>
            </reference>
            <reference field="3" count="7">
              <x v="0"/>
              <x v="1"/>
              <x v="2"/>
              <x v="3"/>
              <x v="4"/>
              <x v="5"/>
              <x v="6"/>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8D52D4-A9E2-4275-8B1C-B42FB329D4A1}"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W31:Z34" firstHeaderRow="0" firstDataRow="1" firstDataCol="1"/>
  <pivotFields count="12">
    <pivotField numFmtId="14" showAll="0"/>
    <pivotField axis="axisRow" showAll="0">
      <items count="3">
        <item x="1"/>
        <item x="0"/>
        <item t="default"/>
      </items>
    </pivotField>
    <pivotField showAll="0">
      <items count="13">
        <item x="6"/>
        <item x="7"/>
        <item x="8"/>
        <item x="9"/>
        <item x="10"/>
        <item x="11"/>
        <item x="0"/>
        <item x="1"/>
        <item x="2"/>
        <item x="3"/>
        <item x="4"/>
        <item x="5"/>
        <item t="default"/>
      </items>
    </pivotField>
    <pivotField showAll="0">
      <items count="8">
        <item x="1"/>
        <item x="5"/>
        <item x="6"/>
        <item x="2"/>
        <item x="3"/>
        <item x="4"/>
        <item x="0"/>
        <item t="default"/>
      </items>
    </pivotField>
    <pivotField showAll="0"/>
    <pivotField showAll="0"/>
    <pivotField dataField="1" showAll="0"/>
    <pivotField showAll="0"/>
    <pivotField showAll="0"/>
    <pivotField showAll="0"/>
    <pivotField showAll="0"/>
    <pivotField showAll="0"/>
  </pivotFields>
  <rowFields count="1">
    <field x="1"/>
  </rowFields>
  <rowItems count="3">
    <i>
      <x/>
    </i>
    <i>
      <x v="1"/>
    </i>
    <i t="grand">
      <x/>
    </i>
  </rowItems>
  <colFields count="1">
    <field x="-2"/>
  </colFields>
  <colItems count="3">
    <i>
      <x/>
    </i>
    <i i="1">
      <x v="1"/>
    </i>
    <i i="2">
      <x v="2"/>
    </i>
  </colItems>
  <dataFields count="3">
    <dataField name="OBSERVATIONS" fld="6" subtotal="count" baseField="3" baseItem="0"/>
    <dataField name="AVG HOURS" fld="6" subtotal="average" baseField="3" baseItem="0" numFmtId="2"/>
    <dataField name="Var of HOURS" fld="6" subtotal="var" baseField="3" baseItem="0" numFmtId="2"/>
  </dataFields>
  <formats count="6">
    <format dxfId="30">
      <pivotArea field="3" type="button" dataOnly="0" labelOnly="1" outline="0"/>
    </format>
    <format dxfId="29">
      <pivotArea outline="0" collapsedLevelsAreSubtotals="1" fieldPosition="0"/>
    </format>
    <format dxfId="28">
      <pivotArea outline="0" collapsedLevelsAreSubtotals="1" fieldPosition="0">
        <references count="1">
          <reference field="4294967294" count="2" selected="0">
            <x v="1"/>
            <x v="2"/>
          </reference>
        </references>
      </pivotArea>
    </format>
    <format dxfId="27">
      <pivotArea collapsedLevelsAreSubtotals="1" fieldPosition="0">
        <references count="2">
          <reference field="4294967294" count="1" selected="0">
            <x v="1"/>
          </reference>
          <reference field="1" count="0"/>
        </references>
      </pivotArea>
    </format>
    <format dxfId="26">
      <pivotArea collapsedLevelsAreSubtotals="1" fieldPosition="0">
        <references count="2">
          <reference field="4294967294" count="1" selected="0">
            <x v="2"/>
          </reference>
          <reference field="1" count="0"/>
        </references>
      </pivotArea>
    </format>
    <format dxfId="25">
      <pivotArea collapsedLevelsAreSubtotals="1" fieldPosition="0">
        <references count="2">
          <reference field="4294967294" count="1" selected="0">
            <x v="0"/>
          </reference>
          <reference field="1" count="0"/>
        </references>
      </pivotArea>
    </format>
  </formats>
  <conditionalFormats count="4">
    <conditionalFormat priority="8">
      <pivotAreas count="1">
        <pivotArea type="data" collapsedLevelsAreSubtotals="1" fieldPosition="0">
          <references count="2">
            <reference field="4294967294" count="1" selected="0">
              <x v="1"/>
            </reference>
            <reference field="1" count="2">
              <x v="0"/>
              <x v="1"/>
            </reference>
          </references>
        </pivotArea>
      </pivotAreas>
    </conditionalFormat>
    <conditionalFormat priority="7">
      <pivotAreas count="1">
        <pivotArea type="data" collapsedLevelsAreSubtotals="1" fieldPosition="0">
          <references count="2">
            <reference field="4294967294" count="1" selected="0">
              <x v="1"/>
            </reference>
            <reference field="1" count="2">
              <x v="0"/>
              <x v="1"/>
            </reference>
          </references>
        </pivotArea>
      </pivotAreas>
    </conditionalFormat>
    <conditionalFormat priority="6">
      <pivotAreas count="1">
        <pivotArea type="data" collapsedLevelsAreSubtotals="1" fieldPosition="0">
          <references count="2">
            <reference field="4294967294" count="1" selected="0">
              <x v="2"/>
            </reference>
            <reference field="1" count="2">
              <x v="0"/>
              <x v="1"/>
            </reference>
          </references>
        </pivotArea>
      </pivotAreas>
    </conditionalFormat>
    <conditionalFormat priority="5">
      <pivotAreas count="1">
        <pivotArea type="data" collapsedLevelsAreSubtotals="1" fieldPosition="0">
          <references count="2">
            <reference field="4294967294" count="1" selected="0">
              <x v="2"/>
            </reference>
            <reference field="1" count="2">
              <x v="0"/>
              <x v="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7A901E-3F22-407B-88A8-6F99ED908629}"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C15:F28" firstHeaderRow="0" firstDataRow="1" firstDataCol="1"/>
  <pivotFields count="12">
    <pivotField numFmtId="14" showAll="0"/>
    <pivotField showAll="0"/>
    <pivotField axis="axisRow" showAll="0">
      <items count="13">
        <item x="6"/>
        <item x="7"/>
        <item x="8"/>
        <item x="9"/>
        <item x="10"/>
        <item x="11"/>
        <item x="0"/>
        <item x="1"/>
        <item x="2"/>
        <item x="3"/>
        <item x="4"/>
        <item x="5"/>
        <item t="default"/>
      </items>
    </pivotField>
    <pivotField showAll="0">
      <items count="8">
        <item x="1"/>
        <item x="5"/>
        <item x="6"/>
        <item x="2"/>
        <item x="3"/>
        <item x="4"/>
        <item x="0"/>
        <item t="default"/>
      </items>
    </pivotField>
    <pivotField showAll="0"/>
    <pivotField showAll="0"/>
    <pivotField showAll="0"/>
    <pivotField showAll="0"/>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OBSERVATIONS" fld="8" subtotal="count" baseField="3" baseItem="0" numFmtId="1"/>
    <dataField name="AVG SALES" fld="8" subtotal="average" baseField="3" baseItem="0"/>
    <dataField name="Var of SALES" fld="8" subtotal="var" baseField="3" baseItem="0"/>
  </dataFields>
  <formats count="9">
    <format dxfId="39">
      <pivotArea outline="0" collapsedLevelsAreSubtotals="1" fieldPosition="0"/>
    </format>
    <format dxfId="38">
      <pivotArea outline="0" collapsedLevelsAreSubtotals="1" fieldPosition="0">
        <references count="1">
          <reference field="4294967294" count="1" selected="0">
            <x v="0"/>
          </reference>
        </references>
      </pivotArea>
    </format>
    <format dxfId="37">
      <pivotArea dataOnly="0" labelOnly="1" outline="0" fieldPosition="0">
        <references count="1">
          <reference field="4294967294" count="1">
            <x v="1"/>
          </reference>
        </references>
      </pivotArea>
    </format>
    <format dxfId="36">
      <pivotArea field="3" type="button" dataOnly="0" labelOnly="1" outline="0"/>
    </format>
    <format dxfId="35">
      <pivotArea dataOnly="0" labelOnly="1" outline="0" fieldPosition="0">
        <references count="1">
          <reference field="4294967294" count="3">
            <x v="0"/>
            <x v="1"/>
            <x v="2"/>
          </reference>
        </references>
      </pivotArea>
    </format>
    <format dxfId="34">
      <pivotArea collapsedLevelsAreSubtotals="1" fieldPosition="0">
        <references count="1">
          <reference field="2" count="0"/>
        </references>
      </pivotArea>
    </format>
    <format dxfId="33">
      <pivotArea dataOnly="0" labelOnly="1" fieldPosition="0">
        <references count="1">
          <reference field="2" count="0"/>
        </references>
      </pivotArea>
    </format>
    <format dxfId="32">
      <pivotArea collapsedLevelsAreSubtotals="1" fieldPosition="0">
        <references count="2">
          <reference field="4294967294" count="1" selected="0">
            <x v="2"/>
          </reference>
          <reference field="2" count="0"/>
        </references>
      </pivotArea>
    </format>
    <format dxfId="31">
      <pivotArea collapsedLevelsAreSubtotals="1" fieldPosition="0">
        <references count="2">
          <reference field="4294967294" count="1" selected="0">
            <x v="1"/>
          </reference>
          <reference field="2" count="0"/>
        </references>
      </pivotArea>
    </format>
  </formats>
  <conditionalFormats count="4">
    <conditionalFormat priority="48">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47">
      <pivotAreas count="1">
        <pivotArea type="data" collapsedLevelsAreSubtotals="1" fieldPosition="0">
          <references count="2">
            <reference field="4294967294" count="1" selected="0">
              <x v="2"/>
            </reference>
            <reference field="2" count="12">
              <x v="0"/>
              <x v="1"/>
              <x v="2"/>
              <x v="3"/>
              <x v="4"/>
              <x v="5"/>
              <x v="6"/>
              <x v="7"/>
              <x v="8"/>
              <x v="9"/>
              <x v="10"/>
              <x v="11"/>
            </reference>
          </references>
        </pivotArea>
      </pivotAreas>
    </conditionalFormat>
    <conditionalFormat priority="46">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 priority="45">
      <pivotAreas count="1">
        <pivotArea type="data"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101459-7358-4CAC-B80E-FD397808B106}"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C31:F34" firstHeaderRow="0" firstDataRow="1" firstDataCol="1"/>
  <pivotFields count="12">
    <pivotField numFmtId="14" showAll="0"/>
    <pivotField axis="axisRow" showAll="0">
      <items count="3">
        <item x="1"/>
        <item x="0"/>
        <item t="default"/>
      </items>
    </pivotField>
    <pivotField showAll="0"/>
    <pivotField showAll="0">
      <items count="8">
        <item x="1"/>
        <item x="5"/>
        <item x="6"/>
        <item x="2"/>
        <item x="3"/>
        <item x="4"/>
        <item x="0"/>
        <item t="default"/>
      </items>
    </pivotField>
    <pivotField showAll="0"/>
    <pivotField showAll="0"/>
    <pivotField showAll="0"/>
    <pivotField showAll="0"/>
    <pivotField dataField="1" showAll="0"/>
    <pivotField showAll="0"/>
    <pivotField showAll="0"/>
    <pivotField showAll="0"/>
  </pivotFields>
  <rowFields count="1">
    <field x="1"/>
  </rowFields>
  <rowItems count="3">
    <i>
      <x/>
    </i>
    <i>
      <x v="1"/>
    </i>
    <i t="grand">
      <x/>
    </i>
  </rowItems>
  <colFields count="1">
    <field x="-2"/>
  </colFields>
  <colItems count="3">
    <i>
      <x/>
    </i>
    <i i="1">
      <x v="1"/>
    </i>
    <i i="2">
      <x v="2"/>
    </i>
  </colItems>
  <dataFields count="3">
    <dataField name="OBSERVATIONS" fld="8" subtotal="count" baseField="3" baseItem="0" numFmtId="1"/>
    <dataField name="AVG SALES" fld="8" subtotal="average" baseField="3" baseItem="0"/>
    <dataField name="Var of SALES" fld="8" subtotal="var" baseField="3" baseItem="0"/>
  </dataFields>
  <formats count="5">
    <format dxfId="44">
      <pivotArea outline="0" collapsedLevelsAreSubtotals="1" fieldPosition="0"/>
    </format>
    <format dxfId="43">
      <pivotArea outline="0" collapsedLevelsAreSubtotals="1" fieldPosition="0">
        <references count="1">
          <reference field="4294967294" count="1" selected="0">
            <x v="0"/>
          </reference>
        </references>
      </pivotArea>
    </format>
    <format dxfId="42">
      <pivotArea dataOnly="0" labelOnly="1" outline="0" fieldPosition="0">
        <references count="1">
          <reference field="4294967294" count="1">
            <x v="1"/>
          </reference>
        </references>
      </pivotArea>
    </format>
    <format dxfId="41">
      <pivotArea field="3" type="button" dataOnly="0" labelOnly="1" outline="0"/>
    </format>
    <format dxfId="40">
      <pivotArea dataOnly="0" labelOnly="1" outline="0" fieldPosition="0">
        <references count="1">
          <reference field="4294967294" count="3">
            <x v="0"/>
            <x v="1"/>
            <x v="2"/>
          </reference>
        </references>
      </pivotArea>
    </format>
  </formats>
  <conditionalFormats count="4">
    <conditionalFormat priority="44">
      <pivotAreas count="1">
        <pivotArea type="data" collapsedLevelsAreSubtotals="1" fieldPosition="0">
          <references count="2">
            <reference field="4294967294" count="1" selected="0">
              <x v="1"/>
            </reference>
            <reference field="1" count="2">
              <x v="0"/>
              <x v="1"/>
            </reference>
          </references>
        </pivotArea>
      </pivotAreas>
    </conditionalFormat>
    <conditionalFormat priority="43">
      <pivotAreas count="1">
        <pivotArea type="data" collapsedLevelsAreSubtotals="1" fieldPosition="0">
          <references count="2">
            <reference field="4294967294" count="1" selected="0">
              <x v="1"/>
            </reference>
            <reference field="1" count="2">
              <x v="0"/>
              <x v="1"/>
            </reference>
          </references>
        </pivotArea>
      </pivotAreas>
    </conditionalFormat>
    <conditionalFormat priority="42">
      <pivotAreas count="1">
        <pivotArea type="data" collapsedLevelsAreSubtotals="1" fieldPosition="0">
          <references count="2">
            <reference field="4294967294" count="1" selected="0">
              <x v="2"/>
            </reference>
            <reference field="1" count="2">
              <x v="0"/>
              <x v="1"/>
            </reference>
          </references>
        </pivotArea>
      </pivotAreas>
    </conditionalFormat>
    <conditionalFormat priority="41">
      <pivotAreas count="1">
        <pivotArea type="data" collapsedLevelsAreSubtotals="1" fieldPosition="0">
          <references count="2">
            <reference field="4294967294" count="1" selected="0">
              <x v="2"/>
            </reference>
            <reference field="1" count="2">
              <x v="0"/>
              <x v="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F28413-EB3C-4AB6-AA35-827CCF770599}"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H31:K34" firstHeaderRow="0" firstDataRow="1" firstDataCol="1"/>
  <pivotFields count="12">
    <pivotField numFmtId="14" showAll="0"/>
    <pivotField axis="axisRow" showAll="0">
      <items count="3">
        <item x="1"/>
        <item x="0"/>
        <item t="default"/>
      </items>
    </pivotField>
    <pivotField showAll="0"/>
    <pivotField showAll="0">
      <items count="8">
        <item x="1"/>
        <item x="5"/>
        <item x="6"/>
        <item x="2"/>
        <item x="3"/>
        <item x="4"/>
        <item x="0"/>
        <item t="default"/>
      </items>
    </pivotField>
    <pivotField showAll="0"/>
    <pivotField showAll="0"/>
    <pivotField showAll="0"/>
    <pivotField showAll="0"/>
    <pivotField showAll="0"/>
    <pivotField dataField="1" showAll="0"/>
    <pivotField showAll="0"/>
    <pivotField showAll="0"/>
  </pivotFields>
  <rowFields count="1">
    <field x="1"/>
  </rowFields>
  <rowItems count="3">
    <i>
      <x/>
    </i>
    <i>
      <x v="1"/>
    </i>
    <i t="grand">
      <x/>
    </i>
  </rowItems>
  <colFields count="1">
    <field x="-2"/>
  </colFields>
  <colItems count="3">
    <i>
      <x/>
    </i>
    <i i="1">
      <x v="1"/>
    </i>
    <i i="2">
      <x v="2"/>
    </i>
  </colItems>
  <dataFields count="3">
    <dataField name="OBSERVATIONS" fld="9" subtotal="count" baseField="3" baseItem="0" numFmtId="1"/>
    <dataField name="AVG INCOME" fld="9" subtotal="average" baseField="3" baseItem="0"/>
    <dataField name="Var of INCOME" fld="9" subtotal="var" baseField="3" baseItem="0"/>
  </dataFields>
  <formats count="4">
    <format dxfId="48">
      <pivotArea outline="0" collapsedLevelsAreSubtotals="1" fieldPosition="0"/>
    </format>
    <format dxfId="47">
      <pivotArea field="3" type="button" dataOnly="0" labelOnly="1" outline="0"/>
    </format>
    <format dxfId="46">
      <pivotArea dataOnly="0" labelOnly="1" outline="0" fieldPosition="0">
        <references count="1">
          <reference field="4294967294" count="3">
            <x v="0"/>
            <x v="1"/>
            <x v="2"/>
          </reference>
        </references>
      </pivotArea>
    </format>
    <format dxfId="45">
      <pivotArea outline="0" collapsedLevelsAreSubtotals="1" fieldPosition="0">
        <references count="1">
          <reference field="4294967294" count="1" selected="0">
            <x v="0"/>
          </reference>
        </references>
      </pivotArea>
    </format>
  </formats>
  <conditionalFormats count="4">
    <conditionalFormat priority="36">
      <pivotAreas count="1">
        <pivotArea type="data" collapsedLevelsAreSubtotals="1" fieldPosition="0">
          <references count="2">
            <reference field="4294967294" count="1" selected="0">
              <x v="1"/>
            </reference>
            <reference field="1" count="2">
              <x v="0"/>
              <x v="1"/>
            </reference>
          </references>
        </pivotArea>
      </pivotAreas>
    </conditionalFormat>
    <conditionalFormat priority="35">
      <pivotAreas count="1">
        <pivotArea type="data" collapsedLevelsAreSubtotals="1" fieldPosition="0">
          <references count="2">
            <reference field="4294967294" count="1" selected="0">
              <x v="1"/>
            </reference>
            <reference field="1" count="2">
              <x v="0"/>
              <x v="1"/>
            </reference>
          </references>
        </pivotArea>
      </pivotAreas>
    </conditionalFormat>
    <conditionalFormat priority="34">
      <pivotAreas count="1">
        <pivotArea type="data" collapsedLevelsAreSubtotals="1" fieldPosition="0">
          <references count="2">
            <reference field="4294967294" count="1" selected="0">
              <x v="2"/>
            </reference>
            <reference field="1" count="2">
              <x v="0"/>
              <x v="1"/>
            </reference>
          </references>
        </pivotArea>
      </pivotAreas>
    </conditionalFormat>
    <conditionalFormat priority="33">
      <pivotAreas count="1">
        <pivotArea type="data" collapsedLevelsAreSubtotals="1" fieldPosition="0">
          <references count="2">
            <reference field="4294967294" count="1" selected="0">
              <x v="2"/>
            </reference>
            <reference field="1" count="2">
              <x v="0"/>
              <x v="1"/>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1A67E3-C00D-4CF9-989E-AF01557780BC}"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OW">
  <location ref="R37:U40" firstHeaderRow="0" firstDataRow="1" firstDataCol="1"/>
  <pivotFields count="12">
    <pivotField numFmtId="14" showAll="0"/>
    <pivotField showAll="0"/>
    <pivotField showAll="0"/>
    <pivotField showAll="0">
      <items count="8">
        <item x="1"/>
        <item x="5"/>
        <item x="6"/>
        <item x="2"/>
        <item x="3"/>
        <item x="4"/>
        <item x="0"/>
        <item t="default"/>
      </items>
    </pivotField>
    <pivotField showAll="0"/>
    <pivotField axis="axisRow" showAll="0">
      <items count="5">
        <item m="1" x="3"/>
        <item m="1" x="2"/>
        <item x="0"/>
        <item x="1"/>
        <item t="default"/>
      </items>
    </pivotField>
    <pivotField showAll="0"/>
    <pivotField showAll="0"/>
    <pivotField showAll="0"/>
    <pivotField showAll="0"/>
    <pivotField showAll="0"/>
    <pivotField dataField="1" showAll="0"/>
  </pivotFields>
  <rowFields count="1">
    <field x="5"/>
  </rowFields>
  <rowItems count="3">
    <i>
      <x v="2"/>
    </i>
    <i>
      <x v="3"/>
    </i>
    <i t="grand">
      <x/>
    </i>
  </rowItems>
  <colFields count="1">
    <field x="-2"/>
  </colFields>
  <colItems count="3">
    <i>
      <x/>
    </i>
    <i i="1">
      <x v="1"/>
    </i>
    <i i="2">
      <x v="2"/>
    </i>
  </colItems>
  <dataFields count="3">
    <dataField name="OBSERVATIONS" fld="11" subtotal="count" baseField="3" baseItem="0" numFmtId="1"/>
    <dataField name="AVG INCOME_PER_HOUR" fld="11" subtotal="average" baseField="3" baseItem="0" numFmtId="164"/>
    <dataField name="Var of INCOME_PER_HOUR" fld="11" subtotal="var" baseField="3" baseItem="0" numFmtId="164"/>
  </dataFields>
  <formats count="4">
    <format dxfId="52">
      <pivotArea field="3" type="button" dataOnly="0" labelOnly="1" outline="0"/>
    </format>
    <format dxfId="51">
      <pivotArea outline="0" collapsedLevelsAreSubtotals="1" fieldPosition="0"/>
    </format>
    <format dxfId="50">
      <pivotArea dataOnly="0" labelOnly="1" outline="0" fieldPosition="0">
        <references count="1">
          <reference field="4294967294" count="1">
            <x v="1"/>
          </reference>
        </references>
      </pivotArea>
    </format>
    <format dxfId="49">
      <pivotArea outline="0" collapsedLevelsAreSubtotals="1" fieldPosition="0">
        <references count="1">
          <reference field="4294967294" count="2" selected="0">
            <x v="1"/>
            <x v="2"/>
          </reference>
        </references>
      </pivotArea>
    </format>
  </formats>
  <conditionalFormats count="4">
    <conditionalFormat priority="14">
      <pivotAreas count="1">
        <pivotArea type="data" collapsedLevelsAreSubtotals="1" fieldPosition="0">
          <references count="2">
            <reference field="4294967294" count="1" selected="0">
              <x v="1"/>
            </reference>
            <reference field="5" count="2">
              <x v="2"/>
              <x v="3"/>
            </reference>
          </references>
        </pivotArea>
      </pivotAreas>
    </conditionalFormat>
    <conditionalFormat priority="13">
      <pivotAreas count="1">
        <pivotArea type="data" collapsedLevelsAreSubtotals="1" fieldPosition="0">
          <references count="2">
            <reference field="4294967294" count="1" selected="0">
              <x v="1"/>
            </reference>
            <reference field="5" count="2">
              <x v="2"/>
              <x v="3"/>
            </reference>
          </references>
        </pivotArea>
      </pivotAreas>
    </conditionalFormat>
    <conditionalFormat priority="12">
      <pivotAreas count="1">
        <pivotArea type="data" collapsedLevelsAreSubtotals="1" fieldPosition="0">
          <references count="2">
            <reference field="4294967294" count="1" selected="0">
              <x v="2"/>
            </reference>
            <reference field="5" count="2">
              <x v="2"/>
              <x v="3"/>
            </reference>
          </references>
        </pivotArea>
      </pivotAreas>
    </conditionalFormat>
    <conditionalFormat priority="11">
      <pivotAreas count="1">
        <pivotArea type="data" collapsedLevelsAreSubtotals="1" fieldPosition="0">
          <references count="2">
            <reference field="4294967294" count="1" selected="0">
              <x v="2"/>
            </reference>
            <reference field="5" count="2">
              <x v="2"/>
              <x v="3"/>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814C6D-90C4-491A-9C93-227F0FB04999}" name="RAW_DATA" displayName="RAW_DATA" ref="A1:U883" totalsRowShown="0" headerRowDxfId="335" dataDxfId="333" headerRowBorderDxfId="334" tableBorderDxfId="332" totalsRowBorderDxfId="331">
  <autoFilter ref="A1:U883" xr:uid="{EC814C6D-90C4-491A-9C93-227F0FB04999}"/>
  <tableColumns count="21">
    <tableColumn id="1" xr3:uid="{B9DB7E7D-B465-4522-9E41-685DC7981B0E}" name="DATE" dataDxfId="330" totalsRowDxfId="329"/>
    <tableColumn id="2" xr3:uid="{0556B9AA-D1BC-48F1-B31E-973F9ED4F2A5}" name="AM/PM" dataDxfId="328" totalsRowDxfId="327"/>
    <tableColumn id="3" xr3:uid="{0CA5BE09-C753-44D8-A569-950C34B67FC2}" name="MONTH" dataDxfId="326" totalsRowDxfId="325">
      <calculatedColumnFormula>TEXT(A2,"mmmm")</calculatedColumnFormula>
    </tableColumn>
    <tableColumn id="4" xr3:uid="{46777A40-E1EB-415E-B362-AB818A3B3473}" name="DOW" dataDxfId="324" totalsRowDxfId="323">
      <calculatedColumnFormula>CHOOSE(WEEKDAY(A2),"SUN","MON","TUE","WED","THU","FRI","SAT")</calculatedColumnFormula>
    </tableColumn>
    <tableColumn id="5" xr3:uid="{88AC93A9-D552-42E4-8D23-4EB9BCEC65C7}" name="SALES" dataDxfId="322" totalsRowDxfId="321"/>
    <tableColumn id="6" xr3:uid="{B25208C6-3539-4803-BE3B-E5ACDF439C6A}" name="CC TIPS" dataDxfId="320" totalsRowDxfId="319"/>
    <tableColumn id="7" xr3:uid="{2614EDAD-3689-4ED4-AED8-043EB9C0E9B3}" name="CASH" dataDxfId="318" totalsRowDxfId="317"/>
    <tableColumn id="8" xr3:uid="{700B3002-AF9C-4D53-B764-7AC341EE95C9}" name="TIPOUT" dataDxfId="316" totalsRowDxfId="315"/>
    <tableColumn id="9" xr3:uid="{67D751BC-AFF2-4D89-91CC-4571C8E9803F}" name="WITHELD" dataDxfId="314" totalsRowDxfId="313">
      <calculatedColumnFormula>F2*0.0168</calculatedColumnFormula>
    </tableColumn>
    <tableColumn id="10" xr3:uid="{13FF505D-6123-4EAC-A8C9-D336B10F43CB}" name="CASH CLAIMED" dataDxfId="312" totalsRowDxfId="311"/>
    <tableColumn id="11" xr3:uid="{EAA1A113-B70D-499E-BED3-553F2BE8633E}" name="NET CC TIPS" dataDxfId="310" totalsRowDxfId="309"/>
    <tableColumn id="12" xr3:uid="{BA8339CC-30E9-45A7-877C-27EFD359A535}" name="HOURS" dataDxfId="308" totalsRowDxfId="307"/>
    <tableColumn id="13" xr3:uid="{096131A6-9F61-495F-897A-88A6B0D874FE}" name="MINUTES" dataDxfId="306" totalsRowDxfId="305"/>
    <tableColumn id="14" xr3:uid="{835B5AAD-40C7-4C0D-8B57-7FED69B6BB31}" name="CONVERTED" dataDxfId="304" totalsRowDxfId="303"/>
    <tableColumn id="15" xr3:uid="{BAFB8889-D77D-4B7B-AF83-A9A437A76C8E}" name="HOURLY PAY" dataDxfId="302" totalsRowDxfId="301">
      <calculatedColumnFormula>N2*2.13</calculatedColumnFormula>
    </tableColumn>
    <tableColumn id="16" xr3:uid="{DE7421EF-C090-4B53-B0A1-D90B77425FB8}" name="GROSS" dataDxfId="300" totalsRowDxfId="299"/>
    <tableColumn id="17" xr3:uid="{4934752E-9B44-4419-8C91-5A6054879889}" name="ACTUAL GROSS" dataDxfId="298" totalsRowDxfId="297"/>
    <tableColumn id="18" xr3:uid="{4DBDF518-0005-4BEE-8089-054A7356E01C}" name="Shift Count" dataDxfId="296">
      <calculatedColumnFormula>COUNTIF(RAW_DATA[[#This Row],[CONVERTED]],"&gt;0")</calculatedColumnFormula>
    </tableColumn>
    <tableColumn id="19" xr3:uid="{03FCCF1E-6854-438D-80B1-1F04DD93729A}" name="AM SHIFTS" dataDxfId="295" totalsRowDxfId="294">
      <calculatedColumnFormula>COUNTIFS(RAW_DATA[[#This Row],[AM/PM]],"AM",RAW_DATA[[#This Row],[CONVERTED]],"&gt;0")</calculatedColumnFormula>
    </tableColumn>
    <tableColumn id="20" xr3:uid="{3E4232D2-F110-4C72-AC34-606E04295C4B}" name="PM SHIFTS FOLLOWING AN AM SHIFT" dataDxfId="293" totalsRowDxfId="292"/>
    <tableColumn id="21" xr3:uid="{1441355F-7C88-48ED-B0F0-02E8D517B4EB}" name="SINGLE/DOUBLE" dataDxfId="291" totalsRowDxfId="290">
      <calculatedColumnFormula>IF(AND(S2=1,T3=1,B2="AM"),"DOUBLE",IF(AND(S1=1,N2&gt;0),"DOUBLE","SINGLE"))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577FD77-1464-45B9-AFB4-1D18E0E9ED0C}" name="DATA_MASTER" displayName="DATA_MASTER" ref="A1:AJ312" totalsRowShown="0" headerRowDxfId="284" headerRowBorderDxfId="283" tableBorderDxfId="282" totalsRowBorderDxfId="281">
  <autoFilter ref="A1:AJ312" xr:uid="{E577FD77-1464-45B9-AFB4-1D18E0E9ED0C}"/>
  <tableColumns count="36">
    <tableColumn id="1" xr3:uid="{298E7355-5422-43F2-B053-9641C7755BF5}" name="DATE" dataDxfId="280"/>
    <tableColumn id="2" xr3:uid="{14C83200-4845-411D-9DD0-D822EA98BB53}" name="AM/PM" dataDxfId="279"/>
    <tableColumn id="3" xr3:uid="{9029FAC3-25BE-456C-B492-36120BD6B035}" name="DOW" dataDxfId="278"/>
    <tableColumn id="4" xr3:uid="{0551C078-76EA-4D06-9DA5-C50566730AA4}" name="MONTH" dataDxfId="277"/>
    <tableColumn id="5" xr3:uid="{E6D444C3-0F82-4B85-87E4-8071EC5CF400}" name="IS_PM" dataDxfId="276">
      <calculatedColumnFormula>IF($B2="PM",1,0)</calculatedColumnFormula>
    </tableColumn>
    <tableColumn id="6" xr3:uid="{556DF794-0CE2-4DBF-9BB0-140E99E952ED}" name="IS_SUN" dataDxfId="275">
      <calculatedColumnFormula>IF(C2="SUN",1,0)</calculatedColumnFormula>
    </tableColumn>
    <tableColumn id="7" xr3:uid="{576E1BD7-AD7E-4921-836B-D38485BE9C47}" name="IS_MON" dataDxfId="274">
      <calculatedColumnFormula>IF($C2="MON",1,0)</calculatedColumnFormula>
    </tableColumn>
    <tableColumn id="8" xr3:uid="{21D9093B-910B-4471-99BD-35407E029AC7}" name="IS_WED" dataDxfId="273">
      <calculatedColumnFormula>IF($C2="WED",1,0)</calculatedColumnFormula>
    </tableColumn>
    <tableColumn id="9" xr3:uid="{CF87E485-E9B0-45CD-871E-13F24D0B8F65}" name="IS_THU" dataDxfId="272">
      <calculatedColumnFormula>IF($C2="THU",1,0)</calculatedColumnFormula>
    </tableColumn>
    <tableColumn id="10" xr3:uid="{896ABC8D-D97C-491B-8CEF-250D28A64581}" name="IS_FRI" dataDxfId="271">
      <calculatedColumnFormula>IF($C2="FRI",1,0)</calculatedColumnFormula>
    </tableColumn>
    <tableColumn id="11" xr3:uid="{EF1DE071-2470-4BD9-9FB7-F095ADE0031A}" name="IS_SAT" dataDxfId="270">
      <calculatedColumnFormula>IF($C2="SAT",1,0)</calculatedColumnFormula>
    </tableColumn>
    <tableColumn id="12" xr3:uid="{8304A838-902E-40AC-BD52-BA8A15DC4D57}" name="IS_JAN" dataDxfId="269">
      <calculatedColumnFormula>IF(D2="January",1,0)</calculatedColumnFormula>
    </tableColumn>
    <tableColumn id="13" xr3:uid="{9649F834-9BC4-4577-BE3C-B814851D4283}" name="IS_FEB" dataDxfId="268">
      <calculatedColumnFormula>IF($D2="February",1,0)</calculatedColumnFormula>
    </tableColumn>
    <tableColumn id="14" xr3:uid="{BB099E33-AC93-4041-8940-A06E2D531339}" name="IS_MAR" dataDxfId="267">
      <calculatedColumnFormula>IF($D2="March",1,0)</calculatedColumnFormula>
    </tableColumn>
    <tableColumn id="15" xr3:uid="{7F9FE868-B1B7-4F35-93A3-2FBB1F3A28C4}" name="IS_APR" dataDxfId="266">
      <calculatedColumnFormula>IF($D2="April",1,0)</calculatedColumnFormula>
    </tableColumn>
    <tableColumn id="16" xr3:uid="{CA4DDC19-E3A3-444F-BE28-9998AE079559}" name="IS_MAY" dataDxfId="265">
      <calculatedColumnFormula>IF($D2="May",1,0)</calculatedColumnFormula>
    </tableColumn>
    <tableColumn id="17" xr3:uid="{065991A7-DD02-48EF-8EEA-C0567AB1895B}" name="IS_JUN" dataDxfId="264">
      <calculatedColumnFormula>IF($D2="June",1,0)</calculatedColumnFormula>
    </tableColumn>
    <tableColumn id="18" xr3:uid="{463D2E83-12F7-45B8-B9C1-9DBC22C5E6FE}" name="IS_AUG" dataDxfId="263">
      <calculatedColumnFormula>IF($D2="August",1,0)</calculatedColumnFormula>
    </tableColumn>
    <tableColumn id="19" xr3:uid="{6BF6E22A-3FEE-4723-9ECF-BEB8BD045FBF}" name="IS_SEP" dataDxfId="262">
      <calculatedColumnFormula>IF($D2="September",1,0)</calculatedColumnFormula>
    </tableColumn>
    <tableColumn id="20" xr3:uid="{F75E5F54-BAB7-455E-82E9-CC0B713DAC05}" name="IS_OCT" dataDxfId="261">
      <calculatedColumnFormula>IF($D2="October",1,0)</calculatedColumnFormula>
    </tableColumn>
    <tableColumn id="21" xr3:uid="{E4948C96-58B8-4436-BD1A-6722C2E66B18}" name="IS_NOV" dataDxfId="260">
      <calculatedColumnFormula>IF($D2="November",1,0)</calculatedColumnFormula>
    </tableColumn>
    <tableColumn id="22" xr3:uid="{6366797D-6AF1-482C-9BD8-A54A2BC7EFD6}" name="IS_DEC" dataDxfId="259">
      <calculatedColumnFormula>IF($D2="December",1,0)</calculatedColumnFormula>
    </tableColumn>
    <tableColumn id="23" xr3:uid="{BC5FCA83-0281-45D8-B93D-84546C2C2381}" name="IS_WKND" dataDxfId="258"/>
    <tableColumn id="24" xr3:uid="{0978CA9C-F3B7-4915-B3A7-8968B2242899}" name="WEEKEND_CAT" dataDxfId="257">
      <calculatedColumnFormula>IF(W2=0,"WEEKDAY","WEEKEND")</calculatedColumnFormula>
    </tableColumn>
    <tableColumn id="25" xr3:uid="{E7D9B2B4-6E7A-4D40-8E43-0524527D853C}" name="HOURS" dataDxfId="256"/>
    <tableColumn id="26" xr3:uid="{E24D25C1-5107-45B8-814A-201A812394AB}" name="SINGLE/DOUBLE" dataDxfId="255"/>
    <tableColumn id="27" xr3:uid="{6D786984-3196-42B9-921E-0511BBD76C24}" name="SALES" dataDxfId="254"/>
    <tableColumn id="28" xr3:uid="{157652C5-44B1-49C0-BE05-D171C102440E}" name="INCOME" dataDxfId="253"/>
    <tableColumn id="29" xr3:uid="{D33256E0-F393-4148-866B-A6279A0FCC1F}" name="SALES_PER_HOUR" dataDxfId="252"/>
    <tableColumn id="30" xr3:uid="{EA7ADCAD-58FA-47C0-8DF7-04BFEB5B815E}" name="INCOME_PER_HOUR" dataDxfId="251"/>
    <tableColumn id="31" xr3:uid="{B7C1F757-4D4E-4923-9D8E-30EF38340812}" name="RODEO_ARTIST" dataDxfId="250">
      <calculatedColumnFormula>IFERROR(_xlfn.XLOOKUP(DATA_MASTER[[#This Row],[DATE]],RODEO[DATE],RODEO[ARTIST]),"")</calculatedColumnFormula>
    </tableColumn>
    <tableColumn id="33" xr3:uid="{E4AA304A-A36D-4E9B-91E2-97BA1BCDEC14}" name="IS_RODEO" dataDxfId="249">
      <calculatedColumnFormula>IF(DATA_MASTER[[#This Row],[RODEO_ARTIST]]="",0,1)</calculatedColumnFormula>
    </tableColumn>
    <tableColumn id="34" xr3:uid="{6A01AD8F-A69D-40B1-A3CC-7972FA703485}" name="ASTROS_GAME" dataDxfId="248">
      <calculatedColumnFormula>IFERROR(RIGHT(_xlfn.XLOOKUP(DATA_MASTER[[#This Row],[DATE]],ASTROS[DATE],ASTROS[OPPONENT]),LEN(_xlfn.XLOOKUP(DATA_MASTER[[#This Row],[DATE]],ASTROS[DATE],ASTROS[OPPONENT]))-3),"NO GAME")</calculatedColumnFormula>
    </tableColumn>
    <tableColumn id="35" xr3:uid="{DB28E0B8-FF0E-44D6-9BC6-134E2B22F4FA}" name="IS_ASTROS" dataDxfId="247">
      <calculatedColumnFormula>IF(DATA_MASTER[[#This Row],[ASTROS_GAME]]="NO GAME",0,1)</calculatedColumnFormula>
    </tableColumn>
    <tableColumn id="36" xr3:uid="{19F97ECF-00EA-407A-88F9-F52C683E5DE5}" name="HIGH_TEMP" dataDxfId="246">
      <calculatedColumnFormula>_xlfn.XLOOKUP(DATA_MASTER[[#This Row],[DATE]],WEATHER[DATE],WEATHER[tempmax])</calculatedColumnFormula>
    </tableColumn>
    <tableColumn id="37" xr3:uid="{D86DA39B-0402-46E3-A8F3-EA20027E0B4D}" name="RAINFALL" dataDxfId="245">
      <calculatedColumnFormula>_xlfn.XLOOKUP(DATA_MASTER[[#This Row],[DATE]],WEATHER[DATE],WEATHER[precip])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13F3B8-CD6D-47C8-BB8E-BDA6C42C806F}" name="DATA_CAT" displayName="DATA_CAT" ref="A1:O1048576" totalsRowShown="0" headerRowDxfId="244">
  <autoFilter ref="A1:O1048576" xr:uid="{B813F3B8-CD6D-47C8-BB8E-BDA6C42C806F}"/>
  <tableColumns count="15">
    <tableColumn id="1" xr3:uid="{139196D8-CC36-419B-AB28-EAD9194E0D5E}" name="DATE" dataDxfId="243"/>
    <tableColumn id="2" xr3:uid="{B62E2FA3-4A4B-47C9-9340-0333A029E467}" name="AM/PM" dataDxfId="242"/>
    <tableColumn id="3" xr3:uid="{363C13DF-1C9A-4665-AD16-9C5BD6354A97}" name="DOW" dataDxfId="241"/>
    <tableColumn id="4" xr3:uid="{6C833A24-C546-47EC-A6C9-89CEA4A3A118}" name="MONTH" dataDxfId="240"/>
    <tableColumn id="5" xr3:uid="{EFC7F75B-853C-446D-B6DB-741C680E6554}" name="WEEKEND_CAT" dataDxfId="239"/>
    <tableColumn id="6" xr3:uid="{9B8DFC25-1255-4799-B5DE-080143CD880E}" name="SINGLE/DOUBLE" dataDxfId="238"/>
    <tableColumn id="7" xr3:uid="{A2312D2E-D244-446F-890B-07A3EBAFC958}" name="ASTROS_GAME" dataDxfId="237"/>
    <tableColumn id="8" xr3:uid="{881BF135-5419-47B6-8FB5-FE3EBFDC495E}" name="RODEO_ARTIST" dataDxfId="236"/>
    <tableColumn id="9" xr3:uid="{101FD467-983B-4210-8912-D1C8A4AD3048}" name="SALES" dataDxfId="235"/>
    <tableColumn id="10" xr3:uid="{902942F8-3BC6-4645-BE18-6314BEE0989E}" name="INCOME" dataDxfId="234"/>
    <tableColumn id="11" xr3:uid="{99B7FA26-051B-45AB-9F81-6A9AEE6F236D}" name="SALES_PER_HOUR" dataDxfId="233"/>
    <tableColumn id="12" xr3:uid="{E3075F8D-8A96-44C2-A448-451ADBDA4A42}" name="INCOME_PER_HOUR" dataDxfId="232"/>
    <tableColumn id="13" xr3:uid="{4E396707-4703-4711-AAD6-F871E4DB7CD7}" name="HOURS" dataDxfId="231"/>
    <tableColumn id="14" xr3:uid="{356C2018-5EB0-4CC4-B75B-A82ABBDD2998}" name="HIGH_TEMP" dataDxfId="230"/>
    <tableColumn id="15" xr3:uid="{1F9E5A94-A909-43B1-B283-4CD52E985D69}" name="RAINFALL" dataDxfId="2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83F14FB-051F-42BD-BF73-BDD9869F9DBC}" name="DATA_BIN" displayName="DATA_BIN" ref="A1:AC1048576" totalsRowShown="0" headerRowDxfId="228">
  <autoFilter ref="A1:AC1048576" xr:uid="{283F14FB-051F-42BD-BF73-BDD9869F9DBC}"/>
  <tableColumns count="29">
    <tableColumn id="1" xr3:uid="{D4859581-728A-4F82-8F98-14D2AE0D3748}" name="DATE" dataDxfId="227"/>
    <tableColumn id="2" xr3:uid="{403291DC-4F15-48DA-AC66-D1A6BB225470}" name="IS_PM" dataDxfId="226"/>
    <tableColumn id="3" xr3:uid="{4B13AC98-2CA4-4A96-B74E-7E8D8AE7F9A8}" name="IS_SUN" dataDxfId="225"/>
    <tableColumn id="4" xr3:uid="{3C572BB4-0AED-4049-BFB9-C6CE07AF73FC}" name="IS_MON" dataDxfId="224"/>
    <tableColumn id="5" xr3:uid="{1ACD9368-1394-4360-A8EC-79C43113ED35}" name="IS_WED" dataDxfId="223"/>
    <tableColumn id="6" xr3:uid="{85583B7B-2A06-4A51-B41C-76175EC0D295}" name="IS_THU" dataDxfId="222"/>
    <tableColumn id="7" xr3:uid="{FDE4B046-3A00-475A-AECB-A54A8ADA76AE}" name="IS_FRI" dataDxfId="221"/>
    <tableColumn id="8" xr3:uid="{AA388C51-DD36-441F-A062-F6DAF9A316F8}" name="IS_SAT" dataDxfId="220"/>
    <tableColumn id="9" xr3:uid="{452E33A0-8F88-41D6-954F-AF7385E2A91B}" name="IS_JAN" dataDxfId="219"/>
    <tableColumn id="10" xr3:uid="{8442B674-E09A-4BBE-837B-6D0E83DE91D6}" name="IS_FEB" dataDxfId="218"/>
    <tableColumn id="11" xr3:uid="{6798D096-854A-4088-8DA7-E5B3C87395F2}" name="IS_MAR" dataDxfId="217"/>
    <tableColumn id="12" xr3:uid="{03C31385-1128-411E-874E-6FB5B527D865}" name="IS_APR" dataDxfId="216"/>
    <tableColumn id="13" xr3:uid="{51EEEE21-F806-4E3B-B126-39A92DFE9FCA}" name="IS_MAY" dataDxfId="215"/>
    <tableColumn id="14" xr3:uid="{536F6BBD-0F7C-4D50-9090-B2B19B03D3AB}" name="IS_JUN" dataDxfId="214"/>
    <tableColumn id="15" xr3:uid="{58ABDBA1-B3B3-4806-87C5-DBA15568064B}" name="IS_AUG" dataDxfId="213"/>
    <tableColumn id="16" xr3:uid="{80422421-1C2A-4BB2-B067-E6A764BA1692}" name="IS_SEP" dataDxfId="212"/>
    <tableColumn id="17" xr3:uid="{7F1F95CD-66C0-4F52-8555-8588D67A03A4}" name="IS_OCT" dataDxfId="211"/>
    <tableColumn id="18" xr3:uid="{1CC5A2C3-7656-4423-85E3-C158213297BE}" name="IS_NOV" dataDxfId="210"/>
    <tableColumn id="19" xr3:uid="{5ED42C2C-3DAB-46F6-A900-9C7C1BF459FB}" name="IS_DEC" dataDxfId="209"/>
    <tableColumn id="20" xr3:uid="{43EFCBD5-BBD0-443A-96A6-09357FB9D5FC}" name="IS_WKND" dataDxfId="208"/>
    <tableColumn id="21" xr3:uid="{B70B12C2-ADB7-476C-998E-1276A968D3DA}" name="IS_RODEO" dataDxfId="207"/>
    <tableColumn id="22" xr3:uid="{EEB39E5C-9FD1-4A05-9826-5224EB6476FB}" name="IS_ASTROS" dataDxfId="206"/>
    <tableColumn id="23" xr3:uid="{C988147C-4FB0-43C4-9926-BA2615A02FE3}" name="HIGH_TEMP" dataDxfId="205"/>
    <tableColumn id="24" xr3:uid="{B1F6B835-697A-4569-B548-49DD9FA1CC1B}" name="RAINFALL" dataDxfId="204"/>
    <tableColumn id="25" xr3:uid="{3524B9CF-556F-4E4B-B94D-885260CF2B94}" name="HOURS" dataDxfId="203"/>
    <tableColumn id="26" xr3:uid="{47777653-ACD9-4208-8226-5891184FD555}" name="SALES" dataDxfId="202"/>
    <tableColumn id="27" xr3:uid="{E2DF50E3-B200-40E8-B050-2B780B509FE4}" name="INCOME" dataDxfId="201"/>
    <tableColumn id="28" xr3:uid="{24E2115A-3669-45B5-92C3-973E291EBAFB}" name="SALES_PER_HOUR" dataDxfId="200"/>
    <tableColumn id="29" xr3:uid="{58CFF3BC-A0EE-4859-B2B7-4537D2B91112}" name="INCOME_PER_HOUR" dataDxfId="1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CBE0EB1-81A0-46B1-BB90-18E032374B9F}" name="ASTROS" displayName="ASTROS" ref="B2:C151" totalsRowShown="0" headerRowDxfId="8">
  <autoFilter ref="B2:C151" xr:uid="{0CBE0EB1-81A0-46B1-BB90-18E032374B9F}"/>
  <tableColumns count="2">
    <tableColumn id="1" xr3:uid="{15DCFF18-94E9-4806-BB61-5F00E256E202}" name="DATE" dataDxfId="7"/>
    <tableColumn id="2" xr3:uid="{4BB86769-4FDE-4A90-8C17-96F01477CC29}" name="OPPONENT"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ED2E32-FD12-4936-8DE3-A8D0605B68FB}" name="HOLIDAYS" displayName="HOLIDAYS" ref="B2:C54" totalsRowShown="0" headerRowDxfId="5">
  <autoFilter ref="B2:C54" xr:uid="{87E3A762-40E4-4C09-81B6-F939174D1AF4}"/>
  <tableColumns count="2">
    <tableColumn id="1" xr3:uid="{0EA63611-0242-4977-9AD3-9E8743CD2FE0}" name="DATE" dataDxfId="4"/>
    <tableColumn id="2" xr3:uid="{C4CA8D9E-246F-481F-ACA1-87D5F45C87B1}" name="HOLIDAY" dataDxfId="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44F91B-0358-4023-A71F-6B792D1B2BBC}" name="RODEO" displayName="RODEO" ref="B2:C22" totalsRowShown="0">
  <autoFilter ref="B2:C22" xr:uid="{F644F91B-0358-4023-A71F-6B792D1B2BBC}"/>
  <tableColumns count="2">
    <tableColumn id="1" xr3:uid="{B43BD579-7792-4986-AB9B-C9ABB975F698}" name="DATE" dataDxfId="2"/>
    <tableColumn id="2" xr3:uid="{77DDFFFC-0A8F-49F9-A242-75B5CC4036F9}" name="ARTIS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4AD814-07B5-45AD-85CF-A52545F08CD9}" name="WEATHER" displayName="WEATHER" ref="A1:C398" totalsRowShown="0">
  <autoFilter ref="A1:C398" xr:uid="{EB4AD814-07B5-45AD-85CF-A52545F08CD9}"/>
  <tableColumns count="3">
    <tableColumn id="1" xr3:uid="{B7633A40-D1C5-4D6C-8856-DCE28D5AA059}" name="DATE" dataDxfId="1"/>
    <tableColumn id="2" xr3:uid="{322C6E7D-6FDF-4597-8987-D0342F56BCD5}" name="precip"/>
    <tableColumn id="3" xr3:uid="{038D71F7-7856-4030-84BC-232A5A553AD5}" name="tempma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3" Type="http://schemas.openxmlformats.org/officeDocument/2006/relationships/pivotTable" Target="../pivotTables/pivotTable4.xml"/><Relationship Id="rId21" Type="http://schemas.openxmlformats.org/officeDocument/2006/relationships/customProperty" Target="../customProperty7.bin"/><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9538-98F6-4D19-868E-595EEEF48AB5}">
  <sheetPr codeName="Sheet1"/>
  <dimension ref="A1:N56"/>
  <sheetViews>
    <sheetView showGridLines="0" workbookViewId="0">
      <selection activeCell="B1" sqref="B1:N56"/>
    </sheetView>
  </sheetViews>
  <sheetFormatPr defaultRowHeight="14.5" x14ac:dyDescent="0.35"/>
  <sheetData>
    <row r="1" spans="1:14" x14ac:dyDescent="0.35">
      <c r="A1" s="117"/>
      <c r="B1" s="177" t="s">
        <v>68</v>
      </c>
      <c r="C1" s="178"/>
      <c r="D1" s="178"/>
      <c r="E1" s="178"/>
      <c r="F1" s="178"/>
      <c r="G1" s="178"/>
      <c r="H1" s="178"/>
      <c r="I1" s="178"/>
      <c r="J1" s="178"/>
    </row>
    <row r="2" spans="1:14" ht="14.5" customHeight="1" x14ac:dyDescent="0.35">
      <c r="A2" s="118"/>
      <c r="B2" s="179" t="s">
        <v>67</v>
      </c>
      <c r="C2" s="179"/>
      <c r="D2" s="179"/>
      <c r="E2" s="179"/>
      <c r="F2" s="179"/>
      <c r="G2" s="179"/>
      <c r="H2" s="179"/>
      <c r="I2" s="179"/>
      <c r="J2" s="179"/>
      <c r="K2" s="179"/>
      <c r="L2" s="179"/>
      <c r="M2" s="119"/>
    </row>
    <row r="3" spans="1:14" x14ac:dyDescent="0.35">
      <c r="A3" s="118"/>
      <c r="B3" s="179"/>
      <c r="C3" s="179"/>
      <c r="D3" s="179"/>
      <c r="E3" s="179"/>
      <c r="F3" s="179"/>
      <c r="G3" s="179"/>
      <c r="H3" s="179"/>
      <c r="I3" s="179"/>
      <c r="J3" s="179"/>
      <c r="K3" s="179"/>
      <c r="L3" s="179"/>
      <c r="M3" s="119"/>
    </row>
    <row r="4" spans="1:14" x14ac:dyDescent="0.35">
      <c r="A4" s="118"/>
      <c r="B4" s="179"/>
      <c r="C4" s="179"/>
      <c r="D4" s="179"/>
      <c r="E4" s="179"/>
      <c r="F4" s="179"/>
      <c r="G4" s="179"/>
      <c r="H4" s="179"/>
      <c r="I4" s="179"/>
      <c r="J4" s="179"/>
      <c r="K4" s="179"/>
      <c r="L4" s="179"/>
      <c r="M4" s="119"/>
    </row>
    <row r="5" spans="1:14" x14ac:dyDescent="0.35">
      <c r="A5" s="118"/>
      <c r="B5" s="179"/>
      <c r="C5" s="179"/>
      <c r="D5" s="179"/>
      <c r="E5" s="179"/>
      <c r="F5" s="179"/>
      <c r="G5" s="179"/>
      <c r="H5" s="179"/>
      <c r="I5" s="179"/>
      <c r="J5" s="179"/>
      <c r="K5" s="179"/>
      <c r="L5" s="179"/>
      <c r="M5" s="119"/>
    </row>
    <row r="6" spans="1:14" x14ac:dyDescent="0.35">
      <c r="A6" s="118"/>
      <c r="B6" s="119"/>
      <c r="C6" s="119"/>
      <c r="D6" s="119"/>
      <c r="E6" s="119"/>
      <c r="F6" s="119"/>
      <c r="G6" s="119"/>
      <c r="H6" s="119"/>
      <c r="I6" s="119"/>
      <c r="J6" s="119"/>
      <c r="K6" s="119"/>
      <c r="L6" s="119"/>
      <c r="M6" s="119"/>
    </row>
    <row r="7" spans="1:14" x14ac:dyDescent="0.35">
      <c r="A7" s="118"/>
      <c r="B7" s="174" t="s">
        <v>21</v>
      </c>
      <c r="C7" s="174"/>
      <c r="D7" s="174"/>
      <c r="E7" s="174"/>
      <c r="F7" s="174"/>
      <c r="G7" s="174"/>
      <c r="H7" s="174"/>
      <c r="I7" s="174"/>
      <c r="J7" s="119"/>
    </row>
    <row r="8" spans="1:14" x14ac:dyDescent="0.35">
      <c r="A8" s="118"/>
      <c r="B8" s="174" t="s">
        <v>22</v>
      </c>
      <c r="C8" s="174"/>
      <c r="D8" s="174"/>
      <c r="E8" s="174"/>
      <c r="F8" s="174"/>
      <c r="G8" s="174"/>
      <c r="H8" s="174"/>
      <c r="I8" s="174"/>
      <c r="J8" s="174"/>
      <c r="K8" s="174"/>
      <c r="L8" s="174"/>
      <c r="M8" s="174"/>
      <c r="N8" s="174"/>
    </row>
    <row r="9" spans="1:14" ht="14.5" customHeight="1" x14ac:dyDescent="0.35">
      <c r="A9" s="118"/>
      <c r="B9" s="175" t="s">
        <v>23</v>
      </c>
      <c r="C9" s="175"/>
      <c r="D9" s="175"/>
      <c r="E9" s="175"/>
      <c r="F9" s="175"/>
      <c r="G9" s="175"/>
      <c r="H9" s="175"/>
      <c r="I9" s="119"/>
      <c r="J9" s="119"/>
    </row>
    <row r="10" spans="1:14" x14ac:dyDescent="0.35">
      <c r="A10" s="118"/>
      <c r="B10" s="174" t="s">
        <v>24</v>
      </c>
      <c r="C10" s="174"/>
      <c r="D10" s="174"/>
      <c r="E10" s="174"/>
      <c r="F10" s="174"/>
      <c r="G10" s="174"/>
      <c r="H10" s="174"/>
      <c r="I10" s="174"/>
    </row>
    <row r="11" spans="1:14" x14ac:dyDescent="0.35">
      <c r="A11" s="118"/>
      <c r="B11" s="176" t="s">
        <v>25</v>
      </c>
      <c r="C11" s="176"/>
      <c r="D11" s="176"/>
      <c r="E11" s="176"/>
      <c r="F11" s="176"/>
      <c r="G11" s="176"/>
      <c r="H11" s="176"/>
      <c r="I11" s="176"/>
      <c r="J11" s="176"/>
    </row>
    <row r="12" spans="1:14" x14ac:dyDescent="0.35">
      <c r="A12" s="118"/>
      <c r="B12" s="175" t="s">
        <v>26</v>
      </c>
      <c r="C12" s="175"/>
      <c r="D12" s="175"/>
      <c r="E12" s="175"/>
      <c r="F12" s="175"/>
      <c r="G12" s="175"/>
      <c r="H12" s="175"/>
      <c r="I12" s="175"/>
      <c r="J12" s="175"/>
    </row>
    <row r="13" spans="1:14" x14ac:dyDescent="0.35">
      <c r="A13" s="118"/>
      <c r="B13" s="175" t="s">
        <v>27</v>
      </c>
      <c r="C13" s="175"/>
      <c r="D13" s="175"/>
      <c r="E13" s="175"/>
      <c r="F13" s="175"/>
      <c r="G13" s="175"/>
      <c r="H13" s="175"/>
      <c r="I13" s="175"/>
      <c r="J13" s="175"/>
      <c r="K13" s="175"/>
    </row>
    <row r="14" spans="1:14" x14ac:dyDescent="0.35">
      <c r="A14" s="118"/>
      <c r="B14" s="174" t="s">
        <v>28</v>
      </c>
      <c r="C14" s="174"/>
      <c r="D14" s="174"/>
      <c r="E14" s="174"/>
      <c r="F14" s="174"/>
      <c r="G14" s="174"/>
      <c r="H14" s="174"/>
      <c r="I14" s="174"/>
      <c r="J14" s="174"/>
    </row>
    <row r="15" spans="1:14" x14ac:dyDescent="0.35">
      <c r="A15" s="118"/>
      <c r="B15" s="174"/>
      <c r="C15" s="174"/>
      <c r="D15" s="174"/>
      <c r="E15" s="174"/>
      <c r="F15" s="174"/>
      <c r="G15" s="174"/>
      <c r="H15" s="174"/>
      <c r="I15" s="174"/>
      <c r="J15" s="174"/>
    </row>
    <row r="16" spans="1:14" x14ac:dyDescent="0.35">
      <c r="A16" s="118"/>
      <c r="B16" s="174" t="s">
        <v>33</v>
      </c>
      <c r="C16" s="174"/>
      <c r="D16" s="174"/>
      <c r="E16" s="174"/>
      <c r="F16" s="174"/>
      <c r="G16" s="174"/>
      <c r="H16" s="174"/>
      <c r="I16" s="174"/>
      <c r="J16" s="174"/>
    </row>
    <row r="17" spans="1:10" x14ac:dyDescent="0.35">
      <c r="A17" s="118"/>
      <c r="B17" s="174"/>
      <c r="C17" s="174"/>
      <c r="D17" s="174"/>
      <c r="E17" s="174"/>
      <c r="F17" s="174"/>
      <c r="G17" s="174"/>
      <c r="H17" s="174"/>
      <c r="I17" s="174"/>
      <c r="J17" s="174"/>
    </row>
    <row r="18" spans="1:10" x14ac:dyDescent="0.35">
      <c r="A18" s="118"/>
      <c r="B18" s="174" t="s">
        <v>29</v>
      </c>
      <c r="C18" s="174"/>
      <c r="D18" s="174"/>
      <c r="E18" s="174"/>
      <c r="F18" s="174"/>
      <c r="G18" s="174"/>
      <c r="H18" s="174"/>
      <c r="I18" s="174"/>
      <c r="J18" s="174"/>
    </row>
    <row r="19" spans="1:10" x14ac:dyDescent="0.35">
      <c r="A19" s="118"/>
      <c r="B19" s="174"/>
      <c r="C19" s="174"/>
      <c r="D19" s="174"/>
      <c r="E19" s="174"/>
      <c r="F19" s="174"/>
      <c r="G19" s="174"/>
      <c r="H19" s="174"/>
      <c r="I19" s="174"/>
      <c r="J19" s="174"/>
    </row>
    <row r="20" spans="1:10" x14ac:dyDescent="0.35">
      <c r="A20" s="118"/>
      <c r="B20" s="174"/>
      <c r="C20" s="174"/>
      <c r="D20" s="174"/>
      <c r="E20" s="174"/>
      <c r="F20" s="174"/>
      <c r="G20" s="174"/>
      <c r="H20" s="174"/>
      <c r="I20" s="174"/>
      <c r="J20" s="174"/>
    </row>
    <row r="21" spans="1:10" x14ac:dyDescent="0.35">
      <c r="A21" s="118"/>
      <c r="B21" s="174" t="s">
        <v>34</v>
      </c>
      <c r="C21" s="174"/>
      <c r="D21" s="174"/>
      <c r="E21" s="174"/>
      <c r="F21" s="174"/>
      <c r="G21" s="174"/>
      <c r="H21" s="174"/>
      <c r="I21" s="174"/>
      <c r="J21" s="174"/>
    </row>
    <row r="22" spans="1:10" x14ac:dyDescent="0.35">
      <c r="A22" s="118"/>
      <c r="B22" s="174"/>
      <c r="C22" s="174"/>
      <c r="D22" s="174"/>
      <c r="E22" s="174"/>
      <c r="F22" s="174"/>
      <c r="G22" s="174"/>
      <c r="H22" s="174"/>
      <c r="I22" s="174"/>
      <c r="J22" s="174"/>
    </row>
    <row r="23" spans="1:10" x14ac:dyDescent="0.35">
      <c r="A23" s="118"/>
      <c r="B23" s="174" t="s">
        <v>30</v>
      </c>
      <c r="C23" s="174"/>
      <c r="D23" s="174"/>
      <c r="E23" s="174"/>
      <c r="F23" s="174"/>
      <c r="G23" s="174"/>
      <c r="H23" s="174"/>
      <c r="I23" s="174"/>
      <c r="J23" s="174"/>
    </row>
    <row r="24" spans="1:10" x14ac:dyDescent="0.35">
      <c r="A24" s="117"/>
      <c r="B24" s="174"/>
      <c r="C24" s="174"/>
      <c r="D24" s="174"/>
      <c r="E24" s="174"/>
      <c r="F24" s="174"/>
      <c r="G24" s="174"/>
      <c r="H24" s="174"/>
      <c r="I24" s="174"/>
      <c r="J24" s="174"/>
    </row>
    <row r="25" spans="1:10" x14ac:dyDescent="0.35">
      <c r="A25" s="117"/>
      <c r="B25" s="174" t="s">
        <v>31</v>
      </c>
      <c r="C25" s="174"/>
      <c r="D25" s="174"/>
      <c r="E25" s="174"/>
      <c r="F25" s="174"/>
      <c r="G25" s="174"/>
      <c r="H25" s="174"/>
      <c r="I25" s="174"/>
      <c r="J25" s="174"/>
    </row>
    <row r="26" spans="1:10" x14ac:dyDescent="0.35">
      <c r="A26" s="117"/>
      <c r="B26" s="174"/>
      <c r="C26" s="174"/>
      <c r="D26" s="174"/>
      <c r="E26" s="174"/>
      <c r="F26" s="174"/>
      <c r="G26" s="174"/>
      <c r="H26" s="174"/>
      <c r="I26" s="174"/>
      <c r="J26" s="174"/>
    </row>
    <row r="27" spans="1:10" x14ac:dyDescent="0.35">
      <c r="B27" s="174" t="s">
        <v>35</v>
      </c>
      <c r="C27" s="174"/>
      <c r="D27" s="174"/>
      <c r="E27" s="174"/>
      <c r="F27" s="174"/>
      <c r="G27" s="174"/>
      <c r="H27" s="174"/>
      <c r="I27" s="174"/>
      <c r="J27" s="174"/>
    </row>
    <row r="28" spans="1:10" x14ac:dyDescent="0.35">
      <c r="B28" s="174"/>
      <c r="C28" s="174"/>
      <c r="D28" s="174"/>
      <c r="E28" s="174"/>
      <c r="F28" s="174"/>
      <c r="G28" s="174"/>
      <c r="H28" s="174"/>
      <c r="I28" s="174"/>
      <c r="J28" s="174"/>
    </row>
    <row r="29" spans="1:10" x14ac:dyDescent="0.35">
      <c r="B29" s="174"/>
      <c r="C29" s="174"/>
      <c r="D29" s="174"/>
      <c r="E29" s="174"/>
      <c r="F29" s="174"/>
      <c r="G29" s="174"/>
      <c r="H29" s="174"/>
      <c r="I29" s="174"/>
      <c r="J29" s="174"/>
    </row>
    <row r="30" spans="1:10" x14ac:dyDescent="0.35">
      <c r="B30" s="174"/>
      <c r="C30" s="174"/>
      <c r="D30" s="174"/>
      <c r="E30" s="174"/>
      <c r="F30" s="174"/>
      <c r="G30" s="174"/>
      <c r="H30" s="174"/>
      <c r="I30" s="174"/>
      <c r="J30" s="174"/>
    </row>
    <row r="31" spans="1:10" x14ac:dyDescent="0.35">
      <c r="B31" s="174"/>
      <c r="C31" s="174"/>
      <c r="D31" s="174"/>
      <c r="E31" s="174"/>
      <c r="F31" s="174"/>
      <c r="G31" s="174"/>
      <c r="H31" s="174"/>
      <c r="I31" s="174"/>
      <c r="J31" s="174"/>
    </row>
    <row r="32" spans="1:10" x14ac:dyDescent="0.35">
      <c r="B32" s="174" t="s">
        <v>36</v>
      </c>
      <c r="C32" s="174"/>
      <c r="D32" s="174"/>
      <c r="E32" s="174"/>
      <c r="F32" s="174"/>
      <c r="G32" s="174"/>
      <c r="H32" s="174"/>
      <c r="I32" s="174"/>
      <c r="J32" s="174"/>
    </row>
    <row r="33" spans="2:10" x14ac:dyDescent="0.35">
      <c r="B33" s="174"/>
      <c r="C33" s="174"/>
      <c r="D33" s="174"/>
      <c r="E33" s="174"/>
      <c r="F33" s="174"/>
      <c r="G33" s="174"/>
      <c r="H33" s="174"/>
      <c r="I33" s="174"/>
      <c r="J33" s="174"/>
    </row>
    <row r="34" spans="2:10" x14ac:dyDescent="0.35">
      <c r="B34" s="174"/>
      <c r="C34" s="174"/>
      <c r="D34" s="174"/>
      <c r="E34" s="174"/>
      <c r="F34" s="174"/>
      <c r="G34" s="174"/>
      <c r="H34" s="174"/>
      <c r="I34" s="174"/>
      <c r="J34" s="174"/>
    </row>
    <row r="35" spans="2:10" x14ac:dyDescent="0.35">
      <c r="B35" s="174" t="s">
        <v>37</v>
      </c>
      <c r="C35" s="174"/>
      <c r="D35" s="174"/>
      <c r="E35" s="174"/>
      <c r="F35" s="174"/>
      <c r="G35" s="174"/>
      <c r="H35" s="174"/>
      <c r="I35" s="174"/>
      <c r="J35" s="174"/>
    </row>
    <row r="36" spans="2:10" x14ac:dyDescent="0.35">
      <c r="B36" s="174"/>
      <c r="C36" s="174"/>
      <c r="D36" s="174"/>
      <c r="E36" s="174"/>
      <c r="F36" s="174"/>
      <c r="G36" s="174"/>
      <c r="H36" s="174"/>
      <c r="I36" s="174"/>
      <c r="J36" s="174"/>
    </row>
    <row r="37" spans="2:10" x14ac:dyDescent="0.35">
      <c r="B37" s="174"/>
      <c r="C37" s="174"/>
      <c r="D37" s="174"/>
      <c r="E37" s="174"/>
      <c r="F37" s="174"/>
      <c r="G37" s="174"/>
      <c r="H37" s="174"/>
      <c r="I37" s="174"/>
      <c r="J37" s="174"/>
    </row>
    <row r="38" spans="2:10" x14ac:dyDescent="0.35">
      <c r="B38" s="174" t="s">
        <v>38</v>
      </c>
      <c r="C38" s="174"/>
      <c r="D38" s="174"/>
      <c r="E38" s="174"/>
      <c r="F38" s="174"/>
      <c r="G38" s="174"/>
      <c r="H38" s="174"/>
      <c r="I38" s="174"/>
      <c r="J38" s="174"/>
    </row>
    <row r="39" spans="2:10" x14ac:dyDescent="0.35">
      <c r="B39" s="174"/>
      <c r="C39" s="174"/>
      <c r="D39" s="174"/>
      <c r="E39" s="174"/>
      <c r="F39" s="174"/>
      <c r="G39" s="174"/>
      <c r="H39" s="174"/>
      <c r="I39" s="174"/>
      <c r="J39" s="174"/>
    </row>
    <row r="40" spans="2:10" x14ac:dyDescent="0.35">
      <c r="B40" s="174"/>
      <c r="C40" s="174"/>
      <c r="D40" s="174"/>
      <c r="E40" s="174"/>
      <c r="F40" s="174"/>
      <c r="G40" s="174"/>
      <c r="H40" s="174"/>
      <c r="I40" s="174"/>
      <c r="J40" s="174"/>
    </row>
    <row r="41" spans="2:10" x14ac:dyDescent="0.35">
      <c r="B41" s="174" t="s">
        <v>39</v>
      </c>
      <c r="C41" s="174"/>
      <c r="D41" s="174"/>
      <c r="E41" s="174"/>
      <c r="F41" s="174"/>
      <c r="G41" s="174"/>
      <c r="H41" s="174"/>
      <c r="I41" s="174"/>
      <c r="J41" s="174"/>
    </row>
    <row r="42" spans="2:10" x14ac:dyDescent="0.35">
      <c r="B42" s="174"/>
      <c r="C42" s="174"/>
      <c r="D42" s="174"/>
      <c r="E42" s="174"/>
      <c r="F42" s="174"/>
      <c r="G42" s="174"/>
      <c r="H42" s="174"/>
      <c r="I42" s="174"/>
      <c r="J42" s="174"/>
    </row>
    <row r="43" spans="2:10" x14ac:dyDescent="0.35">
      <c r="B43" s="174"/>
      <c r="C43" s="174"/>
      <c r="D43" s="174"/>
      <c r="E43" s="174"/>
      <c r="F43" s="174"/>
      <c r="G43" s="174"/>
      <c r="H43" s="174"/>
      <c r="I43" s="174"/>
      <c r="J43" s="174"/>
    </row>
    <row r="44" spans="2:10" x14ac:dyDescent="0.35">
      <c r="B44" s="174" t="s">
        <v>40</v>
      </c>
      <c r="C44" s="174"/>
      <c r="D44" s="174"/>
      <c r="E44" s="174"/>
      <c r="F44" s="174"/>
      <c r="G44" s="174"/>
      <c r="H44" s="174"/>
      <c r="I44" s="174"/>
      <c r="J44" s="174"/>
    </row>
    <row r="45" spans="2:10" x14ac:dyDescent="0.35">
      <c r="B45" s="174"/>
      <c r="C45" s="174"/>
      <c r="D45" s="174"/>
      <c r="E45" s="174"/>
      <c r="F45" s="174"/>
      <c r="G45" s="174"/>
      <c r="H45" s="174"/>
      <c r="I45" s="174"/>
      <c r="J45" s="174"/>
    </row>
    <row r="46" spans="2:10" x14ac:dyDescent="0.35">
      <c r="B46" s="174"/>
      <c r="C46" s="174"/>
      <c r="D46" s="174"/>
      <c r="E46" s="174"/>
      <c r="F46" s="174"/>
      <c r="G46" s="174"/>
      <c r="H46" s="174"/>
      <c r="I46" s="174"/>
      <c r="J46" s="174"/>
    </row>
    <row r="47" spans="2:10" x14ac:dyDescent="0.35">
      <c r="B47" s="174" t="s">
        <v>41</v>
      </c>
      <c r="C47" s="174"/>
      <c r="D47" s="174"/>
      <c r="E47" s="174"/>
      <c r="F47" s="174"/>
      <c r="G47" s="174"/>
      <c r="H47" s="174"/>
      <c r="I47" s="174"/>
      <c r="J47" s="174"/>
    </row>
    <row r="48" spans="2:10" x14ac:dyDescent="0.35">
      <c r="B48" s="174"/>
      <c r="C48" s="174"/>
      <c r="D48" s="174"/>
      <c r="E48" s="174"/>
      <c r="F48" s="174"/>
      <c r="G48" s="174"/>
      <c r="H48" s="174"/>
      <c r="I48" s="174"/>
      <c r="J48" s="174"/>
    </row>
    <row r="49" spans="2:10" x14ac:dyDescent="0.35">
      <c r="B49" s="174"/>
      <c r="C49" s="174"/>
      <c r="D49" s="174"/>
      <c r="E49" s="174"/>
      <c r="F49" s="174"/>
      <c r="G49" s="174"/>
      <c r="H49" s="174"/>
      <c r="I49" s="174"/>
      <c r="J49" s="174"/>
    </row>
    <row r="50" spans="2:10" x14ac:dyDescent="0.35">
      <c r="B50" s="174"/>
      <c r="C50" s="174"/>
      <c r="D50" s="174"/>
      <c r="E50" s="174"/>
      <c r="F50" s="174"/>
      <c r="G50" s="174"/>
      <c r="H50" s="174"/>
      <c r="I50" s="174"/>
      <c r="J50" s="174"/>
    </row>
    <row r="51" spans="2:10" x14ac:dyDescent="0.35">
      <c r="B51" s="174"/>
      <c r="C51" s="174"/>
      <c r="D51" s="174"/>
      <c r="E51" s="174"/>
      <c r="F51" s="174"/>
      <c r="G51" s="174"/>
      <c r="H51" s="174"/>
      <c r="I51" s="174"/>
      <c r="J51" s="174"/>
    </row>
    <row r="52" spans="2:10" x14ac:dyDescent="0.35">
      <c r="B52" s="174" t="s">
        <v>32</v>
      </c>
      <c r="C52" s="174"/>
      <c r="D52" s="174"/>
      <c r="E52" s="174"/>
      <c r="F52" s="174"/>
      <c r="G52" s="174"/>
      <c r="H52" s="174"/>
      <c r="I52" s="174"/>
      <c r="J52" s="174"/>
    </row>
    <row r="53" spans="2:10" x14ac:dyDescent="0.35">
      <c r="B53" s="174"/>
      <c r="C53" s="174"/>
      <c r="D53" s="174"/>
      <c r="E53" s="174"/>
      <c r="F53" s="174"/>
      <c r="G53" s="174"/>
      <c r="H53" s="174"/>
      <c r="I53" s="174"/>
      <c r="J53" s="174"/>
    </row>
    <row r="54" spans="2:10" x14ac:dyDescent="0.35">
      <c r="B54" s="174"/>
      <c r="C54" s="174"/>
      <c r="D54" s="174"/>
      <c r="E54" s="174"/>
      <c r="F54" s="174"/>
      <c r="G54" s="174"/>
      <c r="H54" s="174"/>
      <c r="I54" s="174"/>
      <c r="J54" s="174"/>
    </row>
    <row r="55" spans="2:10" x14ac:dyDescent="0.35">
      <c r="B55" s="174"/>
      <c r="C55" s="174"/>
      <c r="D55" s="174"/>
      <c r="E55" s="174"/>
      <c r="F55" s="174"/>
      <c r="G55" s="174"/>
      <c r="H55" s="174"/>
      <c r="I55" s="174"/>
      <c r="J55" s="174"/>
    </row>
    <row r="56" spans="2:10" x14ac:dyDescent="0.35">
      <c r="B56" s="174"/>
      <c r="C56" s="174"/>
      <c r="D56" s="174"/>
      <c r="E56" s="174"/>
      <c r="F56" s="174"/>
      <c r="G56" s="174"/>
      <c r="H56" s="174"/>
      <c r="I56" s="174"/>
      <c r="J56" s="174"/>
    </row>
  </sheetData>
  <mergeCells count="23">
    <mergeCell ref="B1:J1"/>
    <mergeCell ref="B14:J15"/>
    <mergeCell ref="B16:J17"/>
    <mergeCell ref="B7:I7"/>
    <mergeCell ref="B8:N8"/>
    <mergeCell ref="B10:I10"/>
    <mergeCell ref="B2:L5"/>
    <mergeCell ref="B47:J51"/>
    <mergeCell ref="B52:J56"/>
    <mergeCell ref="B9:H9"/>
    <mergeCell ref="B32:J34"/>
    <mergeCell ref="B35:J37"/>
    <mergeCell ref="B38:J40"/>
    <mergeCell ref="B41:J43"/>
    <mergeCell ref="B44:J46"/>
    <mergeCell ref="B18:J20"/>
    <mergeCell ref="B21:J22"/>
    <mergeCell ref="B23:J24"/>
    <mergeCell ref="B25:J26"/>
    <mergeCell ref="B27:J31"/>
    <mergeCell ref="B11:J11"/>
    <mergeCell ref="B12:J12"/>
    <mergeCell ref="B13:K13"/>
  </mergeCells>
  <pageMargins left="0.7" right="0.7" top="0.75" bottom="0.75" header="0.3" footer="0.3"/>
  <pageSetup orientation="portrait" horizontalDpi="300" verticalDpi="300" r:id="rId1"/>
  <customProperties>
    <customPr name="LastActive"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FDE44-8692-4FA8-BEB6-BA1433F12DD9}">
  <sheetPr>
    <tabColor rgb="FFFFFF00"/>
  </sheetPr>
  <dimension ref="B2:C22"/>
  <sheetViews>
    <sheetView workbookViewId="0">
      <selection activeCell="P37" sqref="P37"/>
    </sheetView>
  </sheetViews>
  <sheetFormatPr defaultRowHeight="14.5" x14ac:dyDescent="0.35"/>
  <cols>
    <col min="2" max="2" width="12.36328125" style="120" customWidth="1"/>
    <col min="3" max="3" width="22.26953125" customWidth="1"/>
  </cols>
  <sheetData>
    <row r="2" spans="2:3" x14ac:dyDescent="0.35">
      <c r="B2" s="132" t="s">
        <v>0</v>
      </c>
      <c r="C2" s="128" t="s">
        <v>126</v>
      </c>
    </row>
    <row r="3" spans="2:3" x14ac:dyDescent="0.35">
      <c r="B3" s="120">
        <v>45349</v>
      </c>
      <c r="C3" t="s">
        <v>106</v>
      </c>
    </row>
    <row r="4" spans="2:3" x14ac:dyDescent="0.35">
      <c r="B4" s="120">
        <v>45350</v>
      </c>
      <c r="C4" t="s">
        <v>107</v>
      </c>
    </row>
    <row r="5" spans="2:3" x14ac:dyDescent="0.35">
      <c r="B5" s="131">
        <v>45351</v>
      </c>
      <c r="C5" t="s">
        <v>108</v>
      </c>
    </row>
    <row r="6" spans="2:3" x14ac:dyDescent="0.35">
      <c r="B6" s="120">
        <v>45352</v>
      </c>
      <c r="C6" t="s">
        <v>109</v>
      </c>
    </row>
    <row r="7" spans="2:3" x14ac:dyDescent="0.35">
      <c r="B7" s="120">
        <v>45353</v>
      </c>
      <c r="C7" t="s">
        <v>110</v>
      </c>
    </row>
    <row r="8" spans="2:3" x14ac:dyDescent="0.35">
      <c r="B8" s="120">
        <v>45354</v>
      </c>
      <c r="C8" t="s">
        <v>111</v>
      </c>
    </row>
    <row r="9" spans="2:3" x14ac:dyDescent="0.35">
      <c r="B9" s="120">
        <v>45355</v>
      </c>
      <c r="C9" t="s">
        <v>112</v>
      </c>
    </row>
    <row r="10" spans="2:3" x14ac:dyDescent="0.35">
      <c r="B10" s="120">
        <v>45356</v>
      </c>
      <c r="C10" t="s">
        <v>113</v>
      </c>
    </row>
    <row r="11" spans="2:3" x14ac:dyDescent="0.35">
      <c r="B11" s="120">
        <v>45357</v>
      </c>
      <c r="C11" t="s">
        <v>114</v>
      </c>
    </row>
    <row r="12" spans="2:3" x14ac:dyDescent="0.35">
      <c r="B12" s="120">
        <v>45358</v>
      </c>
      <c r="C12" t="s">
        <v>115</v>
      </c>
    </row>
    <row r="13" spans="2:3" x14ac:dyDescent="0.35">
      <c r="B13" s="120">
        <v>45359</v>
      </c>
      <c r="C13" t="s">
        <v>116</v>
      </c>
    </row>
    <row r="14" spans="2:3" x14ac:dyDescent="0.35">
      <c r="B14" s="120">
        <v>45360</v>
      </c>
      <c r="C14" t="s">
        <v>117</v>
      </c>
    </row>
    <row r="15" spans="2:3" x14ac:dyDescent="0.35">
      <c r="B15" s="120">
        <v>45361</v>
      </c>
      <c r="C15" t="s">
        <v>118</v>
      </c>
    </row>
    <row r="16" spans="2:3" x14ac:dyDescent="0.35">
      <c r="B16" s="120">
        <v>45362</v>
      </c>
      <c r="C16" t="s">
        <v>119</v>
      </c>
    </row>
    <row r="17" spans="2:3" x14ac:dyDescent="0.35">
      <c r="B17" s="120">
        <v>45363</v>
      </c>
      <c r="C17" t="s">
        <v>120</v>
      </c>
    </row>
    <row r="18" spans="2:3" x14ac:dyDescent="0.35">
      <c r="B18" s="120">
        <v>45364</v>
      </c>
      <c r="C18" t="s">
        <v>121</v>
      </c>
    </row>
    <row r="19" spans="2:3" x14ac:dyDescent="0.35">
      <c r="B19" s="120">
        <v>45365</v>
      </c>
      <c r="C19" t="s">
        <v>122</v>
      </c>
    </row>
    <row r="20" spans="2:3" x14ac:dyDescent="0.35">
      <c r="B20" s="120">
        <v>45366</v>
      </c>
      <c r="C20" t="s">
        <v>123</v>
      </c>
    </row>
    <row r="21" spans="2:3" x14ac:dyDescent="0.35">
      <c r="B21" s="120">
        <v>45367</v>
      </c>
      <c r="C21" t="s">
        <v>124</v>
      </c>
    </row>
    <row r="22" spans="2:3" x14ac:dyDescent="0.35">
      <c r="B22" s="120">
        <v>45368</v>
      </c>
      <c r="C22" t="s">
        <v>125</v>
      </c>
    </row>
  </sheetData>
  <pageMargins left="0.7" right="0.7" top="0.75" bottom="0.75" header="0.3" footer="0.3"/>
  <customProperties>
    <customPr name="LastActive" r:id="rId1"/>
  </customPropertie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C26B4-A34A-46F7-A9BC-6C1C50EFD9B9}">
  <sheetPr>
    <tabColor rgb="FFFFFF00"/>
  </sheetPr>
  <dimension ref="A1:F398"/>
  <sheetViews>
    <sheetView workbookViewId="0">
      <selection activeCell="I19" sqref="I19"/>
    </sheetView>
  </sheetViews>
  <sheetFormatPr defaultRowHeight="14.5" x14ac:dyDescent="0.35"/>
  <cols>
    <col min="3" max="3" width="10.90625" customWidth="1"/>
  </cols>
  <sheetData>
    <row r="1" spans="1:6" x14ac:dyDescent="0.35">
      <c r="A1" t="s">
        <v>0</v>
      </c>
      <c r="B1" t="s">
        <v>77</v>
      </c>
      <c r="C1" t="s">
        <v>76</v>
      </c>
      <c r="E1" s="127"/>
      <c r="F1" s="127"/>
    </row>
    <row r="2" spans="1:6" x14ac:dyDescent="0.35">
      <c r="A2" s="120">
        <v>45108</v>
      </c>
      <c r="B2">
        <v>0</v>
      </c>
      <c r="C2">
        <v>97.7</v>
      </c>
    </row>
    <row r="3" spans="1:6" x14ac:dyDescent="0.35">
      <c r="A3" s="120">
        <v>45109</v>
      </c>
      <c r="B3">
        <v>3.9E-2</v>
      </c>
      <c r="C3">
        <v>95.1</v>
      </c>
    </row>
    <row r="4" spans="1:6" x14ac:dyDescent="0.35">
      <c r="A4" s="120">
        <v>45110</v>
      </c>
      <c r="B4">
        <v>0</v>
      </c>
      <c r="C4">
        <v>96.9</v>
      </c>
    </row>
    <row r="5" spans="1:6" x14ac:dyDescent="0.35">
      <c r="A5" s="120">
        <v>45111</v>
      </c>
      <c r="B5">
        <v>0.23400000000000001</v>
      </c>
      <c r="C5">
        <v>90.3</v>
      </c>
    </row>
    <row r="6" spans="1:6" x14ac:dyDescent="0.35">
      <c r="A6" s="120">
        <v>45112</v>
      </c>
      <c r="B6">
        <v>3.7999999999999999E-2</v>
      </c>
      <c r="C6">
        <v>91.5</v>
      </c>
    </row>
    <row r="7" spans="1:6" x14ac:dyDescent="0.35">
      <c r="A7" s="120">
        <v>45113</v>
      </c>
      <c r="B7">
        <v>0.41799999999999998</v>
      </c>
      <c r="C7">
        <v>84.3</v>
      </c>
    </row>
    <row r="8" spans="1:6" x14ac:dyDescent="0.35">
      <c r="A8" s="120">
        <v>45114</v>
      </c>
      <c r="B8">
        <v>0.151</v>
      </c>
      <c r="C8">
        <v>88.9</v>
      </c>
    </row>
    <row r="9" spans="1:6" x14ac:dyDescent="0.35">
      <c r="A9" s="120">
        <v>45115</v>
      </c>
      <c r="B9">
        <v>0.22</v>
      </c>
      <c r="C9">
        <v>89.7</v>
      </c>
    </row>
    <row r="10" spans="1:6" x14ac:dyDescent="0.35">
      <c r="A10" s="120">
        <v>45116</v>
      </c>
      <c r="B10">
        <v>0</v>
      </c>
      <c r="C10">
        <v>94.2</v>
      </c>
    </row>
    <row r="11" spans="1:6" x14ac:dyDescent="0.35">
      <c r="A11" s="120">
        <v>45117</v>
      </c>
      <c r="B11">
        <v>0</v>
      </c>
      <c r="C11">
        <v>96.1</v>
      </c>
    </row>
    <row r="12" spans="1:6" x14ac:dyDescent="0.35">
      <c r="A12" s="120">
        <v>45118</v>
      </c>
      <c r="B12">
        <v>0</v>
      </c>
      <c r="C12">
        <v>95.1</v>
      </c>
    </row>
    <row r="13" spans="1:6" x14ac:dyDescent="0.35">
      <c r="A13" s="120">
        <v>45119</v>
      </c>
      <c r="B13">
        <v>0</v>
      </c>
      <c r="C13">
        <v>95.2</v>
      </c>
    </row>
    <row r="14" spans="1:6" x14ac:dyDescent="0.35">
      <c r="A14" s="120">
        <v>45120</v>
      </c>
      <c r="B14">
        <v>0</v>
      </c>
      <c r="C14">
        <v>96.9</v>
      </c>
    </row>
    <row r="15" spans="1:6" x14ac:dyDescent="0.35">
      <c r="A15" s="120">
        <v>45121</v>
      </c>
      <c r="B15">
        <v>0</v>
      </c>
      <c r="C15">
        <v>95.1</v>
      </c>
    </row>
    <row r="16" spans="1:6" x14ac:dyDescent="0.35">
      <c r="A16" s="120">
        <v>45122</v>
      </c>
      <c r="B16">
        <v>0</v>
      </c>
      <c r="C16">
        <v>96.9</v>
      </c>
    </row>
    <row r="17" spans="1:3" x14ac:dyDescent="0.35">
      <c r="A17" s="120">
        <v>45123</v>
      </c>
      <c r="B17">
        <v>0</v>
      </c>
      <c r="C17">
        <v>98.7</v>
      </c>
    </row>
    <row r="18" spans="1:3" x14ac:dyDescent="0.35">
      <c r="A18" s="120">
        <v>45124</v>
      </c>
      <c r="B18">
        <v>0</v>
      </c>
      <c r="C18">
        <v>98.8</v>
      </c>
    </row>
    <row r="19" spans="1:3" x14ac:dyDescent="0.35">
      <c r="A19" s="120">
        <v>45125</v>
      </c>
      <c r="B19">
        <v>0</v>
      </c>
      <c r="C19">
        <v>98.6</v>
      </c>
    </row>
    <row r="20" spans="1:3" x14ac:dyDescent="0.35">
      <c r="A20" s="120">
        <v>45126</v>
      </c>
      <c r="B20">
        <v>0</v>
      </c>
      <c r="C20">
        <v>97.6</v>
      </c>
    </row>
    <row r="21" spans="1:3" x14ac:dyDescent="0.35">
      <c r="A21" s="120">
        <v>45127</v>
      </c>
      <c r="B21">
        <v>0</v>
      </c>
      <c r="C21">
        <v>97.8</v>
      </c>
    </row>
    <row r="22" spans="1:3" x14ac:dyDescent="0.35">
      <c r="A22" s="120">
        <v>45128</v>
      </c>
      <c r="B22">
        <v>0</v>
      </c>
      <c r="C22">
        <v>98.6</v>
      </c>
    </row>
    <row r="23" spans="1:3" x14ac:dyDescent="0.35">
      <c r="A23" s="120">
        <v>45129</v>
      </c>
      <c r="B23">
        <v>0</v>
      </c>
      <c r="C23">
        <v>99.6</v>
      </c>
    </row>
    <row r="24" spans="1:3" x14ac:dyDescent="0.35">
      <c r="A24" s="120">
        <v>45130</v>
      </c>
      <c r="B24">
        <v>0</v>
      </c>
      <c r="C24">
        <v>95.9</v>
      </c>
    </row>
    <row r="25" spans="1:3" x14ac:dyDescent="0.35">
      <c r="A25" s="120">
        <v>45131</v>
      </c>
      <c r="B25">
        <v>4.0000000000000001E-3</v>
      </c>
      <c r="C25">
        <v>94.1</v>
      </c>
    </row>
    <row r="26" spans="1:3" x14ac:dyDescent="0.35">
      <c r="A26" s="120">
        <v>45132</v>
      </c>
      <c r="B26">
        <v>4.9000000000000002E-2</v>
      </c>
      <c r="C26">
        <v>93.2</v>
      </c>
    </row>
    <row r="27" spans="1:3" x14ac:dyDescent="0.35">
      <c r="A27" s="120">
        <v>45133</v>
      </c>
      <c r="B27">
        <v>0</v>
      </c>
      <c r="C27">
        <v>96.8</v>
      </c>
    </row>
    <row r="28" spans="1:3" x14ac:dyDescent="0.35">
      <c r="A28" s="120">
        <v>45134</v>
      </c>
      <c r="B28">
        <v>0</v>
      </c>
      <c r="C28">
        <v>93.2</v>
      </c>
    </row>
    <row r="29" spans="1:3" x14ac:dyDescent="0.35">
      <c r="A29" s="120">
        <v>45135</v>
      </c>
      <c r="B29">
        <v>4.2999999999999997E-2</v>
      </c>
      <c r="C29">
        <v>95</v>
      </c>
    </row>
    <row r="30" spans="1:3" x14ac:dyDescent="0.35">
      <c r="A30" s="120">
        <v>45136</v>
      </c>
      <c r="B30">
        <v>0</v>
      </c>
      <c r="C30">
        <v>96</v>
      </c>
    </row>
    <row r="31" spans="1:3" x14ac:dyDescent="0.35">
      <c r="A31" s="120">
        <v>45137</v>
      </c>
      <c r="B31">
        <v>0</v>
      </c>
      <c r="C31">
        <v>98.5</v>
      </c>
    </row>
    <row r="32" spans="1:3" x14ac:dyDescent="0.35">
      <c r="A32" s="120">
        <v>45138</v>
      </c>
      <c r="B32">
        <v>0</v>
      </c>
      <c r="C32">
        <v>99.7</v>
      </c>
    </row>
    <row r="33" spans="1:3" x14ac:dyDescent="0.35">
      <c r="A33" s="120">
        <v>45139</v>
      </c>
      <c r="B33">
        <v>0</v>
      </c>
      <c r="C33">
        <v>99.4</v>
      </c>
    </row>
    <row r="34" spans="1:3" x14ac:dyDescent="0.35">
      <c r="A34" s="120">
        <v>45140</v>
      </c>
      <c r="B34">
        <v>0</v>
      </c>
      <c r="C34">
        <v>98.7</v>
      </c>
    </row>
    <row r="35" spans="1:3" x14ac:dyDescent="0.35">
      <c r="A35" s="120">
        <v>45141</v>
      </c>
      <c r="B35">
        <v>0</v>
      </c>
      <c r="C35">
        <v>98.5</v>
      </c>
    </row>
    <row r="36" spans="1:3" x14ac:dyDescent="0.35">
      <c r="A36" s="120">
        <v>45142</v>
      </c>
      <c r="B36">
        <v>0</v>
      </c>
      <c r="C36">
        <v>100.4</v>
      </c>
    </row>
    <row r="37" spans="1:3" x14ac:dyDescent="0.35">
      <c r="A37" s="120">
        <v>45143</v>
      </c>
      <c r="B37">
        <v>0</v>
      </c>
      <c r="C37">
        <v>99.3</v>
      </c>
    </row>
    <row r="38" spans="1:3" x14ac:dyDescent="0.35">
      <c r="A38" s="120">
        <v>45144</v>
      </c>
      <c r="B38">
        <v>0</v>
      </c>
      <c r="C38">
        <v>98.7</v>
      </c>
    </row>
    <row r="39" spans="1:3" x14ac:dyDescent="0.35">
      <c r="A39" s="120">
        <v>45145</v>
      </c>
      <c r="B39">
        <v>0</v>
      </c>
      <c r="C39">
        <v>100.4</v>
      </c>
    </row>
    <row r="40" spans="1:3" x14ac:dyDescent="0.35">
      <c r="A40" s="120">
        <v>45146</v>
      </c>
      <c r="B40">
        <v>0</v>
      </c>
      <c r="C40">
        <v>98.7</v>
      </c>
    </row>
    <row r="41" spans="1:3" x14ac:dyDescent="0.35">
      <c r="A41" s="120">
        <v>45147</v>
      </c>
      <c r="B41">
        <v>0</v>
      </c>
      <c r="C41">
        <v>96.9</v>
      </c>
    </row>
    <row r="42" spans="1:3" x14ac:dyDescent="0.35">
      <c r="A42" s="120">
        <v>45148</v>
      </c>
      <c r="B42">
        <v>0</v>
      </c>
      <c r="C42">
        <v>98</v>
      </c>
    </row>
    <row r="43" spans="1:3" x14ac:dyDescent="0.35">
      <c r="A43" s="120">
        <v>45149</v>
      </c>
      <c r="B43">
        <v>0</v>
      </c>
      <c r="C43">
        <v>98.7</v>
      </c>
    </row>
    <row r="44" spans="1:3" x14ac:dyDescent="0.35">
      <c r="A44" s="120">
        <v>45150</v>
      </c>
      <c r="B44">
        <v>0</v>
      </c>
      <c r="C44">
        <v>98.7</v>
      </c>
    </row>
    <row r="45" spans="1:3" x14ac:dyDescent="0.35">
      <c r="A45" s="120">
        <v>45151</v>
      </c>
      <c r="B45">
        <v>0</v>
      </c>
      <c r="C45">
        <v>99.4</v>
      </c>
    </row>
    <row r="46" spans="1:3" x14ac:dyDescent="0.35">
      <c r="A46" s="120">
        <v>45152</v>
      </c>
      <c r="B46">
        <v>0</v>
      </c>
      <c r="C46">
        <v>101.3</v>
      </c>
    </row>
    <row r="47" spans="1:3" x14ac:dyDescent="0.35">
      <c r="A47" s="120">
        <v>45153</v>
      </c>
      <c r="B47">
        <v>0</v>
      </c>
      <c r="C47">
        <v>100.6</v>
      </c>
    </row>
    <row r="48" spans="1:3" x14ac:dyDescent="0.35">
      <c r="A48" s="120">
        <v>45154</v>
      </c>
      <c r="B48">
        <v>0</v>
      </c>
      <c r="C48">
        <v>97.6</v>
      </c>
    </row>
    <row r="49" spans="1:3" x14ac:dyDescent="0.35">
      <c r="A49" s="120">
        <v>45155</v>
      </c>
      <c r="B49">
        <v>0</v>
      </c>
      <c r="C49">
        <v>102.2</v>
      </c>
    </row>
    <row r="50" spans="1:3" x14ac:dyDescent="0.35">
      <c r="A50" s="120">
        <v>45156</v>
      </c>
      <c r="B50">
        <v>0</v>
      </c>
      <c r="C50">
        <v>100.4</v>
      </c>
    </row>
    <row r="51" spans="1:3" x14ac:dyDescent="0.35">
      <c r="A51" s="120">
        <v>45157</v>
      </c>
      <c r="B51">
        <v>0</v>
      </c>
      <c r="C51">
        <v>100.7</v>
      </c>
    </row>
    <row r="52" spans="1:3" x14ac:dyDescent="0.35">
      <c r="A52" s="120">
        <v>45158</v>
      </c>
      <c r="B52">
        <v>0</v>
      </c>
      <c r="C52">
        <v>104.1</v>
      </c>
    </row>
    <row r="53" spans="1:3" x14ac:dyDescent="0.35">
      <c r="A53" s="120">
        <v>45159</v>
      </c>
      <c r="B53">
        <v>0</v>
      </c>
      <c r="C53">
        <v>95.1</v>
      </c>
    </row>
    <row r="54" spans="1:3" x14ac:dyDescent="0.35">
      <c r="A54" s="120">
        <v>45160</v>
      </c>
      <c r="B54">
        <v>1.4E-2</v>
      </c>
      <c r="C54">
        <v>91.4</v>
      </c>
    </row>
    <row r="55" spans="1:3" x14ac:dyDescent="0.35">
      <c r="A55" s="120">
        <v>45161</v>
      </c>
      <c r="B55">
        <v>0</v>
      </c>
      <c r="C55">
        <v>98.8</v>
      </c>
    </row>
    <row r="56" spans="1:3" x14ac:dyDescent="0.35">
      <c r="A56" s="120">
        <v>45162</v>
      </c>
      <c r="B56">
        <v>0</v>
      </c>
      <c r="C56">
        <v>104.8</v>
      </c>
    </row>
    <row r="57" spans="1:3" x14ac:dyDescent="0.35">
      <c r="A57" s="120">
        <v>45163</v>
      </c>
      <c r="B57">
        <v>0</v>
      </c>
      <c r="C57">
        <v>98.7</v>
      </c>
    </row>
    <row r="58" spans="1:3" x14ac:dyDescent="0.35">
      <c r="A58" s="120">
        <v>45164</v>
      </c>
      <c r="B58">
        <v>0</v>
      </c>
      <c r="C58">
        <v>101.4</v>
      </c>
    </row>
    <row r="59" spans="1:3" x14ac:dyDescent="0.35">
      <c r="A59" s="120">
        <v>45165</v>
      </c>
      <c r="B59">
        <v>1E-3</v>
      </c>
      <c r="C59">
        <v>105.9</v>
      </c>
    </row>
    <row r="60" spans="1:3" x14ac:dyDescent="0.35">
      <c r="A60" s="120">
        <v>45166</v>
      </c>
      <c r="B60">
        <v>0</v>
      </c>
      <c r="C60">
        <v>95.2</v>
      </c>
    </row>
    <row r="61" spans="1:3" x14ac:dyDescent="0.35">
      <c r="A61" s="120">
        <v>45167</v>
      </c>
      <c r="B61">
        <v>0</v>
      </c>
      <c r="C61">
        <v>93.4</v>
      </c>
    </row>
    <row r="62" spans="1:3" x14ac:dyDescent="0.35">
      <c r="A62" s="120">
        <v>45168</v>
      </c>
      <c r="B62">
        <v>0</v>
      </c>
      <c r="C62">
        <v>96.1</v>
      </c>
    </row>
    <row r="63" spans="1:3" x14ac:dyDescent="0.35">
      <c r="A63" s="120">
        <v>45169</v>
      </c>
      <c r="B63">
        <v>0</v>
      </c>
      <c r="C63">
        <v>96.9</v>
      </c>
    </row>
    <row r="64" spans="1:3" x14ac:dyDescent="0.35">
      <c r="A64" s="120">
        <v>45170</v>
      </c>
      <c r="B64">
        <v>0</v>
      </c>
      <c r="C64">
        <v>97.5</v>
      </c>
    </row>
    <row r="65" spans="1:3" x14ac:dyDescent="0.35">
      <c r="A65" s="120">
        <v>45171</v>
      </c>
      <c r="B65">
        <v>0</v>
      </c>
      <c r="C65">
        <v>96.8</v>
      </c>
    </row>
    <row r="66" spans="1:3" x14ac:dyDescent="0.35">
      <c r="A66" s="120">
        <v>45172</v>
      </c>
      <c r="B66">
        <v>0</v>
      </c>
      <c r="C66">
        <v>95.8</v>
      </c>
    </row>
    <row r="67" spans="1:3" x14ac:dyDescent="0.35">
      <c r="A67" s="120">
        <v>45173</v>
      </c>
      <c r="B67">
        <v>4.4999999999999998E-2</v>
      </c>
      <c r="C67">
        <v>92.5</v>
      </c>
    </row>
    <row r="68" spans="1:3" x14ac:dyDescent="0.35">
      <c r="A68" s="120">
        <v>45174</v>
      </c>
      <c r="B68">
        <v>6.0000000000000001E-3</v>
      </c>
      <c r="C68">
        <v>95.8</v>
      </c>
    </row>
    <row r="69" spans="1:3" x14ac:dyDescent="0.35">
      <c r="A69" s="120">
        <v>45175</v>
      </c>
      <c r="B69">
        <v>0</v>
      </c>
      <c r="C69">
        <v>98.6</v>
      </c>
    </row>
    <row r="70" spans="1:3" x14ac:dyDescent="0.35">
      <c r="A70" s="120">
        <v>45176</v>
      </c>
      <c r="B70">
        <v>0</v>
      </c>
      <c r="C70">
        <v>98.7</v>
      </c>
    </row>
    <row r="71" spans="1:3" x14ac:dyDescent="0.35">
      <c r="A71" s="120">
        <v>45177</v>
      </c>
      <c r="B71">
        <v>0</v>
      </c>
      <c r="C71">
        <v>101.6</v>
      </c>
    </row>
    <row r="72" spans="1:3" x14ac:dyDescent="0.35">
      <c r="A72" s="120">
        <v>45178</v>
      </c>
      <c r="B72">
        <v>7.6999999999999999E-2</v>
      </c>
      <c r="C72">
        <v>95.1</v>
      </c>
    </row>
    <row r="73" spans="1:3" x14ac:dyDescent="0.35">
      <c r="A73" s="120">
        <v>45179</v>
      </c>
      <c r="B73">
        <v>0</v>
      </c>
      <c r="C73">
        <v>93.4</v>
      </c>
    </row>
    <row r="74" spans="1:3" x14ac:dyDescent="0.35">
      <c r="A74" s="120">
        <v>45180</v>
      </c>
      <c r="B74">
        <v>0</v>
      </c>
      <c r="C74">
        <v>94.1</v>
      </c>
    </row>
    <row r="75" spans="1:3" x14ac:dyDescent="0.35">
      <c r="A75" s="120">
        <v>45181</v>
      </c>
      <c r="B75">
        <v>0</v>
      </c>
      <c r="C75">
        <v>95.8</v>
      </c>
    </row>
    <row r="76" spans="1:3" x14ac:dyDescent="0.35">
      <c r="A76" s="120">
        <v>45182</v>
      </c>
      <c r="B76">
        <v>4.0000000000000001E-3</v>
      </c>
      <c r="C76">
        <v>93.3</v>
      </c>
    </row>
    <row r="77" spans="1:3" x14ac:dyDescent="0.35">
      <c r="A77" s="120">
        <v>45183</v>
      </c>
      <c r="B77">
        <v>0.26</v>
      </c>
      <c r="C77">
        <v>87</v>
      </c>
    </row>
    <row r="78" spans="1:3" x14ac:dyDescent="0.35">
      <c r="A78" s="120">
        <v>45184</v>
      </c>
      <c r="B78">
        <v>0.27600000000000002</v>
      </c>
      <c r="C78">
        <v>91.4</v>
      </c>
    </row>
    <row r="79" spans="1:3" x14ac:dyDescent="0.35">
      <c r="A79" s="120">
        <v>45185</v>
      </c>
      <c r="B79">
        <v>0.22</v>
      </c>
      <c r="C79">
        <v>90.3</v>
      </c>
    </row>
    <row r="80" spans="1:3" x14ac:dyDescent="0.35">
      <c r="A80" s="120">
        <v>45186</v>
      </c>
      <c r="B80">
        <v>1E-3</v>
      </c>
      <c r="C80">
        <v>91.5</v>
      </c>
    </row>
    <row r="81" spans="1:3" x14ac:dyDescent="0.35">
      <c r="A81" s="120">
        <v>45187</v>
      </c>
      <c r="B81">
        <v>0</v>
      </c>
      <c r="C81">
        <v>92.2</v>
      </c>
    </row>
    <row r="82" spans="1:3" x14ac:dyDescent="0.35">
      <c r="A82" s="120">
        <v>45188</v>
      </c>
      <c r="B82">
        <v>0</v>
      </c>
      <c r="C82">
        <v>91.4</v>
      </c>
    </row>
    <row r="83" spans="1:3" x14ac:dyDescent="0.35">
      <c r="A83" s="120">
        <v>45189</v>
      </c>
      <c r="B83">
        <v>0</v>
      </c>
      <c r="C83">
        <v>91.5</v>
      </c>
    </row>
    <row r="84" spans="1:3" x14ac:dyDescent="0.35">
      <c r="A84" s="120">
        <v>45190</v>
      </c>
      <c r="B84">
        <v>0</v>
      </c>
      <c r="C84">
        <v>94.2</v>
      </c>
    </row>
    <row r="85" spans="1:3" x14ac:dyDescent="0.35">
      <c r="A85" s="120">
        <v>45191</v>
      </c>
      <c r="B85">
        <v>0</v>
      </c>
      <c r="C85">
        <v>94.3</v>
      </c>
    </row>
    <row r="86" spans="1:3" x14ac:dyDescent="0.35">
      <c r="A86" s="120">
        <v>45192</v>
      </c>
      <c r="B86">
        <v>0</v>
      </c>
      <c r="C86">
        <v>94</v>
      </c>
    </row>
    <row r="87" spans="1:3" x14ac:dyDescent="0.35">
      <c r="A87" s="120">
        <v>45193</v>
      </c>
      <c r="B87">
        <v>0</v>
      </c>
      <c r="C87">
        <v>95.1</v>
      </c>
    </row>
    <row r="88" spans="1:3" x14ac:dyDescent="0.35">
      <c r="A88" s="120">
        <v>45194</v>
      </c>
      <c r="B88">
        <v>0.90300000000000002</v>
      </c>
      <c r="C88">
        <v>93.2</v>
      </c>
    </row>
    <row r="89" spans="1:3" x14ac:dyDescent="0.35">
      <c r="A89" s="120">
        <v>45195</v>
      </c>
      <c r="B89">
        <v>0</v>
      </c>
      <c r="C89">
        <v>91.4</v>
      </c>
    </row>
    <row r="90" spans="1:3" x14ac:dyDescent="0.35">
      <c r="A90" s="120">
        <v>45196</v>
      </c>
      <c r="B90">
        <v>0</v>
      </c>
      <c r="C90">
        <v>91.5</v>
      </c>
    </row>
    <row r="91" spans="1:3" x14ac:dyDescent="0.35">
      <c r="A91" s="120">
        <v>45197</v>
      </c>
      <c r="B91">
        <v>0</v>
      </c>
      <c r="C91">
        <v>93.2</v>
      </c>
    </row>
    <row r="92" spans="1:3" x14ac:dyDescent="0.35">
      <c r="A92" s="120">
        <v>45198</v>
      </c>
      <c r="B92">
        <v>0</v>
      </c>
      <c r="C92">
        <v>89.7</v>
      </c>
    </row>
    <row r="93" spans="1:3" x14ac:dyDescent="0.35">
      <c r="A93" s="120">
        <v>45199</v>
      </c>
      <c r="B93">
        <v>0</v>
      </c>
      <c r="C93">
        <v>90.7</v>
      </c>
    </row>
    <row r="94" spans="1:3" x14ac:dyDescent="0.35">
      <c r="A94" s="120">
        <v>45200</v>
      </c>
      <c r="B94">
        <v>0</v>
      </c>
      <c r="C94">
        <v>91.4</v>
      </c>
    </row>
    <row r="95" spans="1:3" x14ac:dyDescent="0.35">
      <c r="A95" s="120">
        <v>45201</v>
      </c>
      <c r="B95">
        <v>0</v>
      </c>
      <c r="C95">
        <v>89.7</v>
      </c>
    </row>
    <row r="96" spans="1:3" x14ac:dyDescent="0.35">
      <c r="A96" s="120">
        <v>45202</v>
      </c>
      <c r="B96">
        <v>1.254</v>
      </c>
      <c r="C96">
        <v>80.599999999999994</v>
      </c>
    </row>
    <row r="97" spans="1:3" x14ac:dyDescent="0.35">
      <c r="A97" s="120">
        <v>45203</v>
      </c>
      <c r="B97">
        <v>0.35899999999999999</v>
      </c>
      <c r="C97">
        <v>84.2</v>
      </c>
    </row>
    <row r="98" spans="1:3" x14ac:dyDescent="0.35">
      <c r="A98" s="120">
        <v>45204</v>
      </c>
      <c r="B98">
        <v>0.67800000000000005</v>
      </c>
      <c r="C98">
        <v>80.599999999999994</v>
      </c>
    </row>
    <row r="99" spans="1:3" x14ac:dyDescent="0.35">
      <c r="A99" s="120">
        <v>45205</v>
      </c>
      <c r="B99">
        <v>0</v>
      </c>
      <c r="C99">
        <v>82.5</v>
      </c>
    </row>
    <row r="100" spans="1:3" x14ac:dyDescent="0.35">
      <c r="A100" s="120">
        <v>45206</v>
      </c>
      <c r="B100">
        <v>0</v>
      </c>
      <c r="C100">
        <v>76.900000000000006</v>
      </c>
    </row>
    <row r="101" spans="1:3" x14ac:dyDescent="0.35">
      <c r="A101" s="120">
        <v>45207</v>
      </c>
      <c r="B101">
        <v>0</v>
      </c>
      <c r="C101">
        <v>73.400000000000006</v>
      </c>
    </row>
    <row r="102" spans="1:3" x14ac:dyDescent="0.35">
      <c r="A102" s="120">
        <v>45208</v>
      </c>
      <c r="B102">
        <v>0</v>
      </c>
      <c r="C102">
        <v>80.7</v>
      </c>
    </row>
    <row r="103" spans="1:3" x14ac:dyDescent="0.35">
      <c r="A103" s="120">
        <v>45209</v>
      </c>
      <c r="B103">
        <v>0</v>
      </c>
      <c r="C103">
        <v>78.900000000000006</v>
      </c>
    </row>
    <row r="104" spans="1:3" x14ac:dyDescent="0.35">
      <c r="A104" s="120">
        <v>45210</v>
      </c>
      <c r="B104">
        <v>0.28299999999999997</v>
      </c>
      <c r="C104">
        <v>71.599999999999994</v>
      </c>
    </row>
    <row r="105" spans="1:3" x14ac:dyDescent="0.35">
      <c r="A105" s="120">
        <v>45211</v>
      </c>
      <c r="B105">
        <v>0</v>
      </c>
      <c r="C105">
        <v>78.900000000000006</v>
      </c>
    </row>
    <row r="106" spans="1:3" x14ac:dyDescent="0.35">
      <c r="A106" s="120">
        <v>45212</v>
      </c>
      <c r="B106">
        <v>0</v>
      </c>
      <c r="C106">
        <v>88.8</v>
      </c>
    </row>
    <row r="107" spans="1:3" x14ac:dyDescent="0.35">
      <c r="A107" s="120">
        <v>45213</v>
      </c>
      <c r="B107">
        <v>0</v>
      </c>
      <c r="C107">
        <v>78.7</v>
      </c>
    </row>
    <row r="108" spans="1:3" x14ac:dyDescent="0.35">
      <c r="A108" s="120">
        <v>45214</v>
      </c>
      <c r="B108">
        <v>0</v>
      </c>
      <c r="C108">
        <v>70</v>
      </c>
    </row>
    <row r="109" spans="1:3" x14ac:dyDescent="0.35">
      <c r="A109" s="120">
        <v>45215</v>
      </c>
      <c r="B109">
        <v>0</v>
      </c>
      <c r="C109">
        <v>66.400000000000006</v>
      </c>
    </row>
    <row r="110" spans="1:3" x14ac:dyDescent="0.35">
      <c r="A110" s="120">
        <v>45216</v>
      </c>
      <c r="B110">
        <v>0</v>
      </c>
      <c r="C110">
        <v>72.7</v>
      </c>
    </row>
    <row r="111" spans="1:3" x14ac:dyDescent="0.35">
      <c r="A111" s="120">
        <v>45217</v>
      </c>
      <c r="B111">
        <v>0</v>
      </c>
      <c r="C111">
        <v>79</v>
      </c>
    </row>
    <row r="112" spans="1:3" x14ac:dyDescent="0.35">
      <c r="A112" s="120">
        <v>45218</v>
      </c>
      <c r="B112">
        <v>0</v>
      </c>
      <c r="C112">
        <v>84.3</v>
      </c>
    </row>
    <row r="113" spans="1:3" x14ac:dyDescent="0.35">
      <c r="A113" s="120">
        <v>45219</v>
      </c>
      <c r="B113">
        <v>0</v>
      </c>
      <c r="C113">
        <v>89.7</v>
      </c>
    </row>
    <row r="114" spans="1:3" x14ac:dyDescent="0.35">
      <c r="A114" s="120">
        <v>45220</v>
      </c>
      <c r="B114">
        <v>0</v>
      </c>
      <c r="C114">
        <v>89.7</v>
      </c>
    </row>
    <row r="115" spans="1:3" x14ac:dyDescent="0.35">
      <c r="A115" s="120">
        <v>45221</v>
      </c>
      <c r="B115">
        <v>0</v>
      </c>
      <c r="C115">
        <v>84.3</v>
      </c>
    </row>
    <row r="116" spans="1:3" x14ac:dyDescent="0.35">
      <c r="A116" s="120">
        <v>45222</v>
      </c>
      <c r="B116">
        <v>4.4999999999999998E-2</v>
      </c>
      <c r="C116">
        <v>85.1</v>
      </c>
    </row>
    <row r="117" spans="1:3" x14ac:dyDescent="0.35">
      <c r="A117" s="120">
        <v>45223</v>
      </c>
      <c r="B117">
        <v>0</v>
      </c>
      <c r="C117">
        <v>82.7</v>
      </c>
    </row>
    <row r="118" spans="1:3" x14ac:dyDescent="0.35">
      <c r="A118" s="120">
        <v>45224</v>
      </c>
      <c r="B118">
        <v>0</v>
      </c>
      <c r="C118">
        <v>85.6</v>
      </c>
    </row>
    <row r="119" spans="1:3" x14ac:dyDescent="0.35">
      <c r="A119" s="120">
        <v>45225</v>
      </c>
      <c r="B119">
        <v>0.51600000000000001</v>
      </c>
      <c r="C119">
        <v>81.5</v>
      </c>
    </row>
    <row r="120" spans="1:3" x14ac:dyDescent="0.35">
      <c r="A120" s="120">
        <v>45226</v>
      </c>
      <c r="B120">
        <v>4.0000000000000001E-3</v>
      </c>
      <c r="C120">
        <v>85.3</v>
      </c>
    </row>
    <row r="121" spans="1:3" x14ac:dyDescent="0.35">
      <c r="A121" s="120">
        <v>45227</v>
      </c>
      <c r="B121">
        <v>0</v>
      </c>
      <c r="C121">
        <v>84.3</v>
      </c>
    </row>
    <row r="122" spans="1:3" x14ac:dyDescent="0.35">
      <c r="A122" s="120">
        <v>45228</v>
      </c>
      <c r="B122">
        <v>1.0999999999999999E-2</v>
      </c>
      <c r="C122">
        <v>86</v>
      </c>
    </row>
    <row r="123" spans="1:3" x14ac:dyDescent="0.35">
      <c r="A123" s="120">
        <v>45229</v>
      </c>
      <c r="B123">
        <v>0</v>
      </c>
      <c r="C123">
        <v>54.7</v>
      </c>
    </row>
    <row r="124" spans="1:3" x14ac:dyDescent="0.35">
      <c r="A124" s="120">
        <v>45230</v>
      </c>
      <c r="B124">
        <v>8.0000000000000002E-3</v>
      </c>
      <c r="C124">
        <v>58.1</v>
      </c>
    </row>
    <row r="125" spans="1:3" x14ac:dyDescent="0.35">
      <c r="A125" s="120">
        <v>45231</v>
      </c>
      <c r="B125">
        <v>0</v>
      </c>
      <c r="C125">
        <v>59.2</v>
      </c>
    </row>
    <row r="126" spans="1:3" x14ac:dyDescent="0.35">
      <c r="A126" s="120">
        <v>45232</v>
      </c>
      <c r="B126">
        <v>0</v>
      </c>
      <c r="C126">
        <v>66.2</v>
      </c>
    </row>
    <row r="127" spans="1:3" x14ac:dyDescent="0.35">
      <c r="A127" s="120">
        <v>45233</v>
      </c>
      <c r="B127">
        <v>0</v>
      </c>
      <c r="C127">
        <v>74.2</v>
      </c>
    </row>
    <row r="128" spans="1:3" x14ac:dyDescent="0.35">
      <c r="A128" s="120">
        <v>45234</v>
      </c>
      <c r="B128">
        <v>0</v>
      </c>
      <c r="C128">
        <v>77.2</v>
      </c>
    </row>
    <row r="129" spans="1:3" x14ac:dyDescent="0.35">
      <c r="A129" s="120">
        <v>45235</v>
      </c>
      <c r="B129">
        <v>0</v>
      </c>
      <c r="C129">
        <v>80.7</v>
      </c>
    </row>
    <row r="130" spans="1:3" x14ac:dyDescent="0.35">
      <c r="A130" s="120">
        <v>45236</v>
      </c>
      <c r="B130">
        <v>0</v>
      </c>
      <c r="C130">
        <v>80</v>
      </c>
    </row>
    <row r="131" spans="1:3" x14ac:dyDescent="0.35">
      <c r="A131" s="120">
        <v>45237</v>
      </c>
      <c r="B131">
        <v>0</v>
      </c>
      <c r="C131">
        <v>83.3</v>
      </c>
    </row>
    <row r="132" spans="1:3" x14ac:dyDescent="0.35">
      <c r="A132" s="120">
        <v>45238</v>
      </c>
      <c r="B132">
        <v>0</v>
      </c>
      <c r="C132">
        <v>81.8</v>
      </c>
    </row>
    <row r="133" spans="1:3" x14ac:dyDescent="0.35">
      <c r="A133" s="120">
        <v>45239</v>
      </c>
      <c r="B133">
        <v>0.56599999999999995</v>
      </c>
      <c r="C133">
        <v>81.5</v>
      </c>
    </row>
    <row r="134" spans="1:3" x14ac:dyDescent="0.35">
      <c r="A134" s="120">
        <v>45240</v>
      </c>
      <c r="B134">
        <v>0.14299999999999999</v>
      </c>
      <c r="C134">
        <v>68.099999999999994</v>
      </c>
    </row>
    <row r="135" spans="1:3" x14ac:dyDescent="0.35">
      <c r="A135" s="120">
        <v>45241</v>
      </c>
      <c r="B135">
        <v>0</v>
      </c>
      <c r="C135">
        <v>60.4</v>
      </c>
    </row>
    <row r="136" spans="1:3" x14ac:dyDescent="0.35">
      <c r="A136" s="120">
        <v>45242</v>
      </c>
      <c r="B136">
        <v>8.4000000000000005E-2</v>
      </c>
      <c r="C136">
        <v>64.5</v>
      </c>
    </row>
    <row r="137" spans="1:3" x14ac:dyDescent="0.35">
      <c r="A137" s="120">
        <v>45243</v>
      </c>
      <c r="B137">
        <v>0.60599999999999998</v>
      </c>
      <c r="C137">
        <v>61.1</v>
      </c>
    </row>
    <row r="138" spans="1:3" x14ac:dyDescent="0.35">
      <c r="A138" s="120">
        <v>45244</v>
      </c>
      <c r="B138">
        <v>0</v>
      </c>
      <c r="C138">
        <v>69.8</v>
      </c>
    </row>
    <row r="139" spans="1:3" x14ac:dyDescent="0.35">
      <c r="A139" s="120">
        <v>45245</v>
      </c>
      <c r="B139">
        <v>0</v>
      </c>
      <c r="C139">
        <v>71.7</v>
      </c>
    </row>
    <row r="140" spans="1:3" x14ac:dyDescent="0.35">
      <c r="A140" s="120">
        <v>45246</v>
      </c>
      <c r="B140">
        <v>0</v>
      </c>
      <c r="C140">
        <v>62.7</v>
      </c>
    </row>
    <row r="141" spans="1:3" x14ac:dyDescent="0.35">
      <c r="A141" s="120">
        <v>45247</v>
      </c>
      <c r="B141">
        <v>0</v>
      </c>
      <c r="C141">
        <v>76.3</v>
      </c>
    </row>
    <row r="142" spans="1:3" x14ac:dyDescent="0.35">
      <c r="A142" s="120">
        <v>45248</v>
      </c>
      <c r="B142">
        <v>0</v>
      </c>
      <c r="C142">
        <v>73.7</v>
      </c>
    </row>
    <row r="143" spans="1:3" x14ac:dyDescent="0.35">
      <c r="A143" s="120">
        <v>45249</v>
      </c>
      <c r="B143">
        <v>0</v>
      </c>
      <c r="C143">
        <v>71.7</v>
      </c>
    </row>
    <row r="144" spans="1:3" x14ac:dyDescent="0.35">
      <c r="A144" s="120">
        <v>45250</v>
      </c>
      <c r="B144">
        <v>5.7000000000000002E-2</v>
      </c>
      <c r="C144">
        <v>77.099999999999994</v>
      </c>
    </row>
    <row r="145" spans="1:3" x14ac:dyDescent="0.35">
      <c r="A145" s="120">
        <v>45251</v>
      </c>
      <c r="B145">
        <v>0</v>
      </c>
      <c r="C145">
        <v>64.400000000000006</v>
      </c>
    </row>
    <row r="146" spans="1:3" x14ac:dyDescent="0.35">
      <c r="A146" s="120">
        <v>45252</v>
      </c>
      <c r="B146">
        <v>0</v>
      </c>
      <c r="C146">
        <v>55.6</v>
      </c>
    </row>
    <row r="147" spans="1:3" x14ac:dyDescent="0.35">
      <c r="A147" s="120">
        <v>45253</v>
      </c>
      <c r="B147">
        <v>0</v>
      </c>
      <c r="C147">
        <v>55.5</v>
      </c>
    </row>
    <row r="148" spans="1:3" x14ac:dyDescent="0.35">
      <c r="A148" s="120">
        <v>45254</v>
      </c>
      <c r="B148">
        <v>0</v>
      </c>
      <c r="C148">
        <v>64.5</v>
      </c>
    </row>
    <row r="149" spans="1:3" x14ac:dyDescent="0.35">
      <c r="A149" s="120">
        <v>45255</v>
      </c>
      <c r="B149">
        <v>0</v>
      </c>
      <c r="C149">
        <v>64.5</v>
      </c>
    </row>
    <row r="150" spans="1:3" x14ac:dyDescent="0.35">
      <c r="A150" s="120">
        <v>45256</v>
      </c>
      <c r="B150">
        <v>1.0999999999999999E-2</v>
      </c>
      <c r="C150">
        <v>60.9</v>
      </c>
    </row>
    <row r="151" spans="1:3" x14ac:dyDescent="0.35">
      <c r="A151" s="120">
        <v>45257</v>
      </c>
      <c r="B151">
        <v>0</v>
      </c>
      <c r="C151">
        <v>55.6</v>
      </c>
    </row>
    <row r="152" spans="1:3" x14ac:dyDescent="0.35">
      <c r="A152" s="120">
        <v>45258</v>
      </c>
      <c r="B152">
        <v>0</v>
      </c>
      <c r="C152">
        <v>60.8</v>
      </c>
    </row>
    <row r="153" spans="1:3" x14ac:dyDescent="0.35">
      <c r="A153" s="120">
        <v>45259</v>
      </c>
      <c r="B153">
        <v>0</v>
      </c>
      <c r="C153">
        <v>65.599999999999994</v>
      </c>
    </row>
    <row r="154" spans="1:3" x14ac:dyDescent="0.35">
      <c r="A154" s="120">
        <v>45260</v>
      </c>
      <c r="B154">
        <v>0.70099999999999996</v>
      </c>
      <c r="C154">
        <v>71.599999999999994</v>
      </c>
    </row>
    <row r="155" spans="1:3" x14ac:dyDescent="0.35">
      <c r="A155" s="120">
        <v>45261</v>
      </c>
      <c r="B155">
        <v>0.01</v>
      </c>
      <c r="C155">
        <v>71.7</v>
      </c>
    </row>
    <row r="156" spans="1:3" x14ac:dyDescent="0.35">
      <c r="A156" s="120">
        <v>45262</v>
      </c>
      <c r="B156">
        <v>0</v>
      </c>
      <c r="C156">
        <v>65.5</v>
      </c>
    </row>
    <row r="157" spans="1:3" x14ac:dyDescent="0.35">
      <c r="A157" s="120">
        <v>45263</v>
      </c>
      <c r="B157">
        <v>0</v>
      </c>
      <c r="C157">
        <v>69.900000000000006</v>
      </c>
    </row>
    <row r="158" spans="1:3" x14ac:dyDescent="0.35">
      <c r="A158" s="120">
        <v>45264</v>
      </c>
      <c r="B158">
        <v>0</v>
      </c>
      <c r="C158">
        <v>68.2</v>
      </c>
    </row>
    <row r="159" spans="1:3" x14ac:dyDescent="0.35">
      <c r="A159" s="120">
        <v>45265</v>
      </c>
      <c r="B159">
        <v>0</v>
      </c>
      <c r="C159">
        <v>69.8</v>
      </c>
    </row>
    <row r="160" spans="1:3" x14ac:dyDescent="0.35">
      <c r="A160" s="120">
        <v>45266</v>
      </c>
      <c r="B160">
        <v>0</v>
      </c>
      <c r="C160">
        <v>65.400000000000006</v>
      </c>
    </row>
    <row r="161" spans="1:3" x14ac:dyDescent="0.35">
      <c r="A161" s="120">
        <v>45267</v>
      </c>
      <c r="B161">
        <v>0</v>
      </c>
      <c r="C161">
        <v>68.900000000000006</v>
      </c>
    </row>
    <row r="162" spans="1:3" x14ac:dyDescent="0.35">
      <c r="A162" s="120">
        <v>45268</v>
      </c>
      <c r="B162">
        <v>3.1E-2</v>
      </c>
      <c r="C162">
        <v>75.3</v>
      </c>
    </row>
    <row r="163" spans="1:3" x14ac:dyDescent="0.35">
      <c r="A163" s="120">
        <v>45269</v>
      </c>
      <c r="B163">
        <v>0.35799999999999998</v>
      </c>
      <c r="C163">
        <v>78.900000000000006</v>
      </c>
    </row>
    <row r="164" spans="1:3" x14ac:dyDescent="0.35">
      <c r="A164" s="120">
        <v>45270</v>
      </c>
      <c r="B164">
        <v>6.0000000000000001E-3</v>
      </c>
      <c r="C164">
        <v>60.8</v>
      </c>
    </row>
    <row r="165" spans="1:3" x14ac:dyDescent="0.35">
      <c r="A165" s="120">
        <v>45271</v>
      </c>
      <c r="B165">
        <v>0</v>
      </c>
      <c r="C165">
        <v>62.7</v>
      </c>
    </row>
    <row r="166" spans="1:3" x14ac:dyDescent="0.35">
      <c r="A166" s="120">
        <v>45272</v>
      </c>
      <c r="B166">
        <v>0</v>
      </c>
      <c r="C166">
        <v>66.2</v>
      </c>
    </row>
    <row r="167" spans="1:3" x14ac:dyDescent="0.35">
      <c r="A167" s="120">
        <v>45273</v>
      </c>
      <c r="B167">
        <v>1.0999999999999999E-2</v>
      </c>
      <c r="C167">
        <v>59.1</v>
      </c>
    </row>
    <row r="168" spans="1:3" x14ac:dyDescent="0.35">
      <c r="A168" s="120">
        <v>45274</v>
      </c>
      <c r="B168">
        <v>0</v>
      </c>
      <c r="C168">
        <v>68.099999999999994</v>
      </c>
    </row>
    <row r="169" spans="1:3" x14ac:dyDescent="0.35">
      <c r="A169" s="120">
        <v>45275</v>
      </c>
      <c r="B169">
        <v>0.29699999999999999</v>
      </c>
      <c r="C169">
        <v>64.400000000000006</v>
      </c>
    </row>
    <row r="170" spans="1:3" x14ac:dyDescent="0.35">
      <c r="A170" s="120">
        <v>45276</v>
      </c>
      <c r="B170">
        <v>3.7999999999999999E-2</v>
      </c>
      <c r="C170">
        <v>62.6</v>
      </c>
    </row>
    <row r="171" spans="1:3" x14ac:dyDescent="0.35">
      <c r="A171" s="120">
        <v>45277</v>
      </c>
      <c r="B171">
        <v>0</v>
      </c>
      <c r="C171">
        <v>66.3</v>
      </c>
    </row>
    <row r="172" spans="1:3" x14ac:dyDescent="0.35">
      <c r="A172" s="120">
        <v>45278</v>
      </c>
      <c r="B172">
        <v>0</v>
      </c>
      <c r="C172">
        <v>70</v>
      </c>
    </row>
    <row r="173" spans="1:3" x14ac:dyDescent="0.35">
      <c r="A173" s="120">
        <v>45279</v>
      </c>
      <c r="B173">
        <v>0</v>
      </c>
      <c r="C173">
        <v>62.7</v>
      </c>
    </row>
    <row r="174" spans="1:3" x14ac:dyDescent="0.35">
      <c r="A174" s="120">
        <v>45280</v>
      </c>
      <c r="B174">
        <v>0</v>
      </c>
      <c r="C174">
        <v>66.3</v>
      </c>
    </row>
    <row r="175" spans="1:3" x14ac:dyDescent="0.35">
      <c r="A175" s="120">
        <v>45281</v>
      </c>
      <c r="B175">
        <v>0</v>
      </c>
      <c r="C175">
        <v>63.5</v>
      </c>
    </row>
    <row r="176" spans="1:3" x14ac:dyDescent="0.35">
      <c r="A176" s="120">
        <v>45282</v>
      </c>
      <c r="B176">
        <v>1E-3</v>
      </c>
      <c r="C176">
        <v>69.900000000000006</v>
      </c>
    </row>
    <row r="177" spans="1:3" x14ac:dyDescent="0.35">
      <c r="A177" s="120">
        <v>45283</v>
      </c>
      <c r="B177">
        <v>6.2E-2</v>
      </c>
      <c r="C177">
        <v>71.7</v>
      </c>
    </row>
    <row r="178" spans="1:3" x14ac:dyDescent="0.35">
      <c r="A178" s="120">
        <v>45284</v>
      </c>
      <c r="B178">
        <v>0.33</v>
      </c>
      <c r="C178">
        <v>66.3</v>
      </c>
    </row>
    <row r="179" spans="1:3" x14ac:dyDescent="0.35">
      <c r="A179" s="120">
        <v>45285</v>
      </c>
      <c r="B179">
        <v>0</v>
      </c>
      <c r="C179">
        <v>60.6</v>
      </c>
    </row>
    <row r="180" spans="1:3" x14ac:dyDescent="0.35">
      <c r="A180" s="120">
        <v>45286</v>
      </c>
      <c r="B180">
        <v>0</v>
      </c>
      <c r="C180">
        <v>55.5</v>
      </c>
    </row>
    <row r="181" spans="1:3" x14ac:dyDescent="0.35">
      <c r="A181" s="120">
        <v>45287</v>
      </c>
      <c r="B181">
        <v>0</v>
      </c>
      <c r="C181">
        <v>63.5</v>
      </c>
    </row>
    <row r="182" spans="1:3" x14ac:dyDescent="0.35">
      <c r="A182" s="120">
        <v>45288</v>
      </c>
      <c r="B182">
        <v>0</v>
      </c>
      <c r="C182">
        <v>55.6</v>
      </c>
    </row>
    <row r="183" spans="1:3" x14ac:dyDescent="0.35">
      <c r="A183" s="120">
        <v>45289</v>
      </c>
      <c r="B183">
        <v>0</v>
      </c>
      <c r="C183">
        <v>53.7</v>
      </c>
    </row>
    <row r="184" spans="1:3" x14ac:dyDescent="0.35">
      <c r="A184" s="120">
        <v>45290</v>
      </c>
      <c r="B184">
        <v>0</v>
      </c>
      <c r="C184">
        <v>64.5</v>
      </c>
    </row>
    <row r="185" spans="1:3" x14ac:dyDescent="0.35">
      <c r="A185" s="120">
        <v>45291</v>
      </c>
      <c r="B185">
        <v>0</v>
      </c>
      <c r="C185">
        <v>70.900000000000006</v>
      </c>
    </row>
    <row r="186" spans="1:3" x14ac:dyDescent="0.35">
      <c r="A186" s="120">
        <v>45292</v>
      </c>
      <c r="B186">
        <v>1.008</v>
      </c>
      <c r="C186">
        <v>64.3</v>
      </c>
    </row>
    <row r="187" spans="1:3" x14ac:dyDescent="0.35">
      <c r="A187" s="120">
        <v>45293</v>
      </c>
      <c r="B187">
        <v>0.30499999999999999</v>
      </c>
      <c r="C187">
        <v>51.9</v>
      </c>
    </row>
    <row r="188" spans="1:3" x14ac:dyDescent="0.35">
      <c r="A188" s="120">
        <v>45294</v>
      </c>
      <c r="B188">
        <v>0.71399999999999997</v>
      </c>
      <c r="C188">
        <v>57.2</v>
      </c>
    </row>
    <row r="189" spans="1:3" x14ac:dyDescent="0.35">
      <c r="A189" s="120">
        <v>45295</v>
      </c>
      <c r="B189">
        <v>0</v>
      </c>
      <c r="C189">
        <v>59.1</v>
      </c>
    </row>
    <row r="190" spans="1:3" x14ac:dyDescent="0.35">
      <c r="A190" s="120">
        <v>45296</v>
      </c>
      <c r="B190">
        <v>1.109</v>
      </c>
      <c r="C190">
        <v>60.9</v>
      </c>
    </row>
    <row r="191" spans="1:3" x14ac:dyDescent="0.35">
      <c r="A191" s="120">
        <v>45297</v>
      </c>
      <c r="B191">
        <v>0</v>
      </c>
      <c r="C191">
        <v>60.9</v>
      </c>
    </row>
    <row r="192" spans="1:3" x14ac:dyDescent="0.35">
      <c r="A192" s="120">
        <v>45298</v>
      </c>
      <c r="B192">
        <v>0</v>
      </c>
      <c r="C192">
        <v>59.1</v>
      </c>
    </row>
    <row r="193" spans="1:3" x14ac:dyDescent="0.35">
      <c r="A193" s="120">
        <v>45299</v>
      </c>
      <c r="B193">
        <v>0.46200000000000002</v>
      </c>
      <c r="C193">
        <v>73.400000000000006</v>
      </c>
    </row>
    <row r="194" spans="1:3" x14ac:dyDescent="0.35">
      <c r="A194" s="120">
        <v>45300</v>
      </c>
      <c r="B194">
        <v>1.4999999999999999E-2</v>
      </c>
      <c r="C194">
        <v>55.4</v>
      </c>
    </row>
    <row r="195" spans="1:3" x14ac:dyDescent="0.35">
      <c r="A195" s="120">
        <v>45301</v>
      </c>
      <c r="B195">
        <v>0</v>
      </c>
      <c r="C195">
        <v>66.3</v>
      </c>
    </row>
    <row r="196" spans="1:3" x14ac:dyDescent="0.35">
      <c r="A196" s="120">
        <v>45302</v>
      </c>
      <c r="B196">
        <v>0</v>
      </c>
      <c r="C196">
        <v>73.5</v>
      </c>
    </row>
    <row r="197" spans="1:3" x14ac:dyDescent="0.35">
      <c r="A197" s="120">
        <v>45303</v>
      </c>
      <c r="B197">
        <v>0</v>
      </c>
      <c r="C197">
        <v>69.8</v>
      </c>
    </row>
    <row r="198" spans="1:3" x14ac:dyDescent="0.35">
      <c r="A198" s="120">
        <v>45304</v>
      </c>
      <c r="B198">
        <v>0</v>
      </c>
      <c r="C198">
        <v>62.6</v>
      </c>
    </row>
    <row r="199" spans="1:3" x14ac:dyDescent="0.35">
      <c r="A199" s="120">
        <v>45305</v>
      </c>
      <c r="B199">
        <v>0</v>
      </c>
      <c r="C199">
        <v>55.3</v>
      </c>
    </row>
    <row r="200" spans="1:3" x14ac:dyDescent="0.35">
      <c r="A200" s="120">
        <v>45306</v>
      </c>
      <c r="B200">
        <v>2E-3</v>
      </c>
      <c r="C200">
        <v>32.200000000000003</v>
      </c>
    </row>
    <row r="201" spans="1:3" x14ac:dyDescent="0.35">
      <c r="A201" s="120">
        <v>45307</v>
      </c>
      <c r="B201">
        <v>0</v>
      </c>
      <c r="C201">
        <v>30.3</v>
      </c>
    </row>
    <row r="202" spans="1:3" x14ac:dyDescent="0.35">
      <c r="A202" s="120">
        <v>45308</v>
      </c>
      <c r="B202">
        <v>0</v>
      </c>
      <c r="C202">
        <v>42.8</v>
      </c>
    </row>
    <row r="203" spans="1:3" x14ac:dyDescent="0.35">
      <c r="A203" s="120">
        <v>45309</v>
      </c>
      <c r="B203">
        <v>0</v>
      </c>
      <c r="C203">
        <v>62.6</v>
      </c>
    </row>
    <row r="204" spans="1:3" x14ac:dyDescent="0.35">
      <c r="A204" s="120">
        <v>45310</v>
      </c>
      <c r="B204">
        <v>0</v>
      </c>
      <c r="C204">
        <v>60.4</v>
      </c>
    </row>
    <row r="205" spans="1:3" x14ac:dyDescent="0.35">
      <c r="A205" s="120">
        <v>45311</v>
      </c>
      <c r="B205">
        <v>0</v>
      </c>
      <c r="C205">
        <v>44.7</v>
      </c>
    </row>
    <row r="206" spans="1:3" x14ac:dyDescent="0.35">
      <c r="A206" s="120">
        <v>45312</v>
      </c>
      <c r="B206">
        <v>3.1E-2</v>
      </c>
      <c r="C206">
        <v>42.8</v>
      </c>
    </row>
    <row r="207" spans="1:3" x14ac:dyDescent="0.35">
      <c r="A207" s="120">
        <v>45313</v>
      </c>
      <c r="B207">
        <v>0.85299999999999998</v>
      </c>
      <c r="C207">
        <v>64.400000000000006</v>
      </c>
    </row>
    <row r="208" spans="1:3" x14ac:dyDescent="0.35">
      <c r="A208" s="120">
        <v>45314</v>
      </c>
      <c r="B208">
        <v>0.315</v>
      </c>
      <c r="C208">
        <v>69.8</v>
      </c>
    </row>
    <row r="209" spans="1:3" x14ac:dyDescent="0.35">
      <c r="A209" s="120">
        <v>45315</v>
      </c>
      <c r="B209">
        <v>1.1879999999999999</v>
      </c>
      <c r="C209">
        <v>68</v>
      </c>
    </row>
    <row r="210" spans="1:3" x14ac:dyDescent="0.35">
      <c r="A210" s="120">
        <v>45316</v>
      </c>
      <c r="B210">
        <v>0.497</v>
      </c>
      <c r="C210">
        <v>69.900000000000006</v>
      </c>
    </row>
    <row r="211" spans="1:3" x14ac:dyDescent="0.35">
      <c r="A211" s="120">
        <v>45317</v>
      </c>
      <c r="B211">
        <v>0.71699999999999997</v>
      </c>
      <c r="C211">
        <v>62.6</v>
      </c>
    </row>
    <row r="212" spans="1:3" x14ac:dyDescent="0.35">
      <c r="A212" s="120">
        <v>45318</v>
      </c>
      <c r="B212">
        <v>0</v>
      </c>
      <c r="C212">
        <v>59.1</v>
      </c>
    </row>
    <row r="213" spans="1:3" x14ac:dyDescent="0.35">
      <c r="A213" s="120">
        <v>45319</v>
      </c>
      <c r="B213">
        <v>0</v>
      </c>
      <c r="C213">
        <v>60.9</v>
      </c>
    </row>
    <row r="214" spans="1:3" x14ac:dyDescent="0.35">
      <c r="A214" s="120">
        <v>45320</v>
      </c>
      <c r="B214">
        <v>0</v>
      </c>
      <c r="C214">
        <v>68</v>
      </c>
    </row>
    <row r="215" spans="1:3" x14ac:dyDescent="0.35">
      <c r="A215" s="120">
        <v>45321</v>
      </c>
      <c r="B215">
        <v>0</v>
      </c>
      <c r="C215">
        <v>69.900000000000006</v>
      </c>
    </row>
    <row r="216" spans="1:3" x14ac:dyDescent="0.35">
      <c r="A216" s="120">
        <v>45322</v>
      </c>
      <c r="B216">
        <v>0</v>
      </c>
      <c r="C216">
        <v>73.400000000000006</v>
      </c>
    </row>
    <row r="217" spans="1:3" x14ac:dyDescent="0.35">
      <c r="A217" s="120">
        <v>45323</v>
      </c>
      <c r="B217">
        <v>0</v>
      </c>
      <c r="C217">
        <v>68.099999999999994</v>
      </c>
    </row>
    <row r="218" spans="1:3" x14ac:dyDescent="0.35">
      <c r="A218" s="120">
        <v>45324</v>
      </c>
      <c r="B218">
        <v>1E-3</v>
      </c>
      <c r="C218">
        <v>71.7</v>
      </c>
    </row>
    <row r="219" spans="1:3" x14ac:dyDescent="0.35">
      <c r="A219" s="120">
        <v>45325</v>
      </c>
      <c r="B219">
        <v>1.2729999999999999</v>
      </c>
      <c r="C219">
        <v>69.8</v>
      </c>
    </row>
    <row r="220" spans="1:3" x14ac:dyDescent="0.35">
      <c r="A220" s="120">
        <v>45326</v>
      </c>
      <c r="B220">
        <v>0</v>
      </c>
      <c r="C220">
        <v>68.099999999999994</v>
      </c>
    </row>
    <row r="221" spans="1:3" x14ac:dyDescent="0.35">
      <c r="A221" s="120">
        <v>45327</v>
      </c>
      <c r="B221">
        <v>0</v>
      </c>
      <c r="C221">
        <v>62.7</v>
      </c>
    </row>
    <row r="222" spans="1:3" x14ac:dyDescent="0.35">
      <c r="A222" s="120">
        <v>45328</v>
      </c>
      <c r="B222">
        <v>0</v>
      </c>
      <c r="C222">
        <v>69.900000000000006</v>
      </c>
    </row>
    <row r="223" spans="1:3" x14ac:dyDescent="0.35">
      <c r="A223" s="120">
        <v>45329</v>
      </c>
      <c r="B223">
        <v>0</v>
      </c>
      <c r="C223">
        <v>68.099999999999994</v>
      </c>
    </row>
    <row r="224" spans="1:3" x14ac:dyDescent="0.35">
      <c r="A224" s="120">
        <v>45330</v>
      </c>
      <c r="B224">
        <v>0</v>
      </c>
      <c r="C224">
        <v>73.400000000000006</v>
      </c>
    </row>
    <row r="225" spans="1:3" x14ac:dyDescent="0.35">
      <c r="A225" s="120">
        <v>45331</v>
      </c>
      <c r="B225">
        <v>0</v>
      </c>
      <c r="C225">
        <v>75.3</v>
      </c>
    </row>
    <row r="226" spans="1:3" x14ac:dyDescent="0.35">
      <c r="A226" s="120">
        <v>45332</v>
      </c>
      <c r="B226">
        <v>3.7999999999999999E-2</v>
      </c>
      <c r="C226">
        <v>73.400000000000006</v>
      </c>
    </row>
    <row r="227" spans="1:3" x14ac:dyDescent="0.35">
      <c r="A227" s="120">
        <v>45333</v>
      </c>
      <c r="B227">
        <v>0.03</v>
      </c>
      <c r="C227">
        <v>75.3</v>
      </c>
    </row>
    <row r="228" spans="1:3" x14ac:dyDescent="0.35">
      <c r="A228" s="120">
        <v>45334</v>
      </c>
      <c r="B228">
        <v>0</v>
      </c>
      <c r="C228">
        <v>59.1</v>
      </c>
    </row>
    <row r="229" spans="1:3" x14ac:dyDescent="0.35">
      <c r="A229" s="120">
        <v>45335</v>
      </c>
      <c r="B229">
        <v>0</v>
      </c>
      <c r="C229">
        <v>66.3</v>
      </c>
    </row>
    <row r="230" spans="1:3" x14ac:dyDescent="0.35">
      <c r="A230" s="120">
        <v>45336</v>
      </c>
      <c r="B230">
        <v>0</v>
      </c>
      <c r="C230">
        <v>64.400000000000006</v>
      </c>
    </row>
    <row r="231" spans="1:3" x14ac:dyDescent="0.35">
      <c r="A231" s="120">
        <v>45337</v>
      </c>
      <c r="B231">
        <v>0</v>
      </c>
      <c r="C231">
        <v>71.599999999999994</v>
      </c>
    </row>
    <row r="232" spans="1:3" x14ac:dyDescent="0.35">
      <c r="A232" s="120">
        <v>45338</v>
      </c>
      <c r="B232">
        <v>0.06</v>
      </c>
      <c r="C232">
        <v>66.3</v>
      </c>
    </row>
    <row r="233" spans="1:3" x14ac:dyDescent="0.35">
      <c r="A233" s="120">
        <v>45339</v>
      </c>
      <c r="B233">
        <v>0</v>
      </c>
      <c r="C233">
        <v>62.6</v>
      </c>
    </row>
    <row r="234" spans="1:3" x14ac:dyDescent="0.35">
      <c r="A234" s="120">
        <v>45340</v>
      </c>
      <c r="B234">
        <v>0</v>
      </c>
      <c r="C234">
        <v>55.5</v>
      </c>
    </row>
    <row r="235" spans="1:3" x14ac:dyDescent="0.35">
      <c r="A235" s="120">
        <v>45341</v>
      </c>
      <c r="B235">
        <v>0</v>
      </c>
      <c r="C235">
        <v>64.400000000000006</v>
      </c>
    </row>
    <row r="236" spans="1:3" x14ac:dyDescent="0.35">
      <c r="A236" s="120">
        <v>45342</v>
      </c>
      <c r="B236">
        <v>0</v>
      </c>
      <c r="C236">
        <v>75.3</v>
      </c>
    </row>
    <row r="237" spans="1:3" x14ac:dyDescent="0.35">
      <c r="A237" s="120">
        <v>45343</v>
      </c>
      <c r="B237">
        <v>0</v>
      </c>
      <c r="C237">
        <v>73.5</v>
      </c>
    </row>
    <row r="238" spans="1:3" x14ac:dyDescent="0.35">
      <c r="A238" s="120">
        <v>45344</v>
      </c>
      <c r="B238">
        <v>0</v>
      </c>
      <c r="C238">
        <v>73.5</v>
      </c>
    </row>
    <row r="239" spans="1:3" x14ac:dyDescent="0.35">
      <c r="A239" s="120">
        <v>45345</v>
      </c>
      <c r="B239">
        <v>0</v>
      </c>
      <c r="C239">
        <v>75.3</v>
      </c>
    </row>
    <row r="240" spans="1:3" x14ac:dyDescent="0.35">
      <c r="A240" s="120">
        <v>45346</v>
      </c>
      <c r="B240">
        <v>0</v>
      </c>
      <c r="C240">
        <v>78.8</v>
      </c>
    </row>
    <row r="241" spans="1:3" x14ac:dyDescent="0.35">
      <c r="A241" s="120">
        <v>45347</v>
      </c>
      <c r="B241">
        <v>0</v>
      </c>
      <c r="C241">
        <v>77.099999999999994</v>
      </c>
    </row>
    <row r="242" spans="1:3" x14ac:dyDescent="0.35">
      <c r="A242" s="120">
        <v>45348</v>
      </c>
      <c r="B242">
        <v>0</v>
      </c>
      <c r="C242">
        <v>77.099999999999994</v>
      </c>
    </row>
    <row r="243" spans="1:3" x14ac:dyDescent="0.35">
      <c r="A243" s="120">
        <v>45349</v>
      </c>
      <c r="B243">
        <v>0</v>
      </c>
      <c r="C243">
        <v>80.7</v>
      </c>
    </row>
    <row r="244" spans="1:3" x14ac:dyDescent="0.35">
      <c r="A244" s="120">
        <v>45350</v>
      </c>
      <c r="B244">
        <v>0</v>
      </c>
      <c r="C244">
        <v>71.599999999999994</v>
      </c>
    </row>
    <row r="245" spans="1:3" x14ac:dyDescent="0.35">
      <c r="A245" s="120">
        <v>45351</v>
      </c>
      <c r="B245">
        <v>0</v>
      </c>
      <c r="C245">
        <v>55.5</v>
      </c>
    </row>
    <row r="246" spans="1:3" x14ac:dyDescent="0.35">
      <c r="A246" s="120">
        <v>45352</v>
      </c>
      <c r="B246">
        <v>0</v>
      </c>
      <c r="C246">
        <v>71.599999999999994</v>
      </c>
    </row>
    <row r="247" spans="1:3" x14ac:dyDescent="0.35">
      <c r="A247" s="120">
        <v>45353</v>
      </c>
      <c r="B247">
        <v>0</v>
      </c>
      <c r="C247">
        <v>71.599999999999994</v>
      </c>
    </row>
    <row r="248" spans="1:3" x14ac:dyDescent="0.35">
      <c r="A248" s="120">
        <v>45354</v>
      </c>
      <c r="B248">
        <v>0</v>
      </c>
      <c r="C248">
        <v>77</v>
      </c>
    </row>
    <row r="249" spans="1:3" x14ac:dyDescent="0.35">
      <c r="A249" s="120">
        <v>45355</v>
      </c>
      <c r="B249">
        <v>0</v>
      </c>
      <c r="C249">
        <v>78.900000000000006</v>
      </c>
    </row>
    <row r="250" spans="1:3" x14ac:dyDescent="0.35">
      <c r="A250" s="120">
        <v>45356</v>
      </c>
      <c r="B250">
        <v>0</v>
      </c>
      <c r="C250">
        <v>86</v>
      </c>
    </row>
    <row r="251" spans="1:3" x14ac:dyDescent="0.35">
      <c r="A251" s="120">
        <v>45357</v>
      </c>
      <c r="B251">
        <v>0</v>
      </c>
      <c r="C251">
        <v>78.900000000000006</v>
      </c>
    </row>
    <row r="252" spans="1:3" x14ac:dyDescent="0.35">
      <c r="A252" s="120">
        <v>45358</v>
      </c>
      <c r="B252">
        <v>5.0999999999999997E-2</v>
      </c>
      <c r="C252">
        <v>77.099999999999994</v>
      </c>
    </row>
    <row r="253" spans="1:3" x14ac:dyDescent="0.35">
      <c r="A253" s="120">
        <v>45359</v>
      </c>
      <c r="B253">
        <v>0.10100000000000001</v>
      </c>
      <c r="C253">
        <v>80.7</v>
      </c>
    </row>
    <row r="254" spans="1:3" x14ac:dyDescent="0.35">
      <c r="A254" s="120">
        <v>45360</v>
      </c>
      <c r="B254">
        <v>0</v>
      </c>
      <c r="C254">
        <v>66.3</v>
      </c>
    </row>
    <row r="255" spans="1:3" x14ac:dyDescent="0.35">
      <c r="A255" s="120">
        <v>45361</v>
      </c>
      <c r="B255">
        <v>0</v>
      </c>
      <c r="C255">
        <v>66.3</v>
      </c>
    </row>
    <row r="256" spans="1:3" x14ac:dyDescent="0.35">
      <c r="A256" s="120">
        <v>45362</v>
      </c>
      <c r="B256">
        <v>0</v>
      </c>
      <c r="C256">
        <v>69.8</v>
      </c>
    </row>
    <row r="257" spans="1:3" x14ac:dyDescent="0.35">
      <c r="A257" s="120">
        <v>45363</v>
      </c>
      <c r="B257">
        <v>0</v>
      </c>
      <c r="C257">
        <v>73.5</v>
      </c>
    </row>
    <row r="258" spans="1:3" x14ac:dyDescent="0.35">
      <c r="A258" s="120">
        <v>45364</v>
      </c>
      <c r="B258">
        <v>1.0999999999999999E-2</v>
      </c>
      <c r="C258">
        <v>77.099999999999994</v>
      </c>
    </row>
    <row r="259" spans="1:3" x14ac:dyDescent="0.35">
      <c r="A259" s="120">
        <v>45365</v>
      </c>
      <c r="B259">
        <v>0</v>
      </c>
      <c r="C259">
        <v>78.900000000000006</v>
      </c>
    </row>
    <row r="260" spans="1:3" x14ac:dyDescent="0.35">
      <c r="A260" s="120">
        <v>45366</v>
      </c>
      <c r="B260">
        <v>1.532</v>
      </c>
      <c r="C260">
        <v>82.4</v>
      </c>
    </row>
    <row r="261" spans="1:3" x14ac:dyDescent="0.35">
      <c r="A261" s="120">
        <v>45367</v>
      </c>
      <c r="B261">
        <v>4.2999999999999997E-2</v>
      </c>
      <c r="C261">
        <v>69.900000000000006</v>
      </c>
    </row>
    <row r="262" spans="1:3" x14ac:dyDescent="0.35">
      <c r="A262" s="120">
        <v>45368</v>
      </c>
      <c r="B262">
        <v>0.55600000000000005</v>
      </c>
      <c r="C262">
        <v>75.099999999999994</v>
      </c>
    </row>
    <row r="263" spans="1:3" x14ac:dyDescent="0.35">
      <c r="A263" s="120">
        <v>45369</v>
      </c>
      <c r="B263">
        <v>0</v>
      </c>
      <c r="C263">
        <v>68.099999999999994</v>
      </c>
    </row>
    <row r="264" spans="1:3" x14ac:dyDescent="0.35">
      <c r="A264" s="120">
        <v>45370</v>
      </c>
      <c r="B264">
        <v>0</v>
      </c>
      <c r="C264">
        <v>62.6</v>
      </c>
    </row>
    <row r="265" spans="1:3" x14ac:dyDescent="0.35">
      <c r="A265" s="120">
        <v>45371</v>
      </c>
      <c r="B265">
        <v>1.2999999999999999E-2</v>
      </c>
      <c r="C265">
        <v>68.400000000000006</v>
      </c>
    </row>
    <row r="266" spans="1:3" x14ac:dyDescent="0.35">
      <c r="A266" s="120">
        <v>45372</v>
      </c>
      <c r="B266">
        <v>1.171</v>
      </c>
      <c r="C266">
        <v>68.400000000000006</v>
      </c>
    </row>
    <row r="267" spans="1:3" x14ac:dyDescent="0.35">
      <c r="A267" s="120">
        <v>45373</v>
      </c>
      <c r="B267">
        <v>0.26100000000000001</v>
      </c>
      <c r="C267">
        <v>75.3</v>
      </c>
    </row>
    <row r="268" spans="1:3" x14ac:dyDescent="0.35">
      <c r="A268" s="120">
        <v>45374</v>
      </c>
      <c r="B268">
        <v>0</v>
      </c>
      <c r="C268">
        <v>77</v>
      </c>
    </row>
    <row r="269" spans="1:3" x14ac:dyDescent="0.35">
      <c r="A269" s="120">
        <v>45375</v>
      </c>
      <c r="B269">
        <v>0</v>
      </c>
      <c r="C269">
        <v>69.900000000000006</v>
      </c>
    </row>
    <row r="270" spans="1:3" x14ac:dyDescent="0.35">
      <c r="A270" s="120">
        <v>45376</v>
      </c>
      <c r="B270">
        <v>7.8E-2</v>
      </c>
      <c r="C270">
        <v>75.3</v>
      </c>
    </row>
    <row r="271" spans="1:3" x14ac:dyDescent="0.35">
      <c r="A271" s="120">
        <v>45377</v>
      </c>
      <c r="B271">
        <v>0</v>
      </c>
      <c r="C271">
        <v>69.900000000000006</v>
      </c>
    </row>
    <row r="272" spans="1:3" x14ac:dyDescent="0.35">
      <c r="A272" s="120">
        <v>45378</v>
      </c>
      <c r="B272">
        <v>0</v>
      </c>
      <c r="C272">
        <v>66.3</v>
      </c>
    </row>
    <row r="273" spans="1:3" x14ac:dyDescent="0.35">
      <c r="A273" s="120">
        <v>45379</v>
      </c>
      <c r="B273">
        <v>0</v>
      </c>
      <c r="C273">
        <v>75.099999999999994</v>
      </c>
    </row>
    <row r="274" spans="1:3" x14ac:dyDescent="0.35">
      <c r="A274" s="120">
        <v>45380</v>
      </c>
      <c r="B274">
        <v>0</v>
      </c>
      <c r="C274">
        <v>73.599999999999994</v>
      </c>
    </row>
    <row r="275" spans="1:3" x14ac:dyDescent="0.35">
      <c r="A275" s="120">
        <v>45381</v>
      </c>
      <c r="B275">
        <v>0</v>
      </c>
      <c r="C275">
        <v>75.3</v>
      </c>
    </row>
    <row r="276" spans="1:3" x14ac:dyDescent="0.35">
      <c r="A276" s="120">
        <v>45382</v>
      </c>
      <c r="B276">
        <v>0</v>
      </c>
      <c r="C276">
        <v>78.900000000000006</v>
      </c>
    </row>
    <row r="277" spans="1:3" x14ac:dyDescent="0.35">
      <c r="A277" s="120">
        <v>45383</v>
      </c>
      <c r="B277">
        <v>0</v>
      </c>
      <c r="C277">
        <v>78.900000000000006</v>
      </c>
    </row>
    <row r="278" spans="1:3" x14ac:dyDescent="0.35">
      <c r="A278" s="120">
        <v>45384</v>
      </c>
      <c r="B278">
        <v>0</v>
      </c>
      <c r="C278">
        <v>82.5</v>
      </c>
    </row>
    <row r="279" spans="1:3" x14ac:dyDescent="0.35">
      <c r="A279" s="120">
        <v>45385</v>
      </c>
      <c r="B279">
        <v>0</v>
      </c>
      <c r="C279">
        <v>75.3</v>
      </c>
    </row>
    <row r="280" spans="1:3" x14ac:dyDescent="0.35">
      <c r="A280" s="120">
        <v>45386</v>
      </c>
      <c r="B280">
        <v>0</v>
      </c>
      <c r="C280">
        <v>82.4</v>
      </c>
    </row>
    <row r="281" spans="1:3" x14ac:dyDescent="0.35">
      <c r="A281" s="120">
        <v>45387</v>
      </c>
      <c r="B281">
        <v>0</v>
      </c>
      <c r="C281">
        <v>82.5</v>
      </c>
    </row>
    <row r="282" spans="1:3" x14ac:dyDescent="0.35">
      <c r="A282" s="120">
        <v>45388</v>
      </c>
      <c r="B282">
        <v>0</v>
      </c>
      <c r="C282">
        <v>75.3</v>
      </c>
    </row>
    <row r="283" spans="1:3" x14ac:dyDescent="0.35">
      <c r="A283" s="120">
        <v>45389</v>
      </c>
      <c r="B283">
        <v>0</v>
      </c>
      <c r="C283">
        <v>84.1</v>
      </c>
    </row>
    <row r="284" spans="1:3" x14ac:dyDescent="0.35">
      <c r="A284" s="120">
        <v>45390</v>
      </c>
      <c r="B284">
        <v>1.2E-2</v>
      </c>
      <c r="C284">
        <v>77.099999999999994</v>
      </c>
    </row>
    <row r="285" spans="1:3" x14ac:dyDescent="0.35">
      <c r="A285" s="120">
        <v>45391</v>
      </c>
      <c r="B285">
        <v>3.7999999999999999E-2</v>
      </c>
      <c r="C285">
        <v>78.8</v>
      </c>
    </row>
    <row r="286" spans="1:3" x14ac:dyDescent="0.35">
      <c r="A286" s="120">
        <v>45392</v>
      </c>
      <c r="B286">
        <v>0.78400000000000003</v>
      </c>
      <c r="C286">
        <v>73.400000000000006</v>
      </c>
    </row>
    <row r="287" spans="1:3" x14ac:dyDescent="0.35">
      <c r="A287" s="120">
        <v>45393</v>
      </c>
      <c r="B287">
        <v>0</v>
      </c>
      <c r="C287">
        <v>78.900000000000006</v>
      </c>
    </row>
    <row r="288" spans="1:3" x14ac:dyDescent="0.35">
      <c r="A288" s="120">
        <v>45394</v>
      </c>
      <c r="B288">
        <v>0</v>
      </c>
      <c r="C288">
        <v>80.599999999999994</v>
      </c>
    </row>
    <row r="289" spans="1:3" x14ac:dyDescent="0.35">
      <c r="A289" s="120">
        <v>45395</v>
      </c>
      <c r="B289">
        <v>0</v>
      </c>
      <c r="C289">
        <v>78.900000000000006</v>
      </c>
    </row>
    <row r="290" spans="1:3" x14ac:dyDescent="0.35">
      <c r="A290" s="120">
        <v>45396</v>
      </c>
      <c r="B290">
        <v>0</v>
      </c>
      <c r="C290">
        <v>78.900000000000006</v>
      </c>
    </row>
    <row r="291" spans="1:3" x14ac:dyDescent="0.35">
      <c r="A291" s="120">
        <v>45397</v>
      </c>
      <c r="B291">
        <v>0</v>
      </c>
      <c r="C291">
        <v>77.099999999999994</v>
      </c>
    </row>
    <row r="292" spans="1:3" x14ac:dyDescent="0.35">
      <c r="A292" s="120">
        <v>45398</v>
      </c>
      <c r="B292">
        <v>0</v>
      </c>
      <c r="C292">
        <v>78.900000000000006</v>
      </c>
    </row>
    <row r="293" spans="1:3" x14ac:dyDescent="0.35">
      <c r="A293" s="120">
        <v>45399</v>
      </c>
      <c r="B293">
        <v>0</v>
      </c>
      <c r="C293">
        <v>80.599999999999994</v>
      </c>
    </row>
    <row r="294" spans="1:3" x14ac:dyDescent="0.35">
      <c r="A294" s="120">
        <v>45400</v>
      </c>
      <c r="B294">
        <v>0</v>
      </c>
      <c r="C294">
        <v>82.5</v>
      </c>
    </row>
    <row r="295" spans="1:3" x14ac:dyDescent="0.35">
      <c r="A295" s="120">
        <v>45401</v>
      </c>
      <c r="B295">
        <v>0</v>
      </c>
      <c r="C295">
        <v>84.2</v>
      </c>
    </row>
    <row r="296" spans="1:3" x14ac:dyDescent="0.35">
      <c r="A296" s="120">
        <v>45402</v>
      </c>
      <c r="B296">
        <v>0</v>
      </c>
      <c r="C296">
        <v>80.7</v>
      </c>
    </row>
    <row r="297" spans="1:3" x14ac:dyDescent="0.35">
      <c r="A297" s="120">
        <v>45403</v>
      </c>
      <c r="B297">
        <v>7.0000000000000001E-3</v>
      </c>
      <c r="C297">
        <v>68.099999999999994</v>
      </c>
    </row>
    <row r="298" spans="1:3" x14ac:dyDescent="0.35">
      <c r="A298" s="120">
        <v>45404</v>
      </c>
      <c r="B298">
        <v>0</v>
      </c>
      <c r="C298">
        <v>69.900000000000006</v>
      </c>
    </row>
    <row r="299" spans="1:3" x14ac:dyDescent="0.35">
      <c r="A299" s="120">
        <v>45405</v>
      </c>
      <c r="B299">
        <v>0</v>
      </c>
      <c r="C299">
        <v>75.3</v>
      </c>
    </row>
    <row r="300" spans="1:3" x14ac:dyDescent="0.35">
      <c r="A300" s="120">
        <v>45406</v>
      </c>
      <c r="B300">
        <v>0</v>
      </c>
      <c r="C300">
        <v>82.4</v>
      </c>
    </row>
    <row r="301" spans="1:3" x14ac:dyDescent="0.35">
      <c r="A301" s="120">
        <v>45407</v>
      </c>
      <c r="B301">
        <v>0</v>
      </c>
      <c r="C301">
        <v>78.900000000000006</v>
      </c>
    </row>
    <row r="302" spans="1:3" x14ac:dyDescent="0.35">
      <c r="A302" s="120">
        <v>45408</v>
      </c>
      <c r="B302">
        <v>0</v>
      </c>
      <c r="C302">
        <v>80.599999999999994</v>
      </c>
    </row>
    <row r="303" spans="1:3" x14ac:dyDescent="0.35">
      <c r="A303" s="120">
        <v>45409</v>
      </c>
      <c r="B303">
        <v>0</v>
      </c>
      <c r="C303">
        <v>80.599999999999994</v>
      </c>
    </row>
    <row r="304" spans="1:3" x14ac:dyDescent="0.35">
      <c r="A304" s="120">
        <v>45410</v>
      </c>
      <c r="B304">
        <v>1E-3</v>
      </c>
      <c r="C304">
        <v>80.7</v>
      </c>
    </row>
    <row r="305" spans="1:3" x14ac:dyDescent="0.35">
      <c r="A305" s="120">
        <v>45411</v>
      </c>
      <c r="B305">
        <v>4.2999999999999997E-2</v>
      </c>
      <c r="C305">
        <v>78.900000000000006</v>
      </c>
    </row>
    <row r="306" spans="1:3" x14ac:dyDescent="0.35">
      <c r="A306" s="120">
        <v>45412</v>
      </c>
      <c r="B306">
        <v>0</v>
      </c>
      <c r="C306">
        <v>84.3</v>
      </c>
    </row>
    <row r="307" spans="1:3" x14ac:dyDescent="0.35">
      <c r="A307" s="120">
        <v>45413</v>
      </c>
      <c r="B307">
        <v>0</v>
      </c>
      <c r="C307">
        <v>80.7</v>
      </c>
    </row>
    <row r="308" spans="1:3" x14ac:dyDescent="0.35">
      <c r="A308" s="120">
        <v>45414</v>
      </c>
      <c r="B308">
        <v>3.9E-2</v>
      </c>
      <c r="C308">
        <v>80.599999999999994</v>
      </c>
    </row>
    <row r="309" spans="1:3" x14ac:dyDescent="0.35">
      <c r="A309" s="120">
        <v>45415</v>
      </c>
      <c r="B309">
        <v>1.2999999999999999E-2</v>
      </c>
      <c r="C309">
        <v>78.900000000000006</v>
      </c>
    </row>
    <row r="310" spans="1:3" x14ac:dyDescent="0.35">
      <c r="A310" s="120">
        <v>45416</v>
      </c>
      <c r="B310">
        <v>0</v>
      </c>
      <c r="C310">
        <v>82.5</v>
      </c>
    </row>
    <row r="311" spans="1:3" x14ac:dyDescent="0.35">
      <c r="A311" s="120">
        <v>45417</v>
      </c>
      <c r="B311">
        <v>1.2E-2</v>
      </c>
      <c r="C311">
        <v>77.099999999999994</v>
      </c>
    </row>
    <row r="312" spans="1:3" x14ac:dyDescent="0.35">
      <c r="A312" s="120">
        <v>45418</v>
      </c>
      <c r="B312">
        <v>0</v>
      </c>
      <c r="C312">
        <v>82.5</v>
      </c>
    </row>
    <row r="313" spans="1:3" x14ac:dyDescent="0.35">
      <c r="A313" s="120">
        <v>45419</v>
      </c>
      <c r="B313">
        <v>0</v>
      </c>
      <c r="C313">
        <v>84.3</v>
      </c>
    </row>
    <row r="314" spans="1:3" x14ac:dyDescent="0.35">
      <c r="A314" s="120">
        <v>45420</v>
      </c>
      <c r="B314">
        <v>0</v>
      </c>
      <c r="C314">
        <v>86</v>
      </c>
    </row>
    <row r="315" spans="1:3" x14ac:dyDescent="0.35">
      <c r="A315" s="120">
        <v>45421</v>
      </c>
      <c r="B315">
        <v>0</v>
      </c>
      <c r="C315">
        <v>86</v>
      </c>
    </row>
    <row r="316" spans="1:3" x14ac:dyDescent="0.35">
      <c r="A316" s="120">
        <v>45422</v>
      </c>
      <c r="B316">
        <v>0</v>
      </c>
      <c r="C316">
        <v>86.1</v>
      </c>
    </row>
    <row r="317" spans="1:3" x14ac:dyDescent="0.35">
      <c r="A317" s="120">
        <v>45423</v>
      </c>
      <c r="B317">
        <v>0</v>
      </c>
      <c r="C317">
        <v>78.900000000000006</v>
      </c>
    </row>
    <row r="318" spans="1:3" x14ac:dyDescent="0.35">
      <c r="A318" s="120">
        <v>45424</v>
      </c>
      <c r="B318">
        <v>1.4999999999999999E-2</v>
      </c>
      <c r="C318">
        <v>82.5</v>
      </c>
    </row>
    <row r="319" spans="1:3" x14ac:dyDescent="0.35">
      <c r="A319" s="120">
        <v>45425</v>
      </c>
      <c r="B319">
        <v>5.3999999999999999E-2</v>
      </c>
      <c r="C319">
        <v>87.7</v>
      </c>
    </row>
    <row r="320" spans="1:3" x14ac:dyDescent="0.35">
      <c r="A320" s="120">
        <v>45426</v>
      </c>
      <c r="B320">
        <v>0</v>
      </c>
      <c r="C320">
        <v>87.8</v>
      </c>
    </row>
    <row r="321" spans="1:3" x14ac:dyDescent="0.35">
      <c r="A321" s="120">
        <v>45427</v>
      </c>
      <c r="B321">
        <v>0</v>
      </c>
      <c r="C321">
        <v>91.4</v>
      </c>
    </row>
    <row r="322" spans="1:3" x14ac:dyDescent="0.35">
      <c r="A322" s="120">
        <v>45428</v>
      </c>
      <c r="B322">
        <v>4.9000000000000002E-2</v>
      </c>
      <c r="C322">
        <v>80.7</v>
      </c>
    </row>
    <row r="323" spans="1:3" x14ac:dyDescent="0.35">
      <c r="A323" s="120">
        <v>45429</v>
      </c>
      <c r="B323">
        <v>1.2999999999999999E-2</v>
      </c>
      <c r="C323">
        <v>71.7</v>
      </c>
    </row>
    <row r="324" spans="1:3" x14ac:dyDescent="0.35">
      <c r="A324" s="120">
        <v>45430</v>
      </c>
      <c r="B324">
        <v>0</v>
      </c>
      <c r="C324">
        <v>89.6</v>
      </c>
    </row>
    <row r="325" spans="1:3" x14ac:dyDescent="0.35">
      <c r="A325" s="120">
        <v>45431</v>
      </c>
      <c r="B325">
        <v>0</v>
      </c>
      <c r="C325">
        <v>89.6</v>
      </c>
    </row>
    <row r="326" spans="1:3" x14ac:dyDescent="0.35">
      <c r="A326" s="120">
        <v>45432</v>
      </c>
      <c r="B326">
        <v>0</v>
      </c>
      <c r="C326">
        <v>89.6</v>
      </c>
    </row>
    <row r="327" spans="1:3" x14ac:dyDescent="0.35">
      <c r="A327" s="120">
        <v>45433</v>
      </c>
      <c r="B327">
        <v>0</v>
      </c>
      <c r="C327">
        <v>87.9</v>
      </c>
    </row>
    <row r="328" spans="1:3" x14ac:dyDescent="0.35">
      <c r="A328" s="120">
        <v>45434</v>
      </c>
      <c r="B328">
        <v>0</v>
      </c>
      <c r="C328">
        <v>87.8</v>
      </c>
    </row>
    <row r="329" spans="1:3" x14ac:dyDescent="0.35">
      <c r="A329" s="120">
        <v>45435</v>
      </c>
      <c r="B329">
        <v>0</v>
      </c>
      <c r="C329">
        <v>89.7</v>
      </c>
    </row>
    <row r="330" spans="1:3" x14ac:dyDescent="0.35">
      <c r="A330" s="120">
        <v>45436</v>
      </c>
      <c r="B330">
        <v>0</v>
      </c>
      <c r="C330">
        <v>87.9</v>
      </c>
    </row>
    <row r="331" spans="1:3" x14ac:dyDescent="0.35">
      <c r="A331" s="120">
        <v>45437</v>
      </c>
      <c r="B331">
        <v>0</v>
      </c>
      <c r="C331">
        <v>91.5</v>
      </c>
    </row>
    <row r="332" spans="1:3" x14ac:dyDescent="0.35">
      <c r="A332" s="120">
        <v>45438</v>
      </c>
      <c r="B332">
        <v>0</v>
      </c>
      <c r="C332">
        <v>89.7</v>
      </c>
    </row>
    <row r="333" spans="1:3" x14ac:dyDescent="0.35">
      <c r="A333" s="120">
        <v>45439</v>
      </c>
      <c r="B333">
        <v>0</v>
      </c>
      <c r="C333">
        <v>96.7</v>
      </c>
    </row>
    <row r="334" spans="1:3" x14ac:dyDescent="0.35">
      <c r="A334" s="120">
        <v>45440</v>
      </c>
      <c r="B334">
        <v>7.8E-2</v>
      </c>
      <c r="C334">
        <v>89.6</v>
      </c>
    </row>
    <row r="335" spans="1:3" x14ac:dyDescent="0.35">
      <c r="A335" s="120">
        <v>45441</v>
      </c>
      <c r="B335">
        <v>3.0000000000000001E-3</v>
      </c>
      <c r="C335">
        <v>87.7</v>
      </c>
    </row>
    <row r="336" spans="1:3" x14ac:dyDescent="0.35">
      <c r="A336" s="120">
        <v>45442</v>
      </c>
      <c r="B336">
        <v>0</v>
      </c>
      <c r="C336">
        <v>89.6</v>
      </c>
    </row>
    <row r="337" spans="1:3" x14ac:dyDescent="0.35">
      <c r="A337" s="120">
        <v>45443</v>
      </c>
      <c r="B337">
        <v>5.2999999999999999E-2</v>
      </c>
      <c r="C337">
        <v>83.7</v>
      </c>
    </row>
    <row r="338" spans="1:3" x14ac:dyDescent="0.35">
      <c r="A338" s="120">
        <v>45444</v>
      </c>
      <c r="B338">
        <v>6.0000000000000001E-3</v>
      </c>
      <c r="C338">
        <v>87.8</v>
      </c>
    </row>
    <row r="339" spans="1:3" x14ac:dyDescent="0.35">
      <c r="A339" s="120">
        <v>45445</v>
      </c>
      <c r="B339">
        <v>3.0000000000000001E-3</v>
      </c>
      <c r="C339">
        <v>91.4</v>
      </c>
    </row>
    <row r="340" spans="1:3" x14ac:dyDescent="0.35">
      <c r="A340" s="120">
        <v>45446</v>
      </c>
      <c r="B340">
        <v>0</v>
      </c>
      <c r="C340">
        <v>87.9</v>
      </c>
    </row>
    <row r="341" spans="1:3" x14ac:dyDescent="0.35">
      <c r="A341" s="120">
        <v>45447</v>
      </c>
      <c r="B341">
        <v>0</v>
      </c>
      <c r="C341">
        <v>89.7</v>
      </c>
    </row>
    <row r="342" spans="1:3" x14ac:dyDescent="0.35">
      <c r="A342" s="120">
        <v>45448</v>
      </c>
      <c r="B342">
        <v>2.5000000000000001E-2</v>
      </c>
      <c r="C342">
        <v>84.2</v>
      </c>
    </row>
    <row r="343" spans="1:3" x14ac:dyDescent="0.35">
      <c r="A343" s="120">
        <v>45449</v>
      </c>
      <c r="B343">
        <v>0</v>
      </c>
      <c r="C343">
        <v>94.9</v>
      </c>
    </row>
    <row r="344" spans="1:3" x14ac:dyDescent="0.35">
      <c r="A344" s="120">
        <v>45450</v>
      </c>
      <c r="B344">
        <v>0</v>
      </c>
      <c r="C344">
        <v>95</v>
      </c>
    </row>
    <row r="345" spans="1:3" x14ac:dyDescent="0.35">
      <c r="A345" s="120">
        <v>45451</v>
      </c>
      <c r="B345">
        <v>0</v>
      </c>
      <c r="C345">
        <v>91.4</v>
      </c>
    </row>
    <row r="346" spans="1:3" x14ac:dyDescent="0.35">
      <c r="A346" s="120">
        <v>45452</v>
      </c>
      <c r="B346">
        <v>0</v>
      </c>
      <c r="C346">
        <v>89.5</v>
      </c>
    </row>
    <row r="347" spans="1:3" x14ac:dyDescent="0.35">
      <c r="A347" s="120">
        <v>45453</v>
      </c>
      <c r="B347">
        <v>6.0000000000000001E-3</v>
      </c>
      <c r="C347">
        <v>93.2</v>
      </c>
    </row>
    <row r="348" spans="1:3" x14ac:dyDescent="0.35">
      <c r="A348" s="120">
        <v>45454</v>
      </c>
      <c r="B348">
        <v>4.0000000000000001E-3</v>
      </c>
      <c r="C348">
        <v>93.1</v>
      </c>
    </row>
    <row r="349" spans="1:3" x14ac:dyDescent="0.35">
      <c r="A349" s="120">
        <v>45455</v>
      </c>
      <c r="B349">
        <v>8.0000000000000002E-3</v>
      </c>
      <c r="C349">
        <v>89.6</v>
      </c>
    </row>
    <row r="350" spans="1:3" x14ac:dyDescent="0.35">
      <c r="A350" s="120">
        <v>45456</v>
      </c>
      <c r="B350">
        <v>0</v>
      </c>
      <c r="C350">
        <v>91.4</v>
      </c>
    </row>
    <row r="351" spans="1:3" x14ac:dyDescent="0.35">
      <c r="A351" s="120">
        <v>45457</v>
      </c>
      <c r="B351">
        <v>0</v>
      </c>
      <c r="C351">
        <v>94.9</v>
      </c>
    </row>
    <row r="352" spans="1:3" x14ac:dyDescent="0.35">
      <c r="A352" s="120">
        <v>45458</v>
      </c>
      <c r="B352">
        <v>0</v>
      </c>
      <c r="C352">
        <v>91.5</v>
      </c>
    </row>
    <row r="353" spans="1:3" x14ac:dyDescent="0.35">
      <c r="A353" s="120">
        <v>45459</v>
      </c>
      <c r="B353">
        <v>0</v>
      </c>
      <c r="C353">
        <v>93.2</v>
      </c>
    </row>
    <row r="354" spans="1:3" x14ac:dyDescent="0.35">
      <c r="A354" s="120">
        <v>45460</v>
      </c>
      <c r="B354">
        <v>1E-3</v>
      </c>
      <c r="C354">
        <v>88</v>
      </c>
    </row>
    <row r="355" spans="1:3" x14ac:dyDescent="0.35">
      <c r="A355" s="120">
        <v>45461</v>
      </c>
      <c r="B355">
        <v>0.01</v>
      </c>
      <c r="C355">
        <v>87.9</v>
      </c>
    </row>
    <row r="356" spans="1:3" x14ac:dyDescent="0.35">
      <c r="A356" s="120">
        <v>45462</v>
      </c>
      <c r="B356">
        <v>5.7000000000000002E-2</v>
      </c>
      <c r="C356">
        <v>78.900000000000006</v>
      </c>
    </row>
    <row r="357" spans="1:3" x14ac:dyDescent="0.35">
      <c r="A357" s="120">
        <v>45463</v>
      </c>
      <c r="B357">
        <v>1E-3</v>
      </c>
      <c r="C357">
        <v>87.9</v>
      </c>
    </row>
    <row r="358" spans="1:3" x14ac:dyDescent="0.35">
      <c r="A358" s="120">
        <v>45464</v>
      </c>
      <c r="B358">
        <v>0</v>
      </c>
      <c r="C358">
        <v>89.7</v>
      </c>
    </row>
    <row r="359" spans="1:3" x14ac:dyDescent="0.35">
      <c r="A359" s="120">
        <v>45465</v>
      </c>
      <c r="B359">
        <v>0</v>
      </c>
      <c r="C359">
        <v>89.7</v>
      </c>
    </row>
    <row r="360" spans="1:3" x14ac:dyDescent="0.35">
      <c r="A360" s="120">
        <v>45466</v>
      </c>
      <c r="B360">
        <v>0</v>
      </c>
      <c r="C360">
        <v>91.4</v>
      </c>
    </row>
    <row r="361" spans="1:3" x14ac:dyDescent="0.35">
      <c r="A361" s="120">
        <v>45467</v>
      </c>
      <c r="B361">
        <v>0</v>
      </c>
      <c r="C361">
        <v>91.4</v>
      </c>
    </row>
    <row r="362" spans="1:3" x14ac:dyDescent="0.35">
      <c r="A362" s="120">
        <v>45468</v>
      </c>
      <c r="B362">
        <v>0</v>
      </c>
      <c r="C362">
        <v>91.5</v>
      </c>
    </row>
    <row r="363" spans="1:3" x14ac:dyDescent="0.35">
      <c r="A363" s="120">
        <v>45469</v>
      </c>
      <c r="B363">
        <v>2E-3</v>
      </c>
      <c r="C363">
        <v>93.2</v>
      </c>
    </row>
    <row r="364" spans="1:3" x14ac:dyDescent="0.35">
      <c r="A364" s="120">
        <v>45470</v>
      </c>
      <c r="B364">
        <v>0</v>
      </c>
      <c r="C364">
        <v>95</v>
      </c>
    </row>
    <row r="365" spans="1:3" x14ac:dyDescent="0.35">
      <c r="A365" s="120">
        <v>45471</v>
      </c>
      <c r="B365">
        <v>0</v>
      </c>
      <c r="C365">
        <v>91.5</v>
      </c>
    </row>
    <row r="366" spans="1:3" x14ac:dyDescent="0.35">
      <c r="A366" s="120">
        <v>45472</v>
      </c>
      <c r="B366">
        <v>1E-3</v>
      </c>
      <c r="C366">
        <v>95</v>
      </c>
    </row>
    <row r="367" spans="1:3" x14ac:dyDescent="0.35">
      <c r="A367" s="120">
        <v>45473</v>
      </c>
      <c r="B367">
        <v>0</v>
      </c>
      <c r="C367">
        <v>95</v>
      </c>
    </row>
    <row r="368" spans="1:3" x14ac:dyDescent="0.35">
      <c r="A368" s="120">
        <v>45474</v>
      </c>
      <c r="B368">
        <v>0</v>
      </c>
      <c r="C368">
        <v>96.8</v>
      </c>
    </row>
    <row r="369" spans="1:3" x14ac:dyDescent="0.35">
      <c r="A369" s="120">
        <v>45475</v>
      </c>
      <c r="B369">
        <v>0</v>
      </c>
      <c r="C369">
        <v>96.8</v>
      </c>
    </row>
    <row r="370" spans="1:3" x14ac:dyDescent="0.35">
      <c r="A370" s="120">
        <v>45476</v>
      </c>
      <c r="B370">
        <v>0</v>
      </c>
      <c r="C370">
        <v>93.2</v>
      </c>
    </row>
    <row r="371" spans="1:3" x14ac:dyDescent="0.35">
      <c r="A371" s="120">
        <v>45477</v>
      </c>
      <c r="B371">
        <v>0</v>
      </c>
      <c r="C371">
        <v>95.1</v>
      </c>
    </row>
    <row r="372" spans="1:3" x14ac:dyDescent="0.35">
      <c r="A372" s="120">
        <v>45478</v>
      </c>
      <c r="B372">
        <v>0</v>
      </c>
      <c r="C372">
        <v>95.1</v>
      </c>
    </row>
    <row r="373" spans="1:3" x14ac:dyDescent="0.35">
      <c r="A373" s="120">
        <v>45479</v>
      </c>
      <c r="B373">
        <v>5.8000000000000003E-2</v>
      </c>
      <c r="C373">
        <v>95</v>
      </c>
    </row>
    <row r="374" spans="1:3" x14ac:dyDescent="0.35">
      <c r="A374" s="120">
        <v>45480</v>
      </c>
      <c r="B374">
        <v>2.4E-2</v>
      </c>
      <c r="C374">
        <v>86.1</v>
      </c>
    </row>
    <row r="375" spans="1:3" x14ac:dyDescent="0.35">
      <c r="A375" s="120">
        <v>45481</v>
      </c>
      <c r="B375">
        <v>0.19400000000000001</v>
      </c>
      <c r="C375">
        <v>84.8</v>
      </c>
    </row>
    <row r="376" spans="1:3" x14ac:dyDescent="0.35">
      <c r="A376" s="120">
        <v>45482</v>
      </c>
      <c r="B376">
        <v>0</v>
      </c>
      <c r="C376">
        <v>96.7</v>
      </c>
    </row>
    <row r="377" spans="1:3" x14ac:dyDescent="0.35">
      <c r="A377" s="120">
        <v>45483</v>
      </c>
      <c r="B377">
        <v>0.01</v>
      </c>
      <c r="C377">
        <v>92.8</v>
      </c>
    </row>
    <row r="378" spans="1:3" x14ac:dyDescent="0.35">
      <c r="A378" s="120">
        <v>45484</v>
      </c>
      <c r="B378">
        <v>0.113</v>
      </c>
      <c r="C378">
        <v>90.6</v>
      </c>
    </row>
    <row r="379" spans="1:3" x14ac:dyDescent="0.35">
      <c r="A379" s="120">
        <v>45485</v>
      </c>
      <c r="B379">
        <v>0.25600000000000001</v>
      </c>
      <c r="C379">
        <v>88.4</v>
      </c>
    </row>
    <row r="380" spans="1:3" x14ac:dyDescent="0.35">
      <c r="A380" s="120">
        <v>45486</v>
      </c>
      <c r="B380">
        <v>0.105</v>
      </c>
      <c r="C380">
        <v>89.6</v>
      </c>
    </row>
    <row r="381" spans="1:3" x14ac:dyDescent="0.35">
      <c r="A381" s="120">
        <v>45487</v>
      </c>
      <c r="B381">
        <v>0</v>
      </c>
      <c r="C381">
        <v>93.5</v>
      </c>
    </row>
    <row r="382" spans="1:3" x14ac:dyDescent="0.35">
      <c r="A382" s="120">
        <v>45488</v>
      </c>
      <c r="B382">
        <v>0</v>
      </c>
      <c r="C382">
        <v>92</v>
      </c>
    </row>
    <row r="383" spans="1:3" x14ac:dyDescent="0.35">
      <c r="A383" s="120">
        <v>45489</v>
      </c>
      <c r="B383">
        <v>0</v>
      </c>
      <c r="C383">
        <v>94</v>
      </c>
    </row>
    <row r="384" spans="1:3" x14ac:dyDescent="0.35">
      <c r="A384" s="120">
        <v>45490</v>
      </c>
      <c r="B384">
        <v>0</v>
      </c>
      <c r="C384">
        <v>93.7</v>
      </c>
    </row>
    <row r="385" spans="1:3" x14ac:dyDescent="0.35">
      <c r="A385" s="120">
        <v>45491</v>
      </c>
      <c r="B385">
        <v>1.2999999999999999E-2</v>
      </c>
      <c r="C385">
        <v>89.8</v>
      </c>
    </row>
    <row r="386" spans="1:3" x14ac:dyDescent="0.35">
      <c r="A386" s="120">
        <v>45492</v>
      </c>
      <c r="B386">
        <v>0</v>
      </c>
      <c r="C386">
        <v>92</v>
      </c>
    </row>
    <row r="387" spans="1:3" x14ac:dyDescent="0.35">
      <c r="A387" s="120">
        <v>45493</v>
      </c>
      <c r="B387">
        <v>0</v>
      </c>
      <c r="C387">
        <v>94.8</v>
      </c>
    </row>
    <row r="388" spans="1:3" x14ac:dyDescent="0.35">
      <c r="A388" s="120">
        <v>45494</v>
      </c>
      <c r="B388">
        <v>0</v>
      </c>
      <c r="C388">
        <v>94.6</v>
      </c>
    </row>
    <row r="389" spans="1:3" x14ac:dyDescent="0.35">
      <c r="A389" s="120">
        <v>45495</v>
      </c>
      <c r="B389">
        <v>3.5000000000000003E-2</v>
      </c>
      <c r="C389">
        <v>89.6</v>
      </c>
    </row>
    <row r="390" spans="1:3" x14ac:dyDescent="0.35">
      <c r="A390" s="120">
        <v>45496</v>
      </c>
      <c r="B390">
        <v>4.1000000000000002E-2</v>
      </c>
      <c r="C390">
        <v>86.3</v>
      </c>
    </row>
    <row r="391" spans="1:3" x14ac:dyDescent="0.35">
      <c r="A391" s="120">
        <v>45497</v>
      </c>
      <c r="B391">
        <v>0.48099999999999998</v>
      </c>
      <c r="C391">
        <v>83.3</v>
      </c>
    </row>
    <row r="392" spans="1:3" x14ac:dyDescent="0.35">
      <c r="A392" s="120">
        <v>45498</v>
      </c>
      <c r="B392">
        <v>1.3080000000000001</v>
      </c>
      <c r="C392">
        <v>78.3</v>
      </c>
    </row>
    <row r="393" spans="1:3" x14ac:dyDescent="0.35">
      <c r="A393" s="120">
        <v>45499</v>
      </c>
      <c r="B393">
        <v>0.625</v>
      </c>
      <c r="C393">
        <v>80.900000000000006</v>
      </c>
    </row>
    <row r="394" spans="1:3" x14ac:dyDescent="0.35">
      <c r="A394" s="120">
        <v>45500</v>
      </c>
      <c r="B394">
        <v>1.9E-2</v>
      </c>
      <c r="C394">
        <v>80.7</v>
      </c>
    </row>
    <row r="395" spans="1:3" x14ac:dyDescent="0.35">
      <c r="A395" s="120">
        <v>45501</v>
      </c>
      <c r="B395">
        <v>1.0999999999999999E-2</v>
      </c>
      <c r="C395">
        <v>87.8</v>
      </c>
    </row>
    <row r="396" spans="1:3" x14ac:dyDescent="0.35">
      <c r="A396" s="120">
        <v>45502</v>
      </c>
      <c r="B396">
        <v>0</v>
      </c>
      <c r="C396">
        <v>91.5</v>
      </c>
    </row>
    <row r="397" spans="1:3" x14ac:dyDescent="0.35">
      <c r="A397" s="120">
        <v>45503</v>
      </c>
      <c r="B397">
        <v>0</v>
      </c>
      <c r="C397">
        <v>93.2</v>
      </c>
    </row>
    <row r="398" spans="1:3" x14ac:dyDescent="0.35">
      <c r="A398" s="120">
        <v>45504</v>
      </c>
      <c r="B398">
        <v>0</v>
      </c>
      <c r="C398">
        <v>93.3</v>
      </c>
    </row>
  </sheetData>
  <pageMargins left="0.7" right="0.7" top="0.75" bottom="0.75" header="0.3" footer="0.3"/>
  <customProperties>
    <customPr name="LastActive" r:id="rId1"/>
  </customPropertie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376F6-F1FF-4624-A210-815EDF1A1668}">
  <sheetPr codeName="Sheet6"/>
  <dimension ref="C3:D5"/>
  <sheetViews>
    <sheetView workbookViewId="0">
      <selection activeCell="D4" sqref="D4"/>
    </sheetView>
  </sheetViews>
  <sheetFormatPr defaultRowHeight="14.5" x14ac:dyDescent="0.35"/>
  <cols>
    <col min="3" max="3" width="16.90625" customWidth="1"/>
    <col min="4" max="4" width="92.7265625" customWidth="1"/>
  </cols>
  <sheetData>
    <row r="3" spans="3:4" x14ac:dyDescent="0.35">
      <c r="C3" s="128" t="s">
        <v>70</v>
      </c>
      <c r="D3" s="128" t="s">
        <v>73</v>
      </c>
    </row>
    <row r="4" spans="3:4" x14ac:dyDescent="0.35">
      <c r="C4" t="s">
        <v>74</v>
      </c>
      <c r="D4" t="s">
        <v>75</v>
      </c>
    </row>
    <row r="5" spans="3:4" x14ac:dyDescent="0.35">
      <c r="C5" t="s">
        <v>71</v>
      </c>
      <c r="D5" t="s">
        <v>72</v>
      </c>
    </row>
  </sheetData>
  <pageMargins left="0.7" right="0.7" top="0.75" bottom="0.75" header="0.3" footer="0.3"/>
  <customProperties>
    <customPr name="LastActive"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5916A-E8C3-4957-9621-C8C6E7DDC0EE}">
  <sheetPr codeName="Sheet3"/>
  <dimension ref="A1:M45"/>
  <sheetViews>
    <sheetView showGridLines="0" topLeftCell="A16" workbookViewId="0">
      <selection activeCell="A45" sqref="A45"/>
    </sheetView>
  </sheetViews>
  <sheetFormatPr defaultRowHeight="14.5" x14ac:dyDescent="0.35"/>
  <cols>
    <col min="1" max="1" width="9.26953125" bestFit="1" customWidth="1"/>
  </cols>
  <sheetData>
    <row r="1" spans="1:12" ht="56.5" customHeight="1" x14ac:dyDescent="0.35">
      <c r="A1" s="180" t="s">
        <v>157</v>
      </c>
      <c r="B1" s="181"/>
      <c r="C1" s="181"/>
      <c r="D1" s="181"/>
      <c r="E1" s="181"/>
      <c r="F1" s="181"/>
      <c r="G1" s="181"/>
      <c r="H1" s="181"/>
      <c r="I1" s="181"/>
    </row>
    <row r="2" spans="1:12" x14ac:dyDescent="0.35">
      <c r="A2" s="117"/>
      <c r="B2" s="117"/>
      <c r="C2" s="117"/>
      <c r="D2" s="117"/>
      <c r="E2" s="117"/>
      <c r="F2" s="117"/>
      <c r="G2" s="117"/>
      <c r="H2" s="117"/>
      <c r="I2" s="117"/>
      <c r="J2" s="117"/>
      <c r="K2" s="117"/>
      <c r="L2" s="117"/>
    </row>
    <row r="3" spans="1:12" x14ac:dyDescent="0.35">
      <c r="A3" s="141">
        <v>45534</v>
      </c>
      <c r="F3" s="117"/>
      <c r="G3" s="117"/>
      <c r="H3" s="117"/>
      <c r="I3" s="117"/>
      <c r="J3" s="117"/>
      <c r="K3" s="117"/>
      <c r="L3" s="117"/>
    </row>
    <row r="4" spans="1:12" x14ac:dyDescent="0.35">
      <c r="A4" s="142" t="s">
        <v>194</v>
      </c>
      <c r="F4" s="117"/>
      <c r="G4" s="117"/>
      <c r="H4" s="117"/>
      <c r="I4" s="117"/>
      <c r="J4" s="117"/>
      <c r="K4" s="117"/>
      <c r="L4" s="117"/>
    </row>
    <row r="5" spans="1:12" x14ac:dyDescent="0.35">
      <c r="A5" s="142" t="s">
        <v>195</v>
      </c>
      <c r="F5" s="117"/>
      <c r="G5" s="117"/>
      <c r="H5" s="117"/>
      <c r="I5" s="117"/>
      <c r="J5" s="117"/>
      <c r="K5" s="117"/>
      <c r="L5" s="117"/>
    </row>
    <row r="6" spans="1:12" x14ac:dyDescent="0.35">
      <c r="A6" s="142" t="s">
        <v>196</v>
      </c>
      <c r="F6" s="117"/>
      <c r="G6" s="117"/>
      <c r="H6" s="117"/>
      <c r="I6" s="117"/>
      <c r="J6" s="117"/>
      <c r="K6" s="117"/>
      <c r="L6" s="117"/>
    </row>
    <row r="7" spans="1:12" x14ac:dyDescent="0.35">
      <c r="A7" s="142" t="s">
        <v>197</v>
      </c>
      <c r="F7" s="117"/>
      <c r="G7" s="117"/>
      <c r="H7" s="117"/>
      <c r="I7" s="117"/>
      <c r="J7" s="117"/>
      <c r="K7" s="117"/>
      <c r="L7" s="117"/>
    </row>
    <row r="8" spans="1:12" x14ac:dyDescent="0.35">
      <c r="A8" s="142" t="s">
        <v>198</v>
      </c>
      <c r="F8" s="117"/>
      <c r="G8" s="117"/>
      <c r="H8" s="117"/>
      <c r="I8" s="117"/>
      <c r="J8" s="117"/>
      <c r="K8" s="117"/>
      <c r="L8" s="117"/>
    </row>
    <row r="9" spans="1:12" x14ac:dyDescent="0.35">
      <c r="A9" s="142" t="s">
        <v>199</v>
      </c>
      <c r="F9" s="117"/>
      <c r="G9" s="117"/>
      <c r="H9" s="117"/>
      <c r="I9" s="117"/>
      <c r="J9" s="117"/>
      <c r="K9" s="117"/>
      <c r="L9" s="117"/>
    </row>
    <row r="10" spans="1:12" x14ac:dyDescent="0.35">
      <c r="B10" s="142" t="s">
        <v>200</v>
      </c>
      <c r="C10" s="142" t="s">
        <v>201</v>
      </c>
      <c r="F10" s="117"/>
      <c r="G10" s="117"/>
      <c r="H10" s="117"/>
      <c r="I10" s="117"/>
      <c r="J10" s="117"/>
      <c r="K10" s="117"/>
      <c r="L10" s="117"/>
    </row>
    <row r="11" spans="1:12" x14ac:dyDescent="0.35">
      <c r="A11" s="142" t="s">
        <v>202</v>
      </c>
      <c r="F11" s="117"/>
      <c r="G11" s="117"/>
      <c r="H11" s="117"/>
      <c r="I11" s="117"/>
      <c r="J11" s="117"/>
      <c r="K11" s="117"/>
      <c r="L11" s="117"/>
    </row>
    <row r="12" spans="1:12" x14ac:dyDescent="0.35">
      <c r="A12" s="142" t="s">
        <v>203</v>
      </c>
      <c r="F12" s="117"/>
      <c r="G12" s="117"/>
      <c r="H12" s="117"/>
      <c r="I12" s="117"/>
      <c r="J12" s="117"/>
      <c r="K12" s="117"/>
      <c r="L12" s="117"/>
    </row>
    <row r="13" spans="1:12" x14ac:dyDescent="0.35">
      <c r="B13" s="142" t="s">
        <v>204</v>
      </c>
      <c r="C13" s="142" t="s">
        <v>205</v>
      </c>
      <c r="D13" s="142" t="s">
        <v>206</v>
      </c>
      <c r="F13" s="117"/>
      <c r="G13" s="117"/>
      <c r="H13" s="117"/>
      <c r="I13" s="117"/>
      <c r="J13" s="117"/>
      <c r="K13" s="117"/>
      <c r="L13" s="117"/>
    </row>
    <row r="14" spans="1:12" x14ac:dyDescent="0.35">
      <c r="B14" s="142" t="s">
        <v>207</v>
      </c>
      <c r="F14" s="117"/>
      <c r="G14" s="117"/>
      <c r="H14" s="117"/>
      <c r="I14" s="117"/>
      <c r="J14" s="117"/>
      <c r="K14" s="117"/>
      <c r="L14" s="117"/>
    </row>
    <row r="15" spans="1:12" x14ac:dyDescent="0.35">
      <c r="A15" s="142" t="s">
        <v>208</v>
      </c>
      <c r="F15" s="117"/>
      <c r="G15" s="117"/>
      <c r="H15" s="117"/>
      <c r="I15" s="117"/>
      <c r="J15" s="117"/>
      <c r="K15" s="117"/>
      <c r="L15" s="117"/>
    </row>
    <row r="16" spans="1:12" x14ac:dyDescent="0.35">
      <c r="B16" s="142" t="s">
        <v>209</v>
      </c>
      <c r="C16" s="142" t="s">
        <v>210</v>
      </c>
      <c r="D16" s="142" t="s">
        <v>211</v>
      </c>
      <c r="E16" s="142" t="s">
        <v>212</v>
      </c>
      <c r="F16" s="117"/>
      <c r="G16" s="117"/>
      <c r="H16" s="117"/>
      <c r="I16" s="117"/>
      <c r="J16" s="117"/>
      <c r="K16" s="117"/>
      <c r="L16" s="117"/>
    </row>
    <row r="17" spans="1:13" x14ac:dyDescent="0.35">
      <c r="B17" s="142" t="s">
        <v>213</v>
      </c>
      <c r="F17" s="117"/>
      <c r="G17" s="117"/>
      <c r="H17" s="117"/>
      <c r="I17" s="117"/>
      <c r="J17" s="117"/>
      <c r="K17" s="117"/>
      <c r="L17" s="117"/>
    </row>
    <row r="18" spans="1:13" x14ac:dyDescent="0.35">
      <c r="B18" s="142" t="s">
        <v>214</v>
      </c>
      <c r="C18" s="142" t="s">
        <v>215</v>
      </c>
      <c r="F18" s="117"/>
      <c r="G18" s="117"/>
      <c r="H18" s="117"/>
      <c r="I18" s="117"/>
      <c r="J18" s="117"/>
      <c r="K18" s="117"/>
      <c r="L18" s="117"/>
    </row>
    <row r="19" spans="1:13" x14ac:dyDescent="0.35">
      <c r="A19" s="141">
        <v>45536</v>
      </c>
      <c r="F19" s="117"/>
      <c r="G19" s="117"/>
      <c r="H19" s="117"/>
      <c r="I19" s="117"/>
      <c r="J19" s="117"/>
      <c r="K19" s="117"/>
      <c r="L19" s="117"/>
    </row>
    <row r="20" spans="1:13" x14ac:dyDescent="0.35">
      <c r="A20" s="142" t="s">
        <v>220</v>
      </c>
      <c r="F20" s="117"/>
      <c r="G20" s="117"/>
      <c r="H20" s="117"/>
      <c r="I20" s="117"/>
      <c r="J20" s="117"/>
      <c r="K20" s="117"/>
      <c r="L20" s="117"/>
    </row>
    <row r="21" spans="1:13" x14ac:dyDescent="0.35">
      <c r="A21" s="142" t="s">
        <v>216</v>
      </c>
      <c r="F21" s="117"/>
      <c r="G21" s="117"/>
      <c r="H21" s="117"/>
      <c r="I21" s="117"/>
      <c r="J21" s="117"/>
      <c r="K21" s="117"/>
      <c r="L21" s="117"/>
    </row>
    <row r="22" spans="1:13" x14ac:dyDescent="0.35">
      <c r="A22" s="142" t="s">
        <v>217</v>
      </c>
      <c r="F22" s="117"/>
      <c r="G22" s="117"/>
      <c r="H22" s="117"/>
      <c r="I22" s="117"/>
      <c r="J22" s="117"/>
      <c r="K22" s="117"/>
      <c r="L22" s="117"/>
    </row>
    <row r="23" spans="1:13" x14ac:dyDescent="0.35">
      <c r="A23" s="141">
        <v>45537</v>
      </c>
      <c r="F23" s="117"/>
      <c r="G23" s="117"/>
      <c r="H23" s="117"/>
      <c r="I23" s="117"/>
      <c r="J23" s="117"/>
      <c r="K23" s="117"/>
      <c r="L23" s="117"/>
    </row>
    <row r="24" spans="1:13" x14ac:dyDescent="0.35">
      <c r="A24" s="142" t="s">
        <v>218</v>
      </c>
      <c r="F24" s="117"/>
      <c r="G24" s="117"/>
      <c r="H24" s="117"/>
      <c r="I24" s="117"/>
      <c r="J24" s="117"/>
      <c r="K24" s="117"/>
      <c r="L24" s="117"/>
    </row>
    <row r="25" spans="1:13" x14ac:dyDescent="0.35">
      <c r="A25" s="142"/>
      <c r="F25" s="117"/>
      <c r="G25" s="117"/>
      <c r="H25" s="117"/>
      <c r="I25" s="117"/>
      <c r="J25" s="117"/>
      <c r="K25" s="117"/>
      <c r="L25" s="117"/>
    </row>
    <row r="26" spans="1:13" x14ac:dyDescent="0.35">
      <c r="A26" s="141">
        <v>45538</v>
      </c>
      <c r="F26" s="117"/>
      <c r="G26" s="117"/>
      <c r="H26" s="117"/>
      <c r="I26" s="117"/>
      <c r="J26" s="117"/>
      <c r="K26" s="117"/>
      <c r="L26" s="117"/>
    </row>
    <row r="27" spans="1:13" x14ac:dyDescent="0.35">
      <c r="A27" s="142" t="s">
        <v>219</v>
      </c>
      <c r="F27" s="117"/>
      <c r="G27" s="117"/>
      <c r="H27" s="117"/>
      <c r="I27" s="117"/>
      <c r="J27" s="117"/>
      <c r="K27" s="117"/>
      <c r="L27" s="117"/>
    </row>
    <row r="28" spans="1:13" x14ac:dyDescent="0.35">
      <c r="A28" s="182" t="s">
        <v>221</v>
      </c>
      <c r="B28" s="182"/>
      <c r="C28" s="182"/>
      <c r="D28" s="182"/>
      <c r="E28" s="182"/>
      <c r="F28" s="182"/>
      <c r="G28" s="182"/>
      <c r="H28" s="182"/>
      <c r="I28" s="182"/>
      <c r="J28" s="182"/>
      <c r="K28" s="182"/>
      <c r="L28" s="182"/>
      <c r="M28" s="182"/>
    </row>
    <row r="29" spans="1:13" x14ac:dyDescent="0.35">
      <c r="A29" s="182"/>
      <c r="B29" s="182"/>
      <c r="C29" s="182"/>
      <c r="D29" s="182"/>
      <c r="E29" s="182"/>
      <c r="F29" s="182"/>
      <c r="G29" s="182"/>
      <c r="H29" s="182"/>
      <c r="I29" s="182"/>
      <c r="J29" s="182"/>
      <c r="K29" s="182"/>
      <c r="L29" s="182"/>
      <c r="M29" s="182"/>
    </row>
    <row r="30" spans="1:13" x14ac:dyDescent="0.35">
      <c r="A30" s="182"/>
      <c r="B30" s="182"/>
      <c r="C30" s="182"/>
      <c r="D30" s="182"/>
      <c r="E30" s="182"/>
      <c r="F30" s="182"/>
      <c r="G30" s="182"/>
      <c r="H30" s="182"/>
      <c r="I30" s="182"/>
      <c r="J30" s="182"/>
      <c r="K30" s="182"/>
      <c r="L30" s="182"/>
      <c r="M30" s="182"/>
    </row>
    <row r="31" spans="1:13" x14ac:dyDescent="0.35">
      <c r="A31" s="182"/>
      <c r="B31" s="182"/>
      <c r="C31" s="182"/>
      <c r="D31" s="182"/>
      <c r="E31" s="182"/>
      <c r="F31" s="182"/>
      <c r="G31" s="182"/>
      <c r="H31" s="182"/>
      <c r="I31" s="182"/>
      <c r="J31" s="182"/>
      <c r="K31" s="182"/>
      <c r="L31" s="182"/>
      <c r="M31" s="182"/>
    </row>
    <row r="32" spans="1:13" x14ac:dyDescent="0.35">
      <c r="A32" s="117" t="s">
        <v>222</v>
      </c>
      <c r="B32" s="117"/>
      <c r="C32" s="117"/>
      <c r="D32" s="117"/>
      <c r="E32" s="117"/>
      <c r="F32" s="117"/>
      <c r="G32" s="117"/>
      <c r="H32" s="117"/>
      <c r="I32" s="117"/>
      <c r="J32" s="117"/>
      <c r="K32" s="117"/>
      <c r="L32" s="117"/>
    </row>
    <row r="33" spans="1:13" x14ac:dyDescent="0.35">
      <c r="A33" s="117" t="s">
        <v>253</v>
      </c>
      <c r="B33" s="117"/>
      <c r="C33" s="117"/>
      <c r="D33" s="117"/>
      <c r="E33" s="117"/>
      <c r="F33" s="117"/>
      <c r="G33" s="117"/>
      <c r="H33" s="117"/>
      <c r="I33" s="117"/>
      <c r="J33" s="117"/>
      <c r="K33" s="117"/>
      <c r="L33" s="117"/>
    </row>
    <row r="34" spans="1:13" x14ac:dyDescent="0.35">
      <c r="A34" s="117"/>
      <c r="B34" s="117"/>
      <c r="C34" s="117"/>
      <c r="D34" s="117"/>
      <c r="E34" s="117"/>
      <c r="F34" s="117"/>
      <c r="G34" s="117"/>
      <c r="H34" s="117"/>
      <c r="I34" s="117"/>
      <c r="J34" s="117"/>
      <c r="K34" s="117"/>
      <c r="L34" s="117"/>
    </row>
    <row r="35" spans="1:13" ht="13.5" customHeight="1" x14ac:dyDescent="0.35">
      <c r="A35" s="141">
        <v>45540</v>
      </c>
      <c r="B35" s="117"/>
      <c r="C35" s="117"/>
      <c r="D35" s="117"/>
      <c r="E35" s="117"/>
      <c r="F35" s="117"/>
      <c r="G35" s="117"/>
      <c r="H35" s="117"/>
      <c r="I35" s="117"/>
      <c r="J35" s="117"/>
      <c r="K35" s="117"/>
      <c r="L35" s="117"/>
      <c r="M35" s="126"/>
    </row>
    <row r="36" spans="1:13" x14ac:dyDescent="0.35">
      <c r="A36" s="117" t="s">
        <v>254</v>
      </c>
      <c r="B36" s="117"/>
      <c r="C36" s="117"/>
      <c r="D36" s="117"/>
      <c r="E36" s="117"/>
      <c r="F36" s="117"/>
      <c r="G36" s="117"/>
      <c r="H36" s="117"/>
      <c r="I36" s="117"/>
      <c r="J36" s="117"/>
      <c r="K36" s="117"/>
      <c r="L36" s="117"/>
      <c r="M36" s="126"/>
    </row>
    <row r="37" spans="1:13" x14ac:dyDescent="0.35">
      <c r="A37" s="117" t="s">
        <v>255</v>
      </c>
      <c r="D37" s="126"/>
      <c r="E37" s="126"/>
      <c r="F37" s="126"/>
      <c r="G37" s="126"/>
      <c r="H37" s="126"/>
      <c r="I37" s="126"/>
      <c r="J37" s="126"/>
      <c r="K37" s="126"/>
      <c r="L37" s="126"/>
      <c r="M37" s="126"/>
    </row>
    <row r="38" spans="1:13" x14ac:dyDescent="0.35">
      <c r="A38" s="117" t="s">
        <v>256</v>
      </c>
      <c r="D38" s="126"/>
      <c r="E38" s="126"/>
      <c r="F38" s="126"/>
      <c r="G38" s="126"/>
      <c r="H38" s="126"/>
      <c r="I38" s="126"/>
      <c r="J38" s="126"/>
      <c r="K38" s="126"/>
      <c r="L38" s="126"/>
      <c r="M38" s="126"/>
    </row>
    <row r="39" spans="1:13" x14ac:dyDescent="0.35">
      <c r="A39" s="117" t="s">
        <v>257</v>
      </c>
      <c r="D39" s="126"/>
      <c r="E39" s="126"/>
      <c r="F39" s="126"/>
      <c r="G39" s="126"/>
      <c r="H39" s="126"/>
      <c r="I39" s="126"/>
      <c r="J39" s="126"/>
      <c r="K39" s="126"/>
      <c r="L39" s="126"/>
    </row>
    <row r="40" spans="1:13" x14ac:dyDescent="0.35">
      <c r="A40" s="117" t="s">
        <v>258</v>
      </c>
    </row>
    <row r="41" spans="1:13" x14ac:dyDescent="0.35">
      <c r="A41" s="117" t="s">
        <v>259</v>
      </c>
    </row>
    <row r="42" spans="1:13" x14ac:dyDescent="0.35">
      <c r="A42" s="117" t="s">
        <v>260</v>
      </c>
    </row>
    <row r="43" spans="1:13" x14ac:dyDescent="0.35">
      <c r="A43" s="117" t="s">
        <v>261</v>
      </c>
    </row>
    <row r="44" spans="1:13" x14ac:dyDescent="0.35">
      <c r="A44" s="117" t="s">
        <v>262</v>
      </c>
    </row>
    <row r="45" spans="1:13" x14ac:dyDescent="0.35">
      <c r="A45" s="117" t="s">
        <v>263</v>
      </c>
    </row>
  </sheetData>
  <mergeCells count="2">
    <mergeCell ref="A1:I1"/>
    <mergeCell ref="A28:M31"/>
  </mergeCells>
  <pageMargins left="0.7" right="0.7" top="0.75" bottom="0.75" header="0.3" footer="0.3"/>
  <customProperties>
    <customPr name="LastActive" r:id="rId1"/>
  </customPropertie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53C58-6F05-4BE7-8595-AD810388831C}">
  <sheetPr codeName="Sheet2">
    <tabColor rgb="FF00B0F0"/>
  </sheetPr>
  <dimension ref="A1:U903"/>
  <sheetViews>
    <sheetView topLeftCell="A440" workbookViewId="0">
      <selection activeCell="G473" sqref="G473"/>
    </sheetView>
  </sheetViews>
  <sheetFormatPr defaultRowHeight="14.5" x14ac:dyDescent="0.35"/>
  <cols>
    <col min="1" max="1" width="12.81640625" style="23" customWidth="1"/>
    <col min="2" max="2" width="9.81640625" style="22" customWidth="1"/>
    <col min="3" max="3" width="11" style="23" customWidth="1"/>
    <col min="4" max="4" width="7.54296875" style="23" customWidth="1"/>
    <col min="5" max="5" width="11.81640625" style="24" customWidth="1"/>
    <col min="6" max="6" width="10.453125" style="24" customWidth="1"/>
    <col min="7" max="7" width="9.54296875" style="24" customWidth="1"/>
    <col min="8" max="8" width="9.453125" style="24" customWidth="1"/>
    <col min="9" max="9" width="10.54296875" style="24" customWidth="1"/>
    <col min="10" max="10" width="15.54296875" style="24" customWidth="1"/>
    <col min="11" max="11" width="12.81640625" style="24" customWidth="1"/>
    <col min="12" max="12" width="9" style="25" customWidth="1"/>
    <col min="13" max="13" width="11" style="25" customWidth="1"/>
    <col min="14" max="14" width="13.26953125" style="26" customWidth="1"/>
    <col min="15" max="15" width="13.81640625" style="24" customWidth="1"/>
    <col min="16" max="16" width="12.81640625" style="24" customWidth="1"/>
    <col min="17" max="17" width="19.453125" style="24" customWidth="1"/>
    <col min="18" max="18" width="18.81640625" style="30" customWidth="1"/>
    <col min="19" max="19" width="19.453125" style="30" customWidth="1"/>
    <col min="20" max="20" width="18.26953125" style="30" customWidth="1"/>
    <col min="21" max="21" width="24.36328125" style="116" customWidth="1"/>
  </cols>
  <sheetData>
    <row r="1" spans="1:21" ht="43.5" x14ac:dyDescent="0.35">
      <c r="A1" s="1" t="s">
        <v>0</v>
      </c>
      <c r="B1" s="2" t="s">
        <v>1</v>
      </c>
      <c r="C1" s="3" t="s">
        <v>2</v>
      </c>
      <c r="D1" s="3" t="s">
        <v>3</v>
      </c>
      <c r="E1" s="4" t="s">
        <v>4</v>
      </c>
      <c r="F1" s="4" t="s">
        <v>5</v>
      </c>
      <c r="G1" s="4" t="s">
        <v>6</v>
      </c>
      <c r="H1" s="4" t="s">
        <v>7</v>
      </c>
      <c r="I1" s="4" t="s">
        <v>8</v>
      </c>
      <c r="J1" s="4" t="s">
        <v>9</v>
      </c>
      <c r="K1" s="4" t="s">
        <v>10</v>
      </c>
      <c r="L1" s="5" t="s">
        <v>11</v>
      </c>
      <c r="M1" s="5" t="s">
        <v>12</v>
      </c>
      <c r="N1" s="6" t="s">
        <v>13</v>
      </c>
      <c r="O1" s="4" t="s">
        <v>14</v>
      </c>
      <c r="P1" s="4" t="s">
        <v>15</v>
      </c>
      <c r="Q1" s="7" t="s">
        <v>16</v>
      </c>
      <c r="R1" s="8" t="s">
        <v>17</v>
      </c>
      <c r="S1" s="8" t="s">
        <v>18</v>
      </c>
      <c r="T1" s="9" t="s">
        <v>19</v>
      </c>
      <c r="U1" s="10" t="s">
        <v>20</v>
      </c>
    </row>
    <row r="2" spans="1:21" x14ac:dyDescent="0.35">
      <c r="A2" s="11">
        <v>45091</v>
      </c>
      <c r="B2" s="12" t="str">
        <f>"AM"</f>
        <v>AM</v>
      </c>
      <c r="C2" s="13" t="str">
        <f t="shared" ref="C2:C65" si="0">TEXT(A2,"mmmm")</f>
        <v>June</v>
      </c>
      <c r="D2" s="13" t="str">
        <f t="shared" ref="D2:D65" si="1">CHOOSE(WEEKDAY(A2),"SUN","MON","TUE","WED","THU","FRI","SAT")</f>
        <v>WED</v>
      </c>
      <c r="E2" s="14">
        <v>0</v>
      </c>
      <c r="F2" s="14">
        <v>0</v>
      </c>
      <c r="G2" s="14">
        <v>0</v>
      </c>
      <c r="H2" s="14">
        <f t="shared" ref="H2:H65" si="2">E2*0.04</f>
        <v>0</v>
      </c>
      <c r="I2" s="14">
        <f t="shared" ref="I2:I65" si="3">F2*0.0168</f>
        <v>0</v>
      </c>
      <c r="J2" s="14">
        <v>0</v>
      </c>
      <c r="K2" s="14">
        <f t="shared" ref="K2:K65" si="4">F2-(H2+I2)</f>
        <v>0</v>
      </c>
      <c r="L2" s="15">
        <v>0</v>
      </c>
      <c r="M2" s="15">
        <v>0</v>
      </c>
      <c r="N2" s="16">
        <f t="shared" ref="N2:N65" si="5">((L2*60)+M2)/60</f>
        <v>0</v>
      </c>
      <c r="O2" s="17">
        <f t="shared" ref="O2:O65" si="6">N2*2.13</f>
        <v>0</v>
      </c>
      <c r="P2" s="17">
        <f t="shared" ref="P2:P65" si="7">K2+J2+O2</f>
        <v>0</v>
      </c>
      <c r="Q2" s="18">
        <f t="shared" ref="Q2:Q65" si="8">G2+K2+O2</f>
        <v>0</v>
      </c>
      <c r="R2" s="19">
        <f>COUNTIF(RAW_DATA[[#This Row],[CONVERTED]],"&gt;0")</f>
        <v>0</v>
      </c>
      <c r="S2" s="19">
        <f>COUNTIFS(RAW_DATA[[#This Row],[AM/PM]],"AM",RAW_DATA[[#This Row],[CONVERTED]],"&gt;0")</f>
        <v>0</v>
      </c>
      <c r="T2" s="19"/>
      <c r="U2" s="20" t="str">
        <f t="shared" ref="U2:U65" si="9">IF(AND(S2=1,T3=1,B2="AM"),"DOUBLE",IF(AND(S1=1,N2&gt;0),"DOUBLE","SINGLE"))</f>
        <v>SINGLE</v>
      </c>
    </row>
    <row r="3" spans="1:21" x14ac:dyDescent="0.35">
      <c r="A3" s="21">
        <f>IF(B2="AM",A2,A2+1)</f>
        <v>45091</v>
      </c>
      <c r="B3" s="22" t="str">
        <f t="shared" ref="B3:B66" si="10">IF(B2="AM","PM","AM")</f>
        <v>PM</v>
      </c>
      <c r="C3" s="23" t="str">
        <f t="shared" si="0"/>
        <v>June</v>
      </c>
      <c r="D3" s="13" t="str">
        <f t="shared" si="1"/>
        <v>WED</v>
      </c>
      <c r="E3" s="24">
        <v>0</v>
      </c>
      <c r="F3" s="24">
        <v>0</v>
      </c>
      <c r="G3" s="24">
        <v>0</v>
      </c>
      <c r="H3" s="24">
        <f t="shared" si="2"/>
        <v>0</v>
      </c>
      <c r="I3" s="24">
        <f t="shared" si="3"/>
        <v>0</v>
      </c>
      <c r="J3" s="24">
        <v>0</v>
      </c>
      <c r="K3" s="24">
        <f t="shared" si="4"/>
        <v>0</v>
      </c>
      <c r="L3" s="25">
        <v>0</v>
      </c>
      <c r="M3" s="25">
        <v>0</v>
      </c>
      <c r="N3" s="26">
        <f t="shared" si="5"/>
        <v>0</v>
      </c>
      <c r="O3" s="27">
        <f t="shared" si="6"/>
        <v>0</v>
      </c>
      <c r="P3" s="27">
        <f t="shared" si="7"/>
        <v>0</v>
      </c>
      <c r="Q3" s="28">
        <f t="shared" si="8"/>
        <v>0</v>
      </c>
      <c r="R3" s="19">
        <f>COUNTIF(RAW_DATA[[#This Row],[CONVERTED]],"&gt;0")</f>
        <v>0</v>
      </c>
      <c r="S3" s="19">
        <f>COUNTIFS(RAW_DATA[[#This Row],[AM/PM]],"AM",RAW_DATA[[#This Row],[CONVERTED]],"&gt;0")</f>
        <v>0</v>
      </c>
      <c r="T3" s="19">
        <f t="shared" ref="T3:T66" si="11">IF(AND($S2=1,$N3&gt;0),1,0)</f>
        <v>0</v>
      </c>
      <c r="U3" s="20" t="str">
        <f t="shared" si="9"/>
        <v>SINGLE</v>
      </c>
    </row>
    <row r="4" spans="1:21" x14ac:dyDescent="0.35">
      <c r="A4" s="21">
        <f t="shared" ref="A4:A67" si="12">IF(B3 = "AM",A3,A3+1)</f>
        <v>45092</v>
      </c>
      <c r="B4" s="22" t="str">
        <f t="shared" si="10"/>
        <v>AM</v>
      </c>
      <c r="C4" s="23" t="str">
        <f t="shared" si="0"/>
        <v>June</v>
      </c>
      <c r="D4" s="13" t="str">
        <f t="shared" si="1"/>
        <v>THU</v>
      </c>
      <c r="E4" s="24">
        <v>0</v>
      </c>
      <c r="F4" s="24">
        <v>0</v>
      </c>
      <c r="G4" s="24">
        <v>0</v>
      </c>
      <c r="H4" s="24">
        <f t="shared" si="2"/>
        <v>0</v>
      </c>
      <c r="I4" s="24">
        <f t="shared" si="3"/>
        <v>0</v>
      </c>
      <c r="J4" s="24">
        <v>0</v>
      </c>
      <c r="K4" s="24">
        <f t="shared" si="4"/>
        <v>0</v>
      </c>
      <c r="L4" s="25">
        <v>0</v>
      </c>
      <c r="M4" s="25">
        <v>0</v>
      </c>
      <c r="N4" s="26">
        <f t="shared" si="5"/>
        <v>0</v>
      </c>
      <c r="O4" s="27">
        <f t="shared" si="6"/>
        <v>0</v>
      </c>
      <c r="P4" s="27">
        <f t="shared" si="7"/>
        <v>0</v>
      </c>
      <c r="Q4" s="28">
        <f t="shared" si="8"/>
        <v>0</v>
      </c>
      <c r="R4" s="19">
        <f>COUNTIF(RAW_DATA[[#This Row],[CONVERTED]],"&gt;0")</f>
        <v>0</v>
      </c>
      <c r="S4" s="19">
        <f>COUNTIFS(RAW_DATA[[#This Row],[AM/PM]],"AM",RAW_DATA[[#This Row],[CONVERTED]],"&gt;0")</f>
        <v>0</v>
      </c>
      <c r="T4" s="19">
        <f t="shared" si="11"/>
        <v>0</v>
      </c>
      <c r="U4" s="20" t="str">
        <f t="shared" si="9"/>
        <v>SINGLE</v>
      </c>
    </row>
    <row r="5" spans="1:21" x14ac:dyDescent="0.35">
      <c r="A5" s="21">
        <f t="shared" si="12"/>
        <v>45092</v>
      </c>
      <c r="B5" s="22" t="str">
        <f t="shared" si="10"/>
        <v>PM</v>
      </c>
      <c r="C5" s="23" t="str">
        <f t="shared" si="0"/>
        <v>June</v>
      </c>
      <c r="D5" s="13" t="str">
        <f t="shared" si="1"/>
        <v>THU</v>
      </c>
      <c r="E5" s="24">
        <v>0</v>
      </c>
      <c r="F5" s="24">
        <v>0</v>
      </c>
      <c r="G5" s="24">
        <v>0</v>
      </c>
      <c r="H5" s="24">
        <f t="shared" si="2"/>
        <v>0</v>
      </c>
      <c r="I5" s="24">
        <f t="shared" si="3"/>
        <v>0</v>
      </c>
      <c r="J5" s="24">
        <v>0</v>
      </c>
      <c r="K5" s="24">
        <f t="shared" si="4"/>
        <v>0</v>
      </c>
      <c r="L5" s="25">
        <v>0</v>
      </c>
      <c r="M5" s="25">
        <v>0</v>
      </c>
      <c r="N5" s="26">
        <f t="shared" si="5"/>
        <v>0</v>
      </c>
      <c r="O5" s="27">
        <f t="shared" si="6"/>
        <v>0</v>
      </c>
      <c r="P5" s="27">
        <f t="shared" si="7"/>
        <v>0</v>
      </c>
      <c r="Q5" s="28">
        <f t="shared" si="8"/>
        <v>0</v>
      </c>
      <c r="R5" s="19">
        <f>COUNTIF(RAW_DATA[[#This Row],[CONVERTED]],"&gt;0")</f>
        <v>0</v>
      </c>
      <c r="S5" s="19">
        <f>COUNTIFS(RAW_DATA[[#This Row],[AM/PM]],"AM",RAW_DATA[[#This Row],[CONVERTED]],"&gt;0")</f>
        <v>0</v>
      </c>
      <c r="T5" s="19">
        <f t="shared" si="11"/>
        <v>0</v>
      </c>
      <c r="U5" s="20" t="str">
        <f t="shared" si="9"/>
        <v>SINGLE</v>
      </c>
    </row>
    <row r="6" spans="1:21" x14ac:dyDescent="0.35">
      <c r="A6" s="21">
        <f t="shared" si="12"/>
        <v>45093</v>
      </c>
      <c r="B6" s="22" t="str">
        <f t="shared" si="10"/>
        <v>AM</v>
      </c>
      <c r="C6" s="23" t="str">
        <f t="shared" si="0"/>
        <v>June</v>
      </c>
      <c r="D6" s="13" t="str">
        <f t="shared" si="1"/>
        <v>FRI</v>
      </c>
      <c r="E6" s="24">
        <v>0</v>
      </c>
      <c r="F6" s="24">
        <v>0</v>
      </c>
      <c r="G6" s="24">
        <v>0</v>
      </c>
      <c r="H6" s="24">
        <f t="shared" si="2"/>
        <v>0</v>
      </c>
      <c r="I6" s="24">
        <f t="shared" si="3"/>
        <v>0</v>
      </c>
      <c r="J6" s="24">
        <v>0</v>
      </c>
      <c r="K6" s="24">
        <f t="shared" si="4"/>
        <v>0</v>
      </c>
      <c r="L6" s="25">
        <v>0</v>
      </c>
      <c r="M6" s="25">
        <v>0</v>
      </c>
      <c r="N6" s="26">
        <f t="shared" si="5"/>
        <v>0</v>
      </c>
      <c r="O6" s="27">
        <f t="shared" si="6"/>
        <v>0</v>
      </c>
      <c r="P6" s="27">
        <f t="shared" si="7"/>
        <v>0</v>
      </c>
      <c r="Q6" s="28">
        <f t="shared" si="8"/>
        <v>0</v>
      </c>
      <c r="R6" s="19">
        <f>COUNTIF(RAW_DATA[[#This Row],[CONVERTED]],"&gt;0")</f>
        <v>0</v>
      </c>
      <c r="S6" s="19">
        <f>COUNTIFS(RAW_DATA[[#This Row],[AM/PM]],"AM",RAW_DATA[[#This Row],[CONVERTED]],"&gt;0")</f>
        <v>0</v>
      </c>
      <c r="T6" s="19">
        <f t="shared" si="11"/>
        <v>0</v>
      </c>
      <c r="U6" s="20" t="str">
        <f t="shared" si="9"/>
        <v>SINGLE</v>
      </c>
    </row>
    <row r="7" spans="1:21" x14ac:dyDescent="0.35">
      <c r="A7" s="21">
        <f t="shared" si="12"/>
        <v>45093</v>
      </c>
      <c r="B7" s="22" t="str">
        <f t="shared" si="10"/>
        <v>PM</v>
      </c>
      <c r="C7" s="23" t="str">
        <f t="shared" si="0"/>
        <v>June</v>
      </c>
      <c r="D7" s="13" t="str">
        <f t="shared" si="1"/>
        <v>FRI</v>
      </c>
      <c r="E7" s="24">
        <v>697</v>
      </c>
      <c r="F7" s="24">
        <v>144.61000000000001</v>
      </c>
      <c r="G7" s="24">
        <v>0</v>
      </c>
      <c r="H7" s="24">
        <f t="shared" si="2"/>
        <v>27.88</v>
      </c>
      <c r="I7" s="24">
        <f t="shared" si="3"/>
        <v>2.4294480000000003</v>
      </c>
      <c r="J7" s="24">
        <v>0</v>
      </c>
      <c r="K7" s="24">
        <f t="shared" si="4"/>
        <v>114.30055200000001</v>
      </c>
      <c r="L7" s="25">
        <v>4</v>
      </c>
      <c r="M7" s="25">
        <v>45</v>
      </c>
      <c r="N7" s="26">
        <f t="shared" si="5"/>
        <v>4.75</v>
      </c>
      <c r="O7" s="27">
        <f t="shared" si="6"/>
        <v>10.1175</v>
      </c>
      <c r="P7" s="27">
        <f t="shared" si="7"/>
        <v>124.41805200000002</v>
      </c>
      <c r="Q7" s="28">
        <f t="shared" si="8"/>
        <v>124.41805200000002</v>
      </c>
      <c r="R7" s="19">
        <f>COUNTIF(RAW_DATA[[#This Row],[CONVERTED]],"&gt;0")</f>
        <v>1</v>
      </c>
      <c r="S7" s="19">
        <f>COUNTIFS(RAW_DATA[[#This Row],[AM/PM]],"AM",RAW_DATA[[#This Row],[CONVERTED]],"&gt;0")</f>
        <v>0</v>
      </c>
      <c r="T7" s="19">
        <f t="shared" si="11"/>
        <v>0</v>
      </c>
      <c r="U7" s="20" t="str">
        <f t="shared" si="9"/>
        <v>SINGLE</v>
      </c>
    </row>
    <row r="8" spans="1:21" x14ac:dyDescent="0.35">
      <c r="A8" s="21">
        <f t="shared" si="12"/>
        <v>45094</v>
      </c>
      <c r="B8" s="22" t="str">
        <f t="shared" si="10"/>
        <v>AM</v>
      </c>
      <c r="C8" s="23" t="str">
        <f t="shared" si="0"/>
        <v>June</v>
      </c>
      <c r="D8" s="13" t="str">
        <f t="shared" si="1"/>
        <v>SAT</v>
      </c>
      <c r="E8" s="24">
        <v>0</v>
      </c>
      <c r="F8" s="24">
        <v>0</v>
      </c>
      <c r="G8" s="24">
        <v>0</v>
      </c>
      <c r="H8" s="24">
        <f t="shared" si="2"/>
        <v>0</v>
      </c>
      <c r="I8" s="24">
        <f t="shared" si="3"/>
        <v>0</v>
      </c>
      <c r="J8" s="24">
        <v>0</v>
      </c>
      <c r="K8" s="24">
        <f t="shared" si="4"/>
        <v>0</v>
      </c>
      <c r="L8" s="25">
        <v>0</v>
      </c>
      <c r="M8" s="25">
        <v>0</v>
      </c>
      <c r="N8" s="26">
        <f t="shared" si="5"/>
        <v>0</v>
      </c>
      <c r="O8" s="27">
        <f t="shared" si="6"/>
        <v>0</v>
      </c>
      <c r="P8" s="27">
        <f t="shared" si="7"/>
        <v>0</v>
      </c>
      <c r="Q8" s="28">
        <f t="shared" si="8"/>
        <v>0</v>
      </c>
      <c r="R8" s="19">
        <f>COUNTIF(RAW_DATA[[#This Row],[CONVERTED]],"&gt;0")</f>
        <v>0</v>
      </c>
      <c r="S8" s="19">
        <f>COUNTIFS(RAW_DATA[[#This Row],[AM/PM]],"AM",RAW_DATA[[#This Row],[CONVERTED]],"&gt;0")</f>
        <v>0</v>
      </c>
      <c r="T8" s="19">
        <f t="shared" si="11"/>
        <v>0</v>
      </c>
      <c r="U8" s="20" t="str">
        <f t="shared" si="9"/>
        <v>SINGLE</v>
      </c>
    </row>
    <row r="9" spans="1:21" x14ac:dyDescent="0.35">
      <c r="A9" s="21">
        <f t="shared" si="12"/>
        <v>45094</v>
      </c>
      <c r="B9" s="22" t="str">
        <f t="shared" si="10"/>
        <v>PM</v>
      </c>
      <c r="C9" s="23" t="str">
        <f t="shared" si="0"/>
        <v>June</v>
      </c>
      <c r="D9" s="13" t="str">
        <f t="shared" si="1"/>
        <v>SAT</v>
      </c>
      <c r="E9" s="24">
        <v>1800</v>
      </c>
      <c r="F9" s="24">
        <v>315</v>
      </c>
      <c r="G9" s="24">
        <v>45</v>
      </c>
      <c r="H9" s="24">
        <f t="shared" si="2"/>
        <v>72</v>
      </c>
      <c r="I9" s="24">
        <f t="shared" si="3"/>
        <v>5.2919999999999998</v>
      </c>
      <c r="J9" s="24">
        <v>4.5</v>
      </c>
      <c r="K9" s="24">
        <f t="shared" si="4"/>
        <v>237.708</v>
      </c>
      <c r="L9" s="25">
        <v>5</v>
      </c>
      <c r="M9" s="25">
        <v>30</v>
      </c>
      <c r="N9" s="26">
        <f t="shared" si="5"/>
        <v>5.5</v>
      </c>
      <c r="O9" s="27">
        <f t="shared" si="6"/>
        <v>11.715</v>
      </c>
      <c r="P9" s="27">
        <f t="shared" si="7"/>
        <v>253.923</v>
      </c>
      <c r="Q9" s="28">
        <f t="shared" si="8"/>
        <v>294.42299999999994</v>
      </c>
      <c r="R9" s="19">
        <f>COUNTIF(RAW_DATA[[#This Row],[CONVERTED]],"&gt;0")</f>
        <v>1</v>
      </c>
      <c r="S9" s="19">
        <f>COUNTIFS(RAW_DATA[[#This Row],[AM/PM]],"AM",RAW_DATA[[#This Row],[CONVERTED]],"&gt;0")</f>
        <v>0</v>
      </c>
      <c r="T9" s="19">
        <f t="shared" si="11"/>
        <v>0</v>
      </c>
      <c r="U9" s="20" t="str">
        <f t="shared" si="9"/>
        <v>SINGLE</v>
      </c>
    </row>
    <row r="10" spans="1:21" x14ac:dyDescent="0.35">
      <c r="A10" s="21">
        <f t="shared" si="12"/>
        <v>45095</v>
      </c>
      <c r="B10" s="22" t="str">
        <f t="shared" si="10"/>
        <v>AM</v>
      </c>
      <c r="C10" s="23" t="str">
        <f t="shared" si="0"/>
        <v>June</v>
      </c>
      <c r="D10" s="13" t="str">
        <f t="shared" si="1"/>
        <v>SUN</v>
      </c>
      <c r="E10" s="24">
        <v>0</v>
      </c>
      <c r="F10" s="24">
        <v>0</v>
      </c>
      <c r="G10" s="24">
        <v>0</v>
      </c>
      <c r="H10" s="24">
        <f t="shared" si="2"/>
        <v>0</v>
      </c>
      <c r="I10" s="24">
        <f t="shared" si="3"/>
        <v>0</v>
      </c>
      <c r="J10" s="24">
        <v>0</v>
      </c>
      <c r="K10" s="24">
        <f t="shared" si="4"/>
        <v>0</v>
      </c>
      <c r="L10" s="25">
        <v>0</v>
      </c>
      <c r="M10" s="25">
        <v>0</v>
      </c>
      <c r="N10" s="26">
        <f t="shared" si="5"/>
        <v>0</v>
      </c>
      <c r="O10" s="27">
        <f t="shared" si="6"/>
        <v>0</v>
      </c>
      <c r="P10" s="27">
        <f t="shared" si="7"/>
        <v>0</v>
      </c>
      <c r="Q10" s="28">
        <f t="shared" si="8"/>
        <v>0</v>
      </c>
      <c r="R10" s="19">
        <f>COUNTIF(RAW_DATA[[#This Row],[CONVERTED]],"&gt;0")</f>
        <v>0</v>
      </c>
      <c r="S10" s="19">
        <f>COUNTIFS(RAW_DATA[[#This Row],[AM/PM]],"AM",RAW_DATA[[#This Row],[CONVERTED]],"&gt;0")</f>
        <v>0</v>
      </c>
      <c r="T10" s="19">
        <f t="shared" si="11"/>
        <v>0</v>
      </c>
      <c r="U10" s="20" t="str">
        <f t="shared" si="9"/>
        <v>SINGLE</v>
      </c>
    </row>
    <row r="11" spans="1:21" x14ac:dyDescent="0.35">
      <c r="A11" s="21">
        <f t="shared" si="12"/>
        <v>45095</v>
      </c>
      <c r="B11" s="22" t="str">
        <f t="shared" si="10"/>
        <v>PM</v>
      </c>
      <c r="C11" s="23" t="str">
        <f t="shared" si="0"/>
        <v>June</v>
      </c>
      <c r="D11" s="13" t="str">
        <f t="shared" si="1"/>
        <v>SUN</v>
      </c>
      <c r="E11" s="24">
        <v>1015</v>
      </c>
      <c r="F11" s="24">
        <v>180.55</v>
      </c>
      <c r="G11" s="24">
        <v>10</v>
      </c>
      <c r="H11" s="24">
        <f t="shared" si="2"/>
        <v>40.6</v>
      </c>
      <c r="I11" s="24">
        <f t="shared" si="3"/>
        <v>3.0332400000000002</v>
      </c>
      <c r="J11" s="24">
        <v>1</v>
      </c>
      <c r="K11" s="24">
        <f t="shared" si="4"/>
        <v>136.91676000000001</v>
      </c>
      <c r="L11" s="25">
        <v>5</v>
      </c>
      <c r="M11" s="25">
        <v>30</v>
      </c>
      <c r="N11" s="26">
        <f t="shared" si="5"/>
        <v>5.5</v>
      </c>
      <c r="O11" s="27">
        <f t="shared" si="6"/>
        <v>11.715</v>
      </c>
      <c r="P11" s="27">
        <f t="shared" si="7"/>
        <v>149.63176000000001</v>
      </c>
      <c r="Q11" s="28">
        <f t="shared" si="8"/>
        <v>158.63176000000001</v>
      </c>
      <c r="R11" s="19">
        <f>COUNTIF(RAW_DATA[[#This Row],[CONVERTED]],"&gt;0")</f>
        <v>1</v>
      </c>
      <c r="S11" s="19">
        <f>COUNTIFS(RAW_DATA[[#This Row],[AM/PM]],"AM",RAW_DATA[[#This Row],[CONVERTED]],"&gt;0")</f>
        <v>0</v>
      </c>
      <c r="T11" s="19">
        <f t="shared" si="11"/>
        <v>0</v>
      </c>
      <c r="U11" s="20" t="str">
        <f t="shared" si="9"/>
        <v>SINGLE</v>
      </c>
    </row>
    <row r="12" spans="1:21" x14ac:dyDescent="0.35">
      <c r="A12" s="21">
        <f t="shared" si="12"/>
        <v>45096</v>
      </c>
      <c r="B12" s="22" t="str">
        <f t="shared" si="10"/>
        <v>AM</v>
      </c>
      <c r="C12" s="23" t="str">
        <f t="shared" si="0"/>
        <v>June</v>
      </c>
      <c r="D12" s="13" t="str">
        <f t="shared" si="1"/>
        <v>MON</v>
      </c>
      <c r="E12" s="24">
        <v>0</v>
      </c>
      <c r="F12" s="24">
        <v>0</v>
      </c>
      <c r="G12" s="24">
        <v>0</v>
      </c>
      <c r="H12" s="24">
        <f t="shared" si="2"/>
        <v>0</v>
      </c>
      <c r="I12" s="24">
        <f t="shared" si="3"/>
        <v>0</v>
      </c>
      <c r="J12" s="24">
        <v>0</v>
      </c>
      <c r="K12" s="24">
        <f t="shared" si="4"/>
        <v>0</v>
      </c>
      <c r="L12" s="25">
        <v>0</v>
      </c>
      <c r="M12" s="25">
        <v>0</v>
      </c>
      <c r="N12" s="26">
        <f t="shared" si="5"/>
        <v>0</v>
      </c>
      <c r="O12" s="27">
        <f t="shared" si="6"/>
        <v>0</v>
      </c>
      <c r="P12" s="27">
        <f t="shared" si="7"/>
        <v>0</v>
      </c>
      <c r="Q12" s="28">
        <f t="shared" si="8"/>
        <v>0</v>
      </c>
      <c r="R12" s="19">
        <f>COUNTIF(RAW_DATA[[#This Row],[CONVERTED]],"&gt;0")</f>
        <v>0</v>
      </c>
      <c r="S12" s="19">
        <f>COUNTIFS(RAW_DATA[[#This Row],[AM/PM]],"AM",RAW_DATA[[#This Row],[CONVERTED]],"&gt;0")</f>
        <v>0</v>
      </c>
      <c r="T12" s="19">
        <f t="shared" si="11"/>
        <v>0</v>
      </c>
      <c r="U12" s="20" t="str">
        <f t="shared" si="9"/>
        <v>SINGLE</v>
      </c>
    </row>
    <row r="13" spans="1:21" x14ac:dyDescent="0.35">
      <c r="A13" s="21">
        <f t="shared" si="12"/>
        <v>45096</v>
      </c>
      <c r="B13" s="22" t="str">
        <f t="shared" si="10"/>
        <v>PM</v>
      </c>
      <c r="C13" s="23" t="str">
        <f t="shared" si="0"/>
        <v>June</v>
      </c>
      <c r="D13" s="13" t="str">
        <f t="shared" si="1"/>
        <v>MON</v>
      </c>
      <c r="E13" s="24">
        <v>551</v>
      </c>
      <c r="F13" s="24">
        <v>82</v>
      </c>
      <c r="G13" s="24">
        <v>0</v>
      </c>
      <c r="H13" s="24">
        <f t="shared" si="2"/>
        <v>22.04</v>
      </c>
      <c r="I13" s="24">
        <f t="shared" si="3"/>
        <v>1.3775999999999999</v>
      </c>
      <c r="J13" s="24">
        <v>0</v>
      </c>
      <c r="K13" s="24">
        <f t="shared" si="4"/>
        <v>58.5824</v>
      </c>
      <c r="L13" s="25">
        <v>4</v>
      </c>
      <c r="M13" s="25">
        <v>0</v>
      </c>
      <c r="N13" s="26">
        <f t="shared" si="5"/>
        <v>4</v>
      </c>
      <c r="O13" s="27">
        <f t="shared" si="6"/>
        <v>8.52</v>
      </c>
      <c r="P13" s="27">
        <f t="shared" si="7"/>
        <v>67.102400000000003</v>
      </c>
      <c r="Q13" s="28">
        <f t="shared" si="8"/>
        <v>67.102400000000003</v>
      </c>
      <c r="R13" s="19">
        <f>COUNTIF(RAW_DATA[[#This Row],[CONVERTED]],"&gt;0")</f>
        <v>1</v>
      </c>
      <c r="S13" s="19">
        <f>COUNTIFS(RAW_DATA[[#This Row],[AM/PM]],"AM",RAW_DATA[[#This Row],[CONVERTED]],"&gt;0")</f>
        <v>0</v>
      </c>
      <c r="T13" s="19">
        <f t="shared" si="11"/>
        <v>0</v>
      </c>
      <c r="U13" s="20" t="str">
        <f t="shared" si="9"/>
        <v>SINGLE</v>
      </c>
    </row>
    <row r="14" spans="1:21" x14ac:dyDescent="0.35">
      <c r="A14" s="21">
        <f t="shared" si="12"/>
        <v>45097</v>
      </c>
      <c r="B14" s="22" t="str">
        <f t="shared" si="10"/>
        <v>AM</v>
      </c>
      <c r="C14" s="23" t="str">
        <f t="shared" si="0"/>
        <v>June</v>
      </c>
      <c r="D14" s="13" t="str">
        <f t="shared" si="1"/>
        <v>TUE</v>
      </c>
      <c r="E14" s="24">
        <v>0</v>
      </c>
      <c r="F14" s="24">
        <v>0</v>
      </c>
      <c r="G14" s="24">
        <v>0</v>
      </c>
      <c r="H14" s="24">
        <f t="shared" si="2"/>
        <v>0</v>
      </c>
      <c r="I14" s="24">
        <f t="shared" si="3"/>
        <v>0</v>
      </c>
      <c r="J14" s="24">
        <v>0</v>
      </c>
      <c r="K14" s="24">
        <f t="shared" si="4"/>
        <v>0</v>
      </c>
      <c r="L14" s="25">
        <v>0</v>
      </c>
      <c r="M14" s="25">
        <v>0</v>
      </c>
      <c r="N14" s="26">
        <f t="shared" si="5"/>
        <v>0</v>
      </c>
      <c r="O14" s="27">
        <f t="shared" si="6"/>
        <v>0</v>
      </c>
      <c r="P14" s="27">
        <f t="shared" si="7"/>
        <v>0</v>
      </c>
      <c r="Q14" s="28">
        <f t="shared" si="8"/>
        <v>0</v>
      </c>
      <c r="R14" s="19">
        <f>COUNTIF(RAW_DATA[[#This Row],[CONVERTED]],"&gt;0")</f>
        <v>0</v>
      </c>
      <c r="S14" s="19">
        <f>COUNTIFS(RAW_DATA[[#This Row],[AM/PM]],"AM",RAW_DATA[[#This Row],[CONVERTED]],"&gt;0")</f>
        <v>0</v>
      </c>
      <c r="T14" s="19">
        <f t="shared" si="11"/>
        <v>0</v>
      </c>
      <c r="U14" s="20" t="str">
        <f t="shared" si="9"/>
        <v>SINGLE</v>
      </c>
    </row>
    <row r="15" spans="1:21" x14ac:dyDescent="0.35">
      <c r="A15" s="21">
        <f t="shared" si="12"/>
        <v>45097</v>
      </c>
      <c r="B15" s="22" t="str">
        <f t="shared" si="10"/>
        <v>PM</v>
      </c>
      <c r="C15" s="23" t="str">
        <f t="shared" si="0"/>
        <v>June</v>
      </c>
      <c r="D15" s="13" t="str">
        <f t="shared" si="1"/>
        <v>TUE</v>
      </c>
      <c r="E15" s="24">
        <v>489.5</v>
      </c>
      <c r="F15" s="24">
        <v>93.83</v>
      </c>
      <c r="G15" s="24">
        <v>0</v>
      </c>
      <c r="H15" s="24">
        <f t="shared" si="2"/>
        <v>19.580000000000002</v>
      </c>
      <c r="I15" s="24">
        <f t="shared" si="3"/>
        <v>1.576344</v>
      </c>
      <c r="J15" s="24">
        <v>0</v>
      </c>
      <c r="K15" s="24">
        <f t="shared" si="4"/>
        <v>72.673655999999994</v>
      </c>
      <c r="L15" s="25">
        <v>3</v>
      </c>
      <c r="M15" s="25">
        <v>35</v>
      </c>
      <c r="N15" s="26">
        <f t="shared" si="5"/>
        <v>3.5833333333333335</v>
      </c>
      <c r="O15" s="24">
        <f t="shared" si="6"/>
        <v>7.6325000000000003</v>
      </c>
      <c r="P15" s="24">
        <f t="shared" si="7"/>
        <v>80.306155999999987</v>
      </c>
      <c r="Q15" s="29">
        <f t="shared" si="8"/>
        <v>80.306155999999987</v>
      </c>
      <c r="R15" s="30">
        <f>COUNTIF(RAW_DATA[[#This Row],[CONVERTED]],"&gt;0")</f>
        <v>1</v>
      </c>
      <c r="S15" s="30">
        <f>COUNTIFS(RAW_DATA[[#This Row],[AM/PM]],"AM",RAW_DATA[[#This Row],[CONVERTED]],"&gt;0")</f>
        <v>0</v>
      </c>
      <c r="T15" s="19">
        <f t="shared" si="11"/>
        <v>0</v>
      </c>
      <c r="U15" s="20" t="str">
        <f t="shared" si="9"/>
        <v>SINGLE</v>
      </c>
    </row>
    <row r="16" spans="1:21" x14ac:dyDescent="0.35">
      <c r="A16" s="21">
        <f t="shared" si="12"/>
        <v>45098</v>
      </c>
      <c r="B16" s="22" t="str">
        <f t="shared" si="10"/>
        <v>AM</v>
      </c>
      <c r="C16" s="23" t="str">
        <f t="shared" si="0"/>
        <v>June</v>
      </c>
      <c r="D16" s="13" t="str">
        <f t="shared" si="1"/>
        <v>WED</v>
      </c>
      <c r="E16" s="24">
        <v>0</v>
      </c>
      <c r="F16" s="24">
        <v>0</v>
      </c>
      <c r="G16" s="24">
        <v>0</v>
      </c>
      <c r="H16" s="24">
        <f t="shared" si="2"/>
        <v>0</v>
      </c>
      <c r="I16" s="24">
        <f t="shared" si="3"/>
        <v>0</v>
      </c>
      <c r="J16" s="24">
        <v>0</v>
      </c>
      <c r="K16" s="24">
        <f t="shared" si="4"/>
        <v>0</v>
      </c>
      <c r="L16" s="25">
        <v>0</v>
      </c>
      <c r="M16" s="25">
        <v>0</v>
      </c>
      <c r="N16" s="26">
        <f t="shared" si="5"/>
        <v>0</v>
      </c>
      <c r="O16" s="27">
        <f t="shared" si="6"/>
        <v>0</v>
      </c>
      <c r="P16" s="27">
        <f t="shared" si="7"/>
        <v>0</v>
      </c>
      <c r="Q16" s="28">
        <f t="shared" si="8"/>
        <v>0</v>
      </c>
      <c r="R16" s="19">
        <f>COUNTIF(RAW_DATA[[#This Row],[CONVERTED]],"&gt;0")</f>
        <v>0</v>
      </c>
      <c r="S16" s="19">
        <f>COUNTIFS(RAW_DATA[[#This Row],[AM/PM]],"AM",RAW_DATA[[#This Row],[CONVERTED]],"&gt;0")</f>
        <v>0</v>
      </c>
      <c r="T16" s="19">
        <f t="shared" si="11"/>
        <v>0</v>
      </c>
      <c r="U16" s="20" t="str">
        <f t="shared" si="9"/>
        <v>SINGLE</v>
      </c>
    </row>
    <row r="17" spans="1:21" x14ac:dyDescent="0.35">
      <c r="A17" s="21">
        <f t="shared" si="12"/>
        <v>45098</v>
      </c>
      <c r="B17" s="22" t="str">
        <f t="shared" si="10"/>
        <v>PM</v>
      </c>
      <c r="C17" s="23" t="str">
        <f t="shared" si="0"/>
        <v>June</v>
      </c>
      <c r="D17" s="13" t="str">
        <f t="shared" si="1"/>
        <v>WED</v>
      </c>
      <c r="E17" s="24">
        <v>1067</v>
      </c>
      <c r="F17" s="24">
        <v>196.33</v>
      </c>
      <c r="G17" s="24">
        <v>0</v>
      </c>
      <c r="H17" s="24">
        <f t="shared" si="2"/>
        <v>42.68</v>
      </c>
      <c r="I17" s="24">
        <f t="shared" si="3"/>
        <v>3.2983440000000002</v>
      </c>
      <c r="J17" s="24">
        <v>0</v>
      </c>
      <c r="K17" s="24">
        <f t="shared" si="4"/>
        <v>150.35165600000002</v>
      </c>
      <c r="L17" s="25">
        <v>6</v>
      </c>
      <c r="M17" s="25">
        <v>26</v>
      </c>
      <c r="N17" s="26">
        <f t="shared" si="5"/>
        <v>6.4333333333333336</v>
      </c>
      <c r="O17" s="24">
        <f t="shared" si="6"/>
        <v>13.702999999999999</v>
      </c>
      <c r="P17" s="24">
        <f t="shared" si="7"/>
        <v>164.05465600000002</v>
      </c>
      <c r="Q17" s="29">
        <f t="shared" si="8"/>
        <v>164.05465600000002</v>
      </c>
      <c r="R17" s="30">
        <f>COUNTIF(RAW_DATA[[#This Row],[CONVERTED]],"&gt;0")</f>
        <v>1</v>
      </c>
      <c r="S17" s="30">
        <f>COUNTIFS(RAW_DATA[[#This Row],[AM/PM]],"AM",RAW_DATA[[#This Row],[CONVERTED]],"&gt;0")</f>
        <v>0</v>
      </c>
      <c r="T17" s="19">
        <f t="shared" si="11"/>
        <v>0</v>
      </c>
      <c r="U17" s="20" t="str">
        <f t="shared" si="9"/>
        <v>SINGLE</v>
      </c>
    </row>
    <row r="18" spans="1:21" x14ac:dyDescent="0.35">
      <c r="A18" s="21">
        <f t="shared" si="12"/>
        <v>45099</v>
      </c>
      <c r="B18" s="22" t="str">
        <f t="shared" si="10"/>
        <v>AM</v>
      </c>
      <c r="C18" s="23" t="str">
        <f t="shared" si="0"/>
        <v>June</v>
      </c>
      <c r="D18" s="13" t="str">
        <f t="shared" si="1"/>
        <v>THU</v>
      </c>
      <c r="E18" s="24">
        <v>0</v>
      </c>
      <c r="F18" s="24">
        <v>0</v>
      </c>
      <c r="G18" s="24">
        <v>0</v>
      </c>
      <c r="H18" s="24">
        <f t="shared" si="2"/>
        <v>0</v>
      </c>
      <c r="I18" s="24">
        <f t="shared" si="3"/>
        <v>0</v>
      </c>
      <c r="J18" s="24">
        <v>0</v>
      </c>
      <c r="K18" s="24">
        <f t="shared" si="4"/>
        <v>0</v>
      </c>
      <c r="L18" s="25">
        <v>0</v>
      </c>
      <c r="M18" s="25">
        <v>0</v>
      </c>
      <c r="N18" s="26">
        <f t="shared" si="5"/>
        <v>0</v>
      </c>
      <c r="O18" s="24">
        <f t="shared" si="6"/>
        <v>0</v>
      </c>
      <c r="P18" s="24">
        <f t="shared" si="7"/>
        <v>0</v>
      </c>
      <c r="Q18" s="29">
        <f t="shared" si="8"/>
        <v>0</v>
      </c>
      <c r="R18" s="30">
        <f>COUNTIF(RAW_DATA[[#This Row],[CONVERTED]],"&gt;0")</f>
        <v>0</v>
      </c>
      <c r="S18" s="30">
        <f>COUNTIFS(RAW_DATA[[#This Row],[AM/PM]],"AM",RAW_DATA[[#This Row],[CONVERTED]],"&gt;0")</f>
        <v>0</v>
      </c>
      <c r="T18" s="19">
        <f t="shared" si="11"/>
        <v>0</v>
      </c>
      <c r="U18" s="20" t="str">
        <f t="shared" si="9"/>
        <v>SINGLE</v>
      </c>
    </row>
    <row r="19" spans="1:21" x14ac:dyDescent="0.35">
      <c r="A19" s="21">
        <f t="shared" si="12"/>
        <v>45099</v>
      </c>
      <c r="B19" s="22" t="str">
        <f t="shared" si="10"/>
        <v>PM</v>
      </c>
      <c r="C19" s="23" t="str">
        <f t="shared" si="0"/>
        <v>June</v>
      </c>
      <c r="D19" s="13" t="str">
        <f t="shared" si="1"/>
        <v>THU</v>
      </c>
      <c r="E19" s="24">
        <v>0</v>
      </c>
      <c r="F19" s="24">
        <v>0</v>
      </c>
      <c r="G19" s="24">
        <v>0</v>
      </c>
      <c r="H19" s="24">
        <f t="shared" si="2"/>
        <v>0</v>
      </c>
      <c r="I19" s="24">
        <f t="shared" si="3"/>
        <v>0</v>
      </c>
      <c r="J19" s="24">
        <v>0</v>
      </c>
      <c r="K19" s="24">
        <f t="shared" si="4"/>
        <v>0</v>
      </c>
      <c r="L19" s="25">
        <v>0</v>
      </c>
      <c r="M19" s="25">
        <v>0</v>
      </c>
      <c r="N19" s="26">
        <f t="shared" si="5"/>
        <v>0</v>
      </c>
      <c r="O19" s="24">
        <f t="shared" si="6"/>
        <v>0</v>
      </c>
      <c r="P19" s="24">
        <f t="shared" si="7"/>
        <v>0</v>
      </c>
      <c r="Q19" s="29">
        <f t="shared" si="8"/>
        <v>0</v>
      </c>
      <c r="R19" s="30">
        <f>COUNTIF(RAW_DATA[[#This Row],[CONVERTED]],"&gt;0")</f>
        <v>0</v>
      </c>
      <c r="S19" s="30">
        <f>COUNTIFS(RAW_DATA[[#This Row],[AM/PM]],"AM",RAW_DATA[[#This Row],[CONVERTED]],"&gt;0")</f>
        <v>0</v>
      </c>
      <c r="T19" s="19">
        <f t="shared" si="11"/>
        <v>0</v>
      </c>
      <c r="U19" s="20" t="str">
        <f t="shared" si="9"/>
        <v>SINGLE</v>
      </c>
    </row>
    <row r="20" spans="1:21" x14ac:dyDescent="0.35">
      <c r="A20" s="21">
        <f t="shared" si="12"/>
        <v>45100</v>
      </c>
      <c r="B20" s="22" t="str">
        <f t="shared" si="10"/>
        <v>AM</v>
      </c>
      <c r="C20" s="23" t="str">
        <f t="shared" si="0"/>
        <v>June</v>
      </c>
      <c r="D20" s="13" t="str">
        <f t="shared" si="1"/>
        <v>FRI</v>
      </c>
      <c r="E20" s="24">
        <v>0</v>
      </c>
      <c r="F20" s="24">
        <v>0</v>
      </c>
      <c r="G20" s="24">
        <v>0</v>
      </c>
      <c r="H20" s="24">
        <f t="shared" si="2"/>
        <v>0</v>
      </c>
      <c r="I20" s="24">
        <f t="shared" si="3"/>
        <v>0</v>
      </c>
      <c r="J20" s="24">
        <v>0</v>
      </c>
      <c r="K20" s="24">
        <f t="shared" si="4"/>
        <v>0</v>
      </c>
      <c r="L20" s="25">
        <v>0</v>
      </c>
      <c r="M20" s="25">
        <v>0</v>
      </c>
      <c r="N20" s="26">
        <f t="shared" si="5"/>
        <v>0</v>
      </c>
      <c r="O20" s="24">
        <f t="shared" si="6"/>
        <v>0</v>
      </c>
      <c r="P20" s="24">
        <f t="shared" si="7"/>
        <v>0</v>
      </c>
      <c r="Q20" s="29">
        <f t="shared" si="8"/>
        <v>0</v>
      </c>
      <c r="R20" s="30">
        <f>COUNTIF(RAW_DATA[[#This Row],[CONVERTED]],"&gt;0")</f>
        <v>0</v>
      </c>
      <c r="S20" s="30">
        <f>COUNTIFS(RAW_DATA[[#This Row],[AM/PM]],"AM",RAW_DATA[[#This Row],[CONVERTED]],"&gt;0")</f>
        <v>0</v>
      </c>
      <c r="T20" s="19">
        <f t="shared" si="11"/>
        <v>0</v>
      </c>
      <c r="U20" s="20" t="str">
        <f t="shared" si="9"/>
        <v>SINGLE</v>
      </c>
    </row>
    <row r="21" spans="1:21" x14ac:dyDescent="0.35">
      <c r="A21" s="21">
        <f t="shared" si="12"/>
        <v>45100</v>
      </c>
      <c r="B21" s="22" t="str">
        <f t="shared" si="10"/>
        <v>PM</v>
      </c>
      <c r="C21" s="23" t="str">
        <f t="shared" si="0"/>
        <v>June</v>
      </c>
      <c r="D21" s="13" t="str">
        <f t="shared" si="1"/>
        <v>FRI</v>
      </c>
      <c r="E21" s="24">
        <v>1391.51</v>
      </c>
      <c r="F21" s="24">
        <v>260.42</v>
      </c>
      <c r="G21" s="24">
        <v>0</v>
      </c>
      <c r="H21" s="24">
        <f t="shared" si="2"/>
        <v>55.660400000000003</v>
      </c>
      <c r="I21" s="24">
        <f t="shared" si="3"/>
        <v>4.3750559999999998</v>
      </c>
      <c r="J21" s="24">
        <v>0</v>
      </c>
      <c r="K21" s="24">
        <f t="shared" si="4"/>
        <v>200.38454400000001</v>
      </c>
      <c r="L21" s="25">
        <v>5</v>
      </c>
      <c r="M21" s="25">
        <v>48</v>
      </c>
      <c r="N21" s="26">
        <f t="shared" si="5"/>
        <v>5.8</v>
      </c>
      <c r="O21" s="24">
        <f t="shared" si="6"/>
        <v>12.353999999999999</v>
      </c>
      <c r="P21" s="24">
        <f t="shared" si="7"/>
        <v>212.73854399999999</v>
      </c>
      <c r="Q21" s="29">
        <f t="shared" si="8"/>
        <v>212.73854399999999</v>
      </c>
      <c r="R21" s="30">
        <f>COUNTIF(RAW_DATA[[#This Row],[CONVERTED]],"&gt;0")</f>
        <v>1</v>
      </c>
      <c r="S21" s="30">
        <f>COUNTIFS(RAW_DATA[[#This Row],[AM/PM]],"AM",RAW_DATA[[#This Row],[CONVERTED]],"&gt;0")</f>
        <v>0</v>
      </c>
      <c r="T21" s="19">
        <f t="shared" si="11"/>
        <v>0</v>
      </c>
      <c r="U21" s="20" t="str">
        <f t="shared" si="9"/>
        <v>SINGLE</v>
      </c>
    </row>
    <row r="22" spans="1:21" x14ac:dyDescent="0.35">
      <c r="A22" s="21">
        <f t="shared" si="12"/>
        <v>45101</v>
      </c>
      <c r="B22" s="22" t="str">
        <f t="shared" si="10"/>
        <v>AM</v>
      </c>
      <c r="C22" s="23" t="str">
        <f t="shared" si="0"/>
        <v>June</v>
      </c>
      <c r="D22" s="13" t="str">
        <f t="shared" si="1"/>
        <v>SAT</v>
      </c>
      <c r="E22" s="24">
        <v>0</v>
      </c>
      <c r="F22" s="24">
        <v>0</v>
      </c>
      <c r="G22" s="24">
        <v>0</v>
      </c>
      <c r="H22" s="24">
        <f t="shared" si="2"/>
        <v>0</v>
      </c>
      <c r="I22" s="24">
        <f t="shared" si="3"/>
        <v>0</v>
      </c>
      <c r="J22" s="24">
        <v>0</v>
      </c>
      <c r="K22" s="24">
        <f t="shared" si="4"/>
        <v>0</v>
      </c>
      <c r="L22" s="25">
        <v>0</v>
      </c>
      <c r="M22" s="25">
        <v>0</v>
      </c>
      <c r="N22" s="26">
        <f t="shared" si="5"/>
        <v>0</v>
      </c>
      <c r="O22" s="24">
        <f t="shared" si="6"/>
        <v>0</v>
      </c>
      <c r="P22" s="24">
        <f t="shared" si="7"/>
        <v>0</v>
      </c>
      <c r="Q22" s="29">
        <f t="shared" si="8"/>
        <v>0</v>
      </c>
      <c r="R22" s="30">
        <f>COUNTIF(RAW_DATA[[#This Row],[CONVERTED]],"&gt;0")</f>
        <v>0</v>
      </c>
      <c r="S22" s="30">
        <f>COUNTIFS(RAW_DATA[[#This Row],[AM/PM]],"AM",RAW_DATA[[#This Row],[CONVERTED]],"&gt;0")</f>
        <v>0</v>
      </c>
      <c r="T22" s="19">
        <f t="shared" si="11"/>
        <v>0</v>
      </c>
      <c r="U22" s="20" t="str">
        <f t="shared" si="9"/>
        <v>SINGLE</v>
      </c>
    </row>
    <row r="23" spans="1:21" x14ac:dyDescent="0.35">
      <c r="A23" s="21">
        <f t="shared" si="12"/>
        <v>45101</v>
      </c>
      <c r="B23" s="22" t="str">
        <f t="shared" si="10"/>
        <v>PM</v>
      </c>
      <c r="C23" s="23" t="str">
        <f t="shared" si="0"/>
        <v>June</v>
      </c>
      <c r="D23" s="13" t="str">
        <f t="shared" si="1"/>
        <v>SAT</v>
      </c>
      <c r="E23" s="24">
        <v>0</v>
      </c>
      <c r="F23" s="24">
        <v>0</v>
      </c>
      <c r="G23" s="24">
        <v>0</v>
      </c>
      <c r="H23" s="24">
        <f t="shared" si="2"/>
        <v>0</v>
      </c>
      <c r="I23" s="24">
        <f t="shared" si="3"/>
        <v>0</v>
      </c>
      <c r="J23" s="24">
        <v>0</v>
      </c>
      <c r="K23" s="24">
        <f t="shared" si="4"/>
        <v>0</v>
      </c>
      <c r="L23" s="25">
        <v>0</v>
      </c>
      <c r="M23" s="25">
        <v>0</v>
      </c>
      <c r="N23" s="26">
        <f t="shared" si="5"/>
        <v>0</v>
      </c>
      <c r="O23" s="24">
        <f t="shared" si="6"/>
        <v>0</v>
      </c>
      <c r="P23" s="24">
        <f t="shared" si="7"/>
        <v>0</v>
      </c>
      <c r="Q23" s="29">
        <f t="shared" si="8"/>
        <v>0</v>
      </c>
      <c r="R23" s="30">
        <f>COUNTIF(RAW_DATA[[#This Row],[CONVERTED]],"&gt;0")</f>
        <v>0</v>
      </c>
      <c r="S23" s="30">
        <f>COUNTIFS(RAW_DATA[[#This Row],[AM/PM]],"AM",RAW_DATA[[#This Row],[CONVERTED]],"&gt;0")</f>
        <v>0</v>
      </c>
      <c r="T23" s="19">
        <f t="shared" si="11"/>
        <v>0</v>
      </c>
      <c r="U23" s="20" t="str">
        <f t="shared" si="9"/>
        <v>SINGLE</v>
      </c>
    </row>
    <row r="24" spans="1:21" x14ac:dyDescent="0.35">
      <c r="A24" s="21">
        <f t="shared" si="12"/>
        <v>45102</v>
      </c>
      <c r="B24" s="22" t="str">
        <f t="shared" si="10"/>
        <v>AM</v>
      </c>
      <c r="C24" s="23" t="str">
        <f t="shared" si="0"/>
        <v>June</v>
      </c>
      <c r="D24" s="13" t="str">
        <f t="shared" si="1"/>
        <v>SUN</v>
      </c>
      <c r="E24" s="24">
        <v>0</v>
      </c>
      <c r="F24" s="24">
        <v>0</v>
      </c>
      <c r="G24" s="24">
        <v>0</v>
      </c>
      <c r="H24" s="24">
        <f t="shared" si="2"/>
        <v>0</v>
      </c>
      <c r="I24" s="24">
        <f t="shared" si="3"/>
        <v>0</v>
      </c>
      <c r="J24" s="24">
        <v>0</v>
      </c>
      <c r="K24" s="24">
        <f t="shared" si="4"/>
        <v>0</v>
      </c>
      <c r="L24" s="25">
        <v>0</v>
      </c>
      <c r="M24" s="25">
        <v>0</v>
      </c>
      <c r="N24" s="26">
        <f t="shared" si="5"/>
        <v>0</v>
      </c>
      <c r="O24" s="24">
        <f t="shared" si="6"/>
        <v>0</v>
      </c>
      <c r="P24" s="24">
        <f t="shared" si="7"/>
        <v>0</v>
      </c>
      <c r="Q24" s="29">
        <f t="shared" si="8"/>
        <v>0</v>
      </c>
      <c r="R24" s="30">
        <f>COUNTIF(RAW_DATA[[#This Row],[CONVERTED]],"&gt;0")</f>
        <v>0</v>
      </c>
      <c r="S24" s="30">
        <f>COUNTIFS(RAW_DATA[[#This Row],[AM/PM]],"AM",RAW_DATA[[#This Row],[CONVERTED]],"&gt;0")</f>
        <v>0</v>
      </c>
      <c r="T24" s="19">
        <f t="shared" si="11"/>
        <v>0</v>
      </c>
      <c r="U24" s="20" t="str">
        <f t="shared" si="9"/>
        <v>SINGLE</v>
      </c>
    </row>
    <row r="25" spans="1:21" x14ac:dyDescent="0.35">
      <c r="A25" s="21">
        <f t="shared" si="12"/>
        <v>45102</v>
      </c>
      <c r="B25" s="22" t="str">
        <f t="shared" si="10"/>
        <v>PM</v>
      </c>
      <c r="C25" s="23" t="str">
        <f t="shared" si="0"/>
        <v>June</v>
      </c>
      <c r="D25" s="13" t="str">
        <f t="shared" si="1"/>
        <v>SUN</v>
      </c>
      <c r="E25" s="24">
        <v>1421.5</v>
      </c>
      <c r="F25" s="24">
        <v>270.14999999999998</v>
      </c>
      <c r="G25" s="24">
        <v>12</v>
      </c>
      <c r="H25" s="24">
        <f t="shared" si="2"/>
        <v>56.86</v>
      </c>
      <c r="I25" s="24">
        <f t="shared" si="3"/>
        <v>4.5385199999999992</v>
      </c>
      <c r="J25" s="24">
        <v>6.5</v>
      </c>
      <c r="K25" s="24">
        <f t="shared" si="4"/>
        <v>208.75147999999999</v>
      </c>
      <c r="L25" s="25">
        <v>4</v>
      </c>
      <c r="M25" s="25">
        <v>29</v>
      </c>
      <c r="N25" s="26">
        <f t="shared" si="5"/>
        <v>4.4833333333333334</v>
      </c>
      <c r="O25" s="24">
        <f t="shared" si="6"/>
        <v>9.5495000000000001</v>
      </c>
      <c r="P25" s="24">
        <f t="shared" si="7"/>
        <v>224.80097999999998</v>
      </c>
      <c r="Q25" s="29">
        <f t="shared" si="8"/>
        <v>230.30097999999998</v>
      </c>
      <c r="R25" s="30">
        <f>COUNTIF(RAW_DATA[[#This Row],[CONVERTED]],"&gt;0")</f>
        <v>1</v>
      </c>
      <c r="S25" s="30">
        <f>COUNTIFS(RAW_DATA[[#This Row],[AM/PM]],"AM",RAW_DATA[[#This Row],[CONVERTED]],"&gt;0")</f>
        <v>0</v>
      </c>
      <c r="T25" s="19">
        <f t="shared" si="11"/>
        <v>0</v>
      </c>
      <c r="U25" s="20" t="str">
        <f t="shared" si="9"/>
        <v>SINGLE</v>
      </c>
    </row>
    <row r="26" spans="1:21" x14ac:dyDescent="0.35">
      <c r="A26" s="21">
        <f t="shared" si="12"/>
        <v>45103</v>
      </c>
      <c r="B26" s="22" t="str">
        <f t="shared" si="10"/>
        <v>AM</v>
      </c>
      <c r="C26" s="23" t="str">
        <f t="shared" si="0"/>
        <v>June</v>
      </c>
      <c r="D26" s="13" t="str">
        <f t="shared" si="1"/>
        <v>MON</v>
      </c>
      <c r="E26" s="24">
        <v>0</v>
      </c>
      <c r="F26" s="24">
        <v>0</v>
      </c>
      <c r="G26" s="24">
        <v>0</v>
      </c>
      <c r="H26" s="24">
        <f t="shared" si="2"/>
        <v>0</v>
      </c>
      <c r="I26" s="24">
        <f t="shared" si="3"/>
        <v>0</v>
      </c>
      <c r="J26" s="24">
        <v>0</v>
      </c>
      <c r="K26" s="24">
        <f t="shared" si="4"/>
        <v>0</v>
      </c>
      <c r="L26" s="25">
        <v>0</v>
      </c>
      <c r="M26" s="25">
        <v>0</v>
      </c>
      <c r="N26" s="26">
        <f t="shared" si="5"/>
        <v>0</v>
      </c>
      <c r="O26" s="24">
        <f t="shared" si="6"/>
        <v>0</v>
      </c>
      <c r="P26" s="24">
        <f t="shared" si="7"/>
        <v>0</v>
      </c>
      <c r="Q26" s="29">
        <f t="shared" si="8"/>
        <v>0</v>
      </c>
      <c r="R26" s="30">
        <f>COUNTIF(RAW_DATA[[#This Row],[CONVERTED]],"&gt;0")</f>
        <v>0</v>
      </c>
      <c r="S26" s="30">
        <f>COUNTIFS(RAW_DATA[[#This Row],[AM/PM]],"AM",RAW_DATA[[#This Row],[CONVERTED]],"&gt;0")</f>
        <v>0</v>
      </c>
      <c r="T26" s="19">
        <f t="shared" si="11"/>
        <v>0</v>
      </c>
      <c r="U26" s="20" t="str">
        <f t="shared" si="9"/>
        <v>SINGLE</v>
      </c>
    </row>
    <row r="27" spans="1:21" x14ac:dyDescent="0.35">
      <c r="A27" s="21">
        <f t="shared" si="12"/>
        <v>45103</v>
      </c>
      <c r="B27" s="22" t="str">
        <f t="shared" si="10"/>
        <v>PM</v>
      </c>
      <c r="C27" s="23" t="str">
        <f t="shared" si="0"/>
        <v>June</v>
      </c>
      <c r="D27" s="13" t="str">
        <f t="shared" si="1"/>
        <v>MON</v>
      </c>
      <c r="E27" s="24">
        <v>807.5</v>
      </c>
      <c r="F27" s="24">
        <v>130.56</v>
      </c>
      <c r="G27" s="24">
        <v>35</v>
      </c>
      <c r="H27" s="24">
        <f t="shared" si="2"/>
        <v>32.299999999999997</v>
      </c>
      <c r="I27" s="24">
        <f t="shared" si="3"/>
        <v>2.1934079999999998</v>
      </c>
      <c r="J27" s="24">
        <v>6.4</v>
      </c>
      <c r="K27" s="24">
        <f t="shared" si="4"/>
        <v>96.066592000000014</v>
      </c>
      <c r="L27" s="25">
        <v>4</v>
      </c>
      <c r="M27" s="25">
        <v>49</v>
      </c>
      <c r="N27" s="26">
        <f t="shared" si="5"/>
        <v>4.8166666666666664</v>
      </c>
      <c r="O27" s="24">
        <f t="shared" si="6"/>
        <v>10.259499999999999</v>
      </c>
      <c r="P27" s="24">
        <f t="shared" si="7"/>
        <v>112.72609200000002</v>
      </c>
      <c r="Q27" s="29">
        <f t="shared" si="8"/>
        <v>141.32609200000002</v>
      </c>
      <c r="R27" s="30">
        <f>COUNTIF(RAW_DATA[[#This Row],[CONVERTED]],"&gt;0")</f>
        <v>1</v>
      </c>
      <c r="S27" s="30">
        <f>COUNTIFS(RAW_DATA[[#This Row],[AM/PM]],"AM",RAW_DATA[[#This Row],[CONVERTED]],"&gt;0")</f>
        <v>0</v>
      </c>
      <c r="T27" s="19">
        <f t="shared" si="11"/>
        <v>0</v>
      </c>
      <c r="U27" s="20" t="str">
        <f t="shared" si="9"/>
        <v>SINGLE</v>
      </c>
    </row>
    <row r="28" spans="1:21" x14ac:dyDescent="0.35">
      <c r="A28" s="21">
        <f t="shared" si="12"/>
        <v>45104</v>
      </c>
      <c r="B28" s="22" t="str">
        <f t="shared" si="10"/>
        <v>AM</v>
      </c>
      <c r="C28" s="23" t="str">
        <f t="shared" si="0"/>
        <v>June</v>
      </c>
      <c r="D28" s="13" t="str">
        <f t="shared" si="1"/>
        <v>TUE</v>
      </c>
      <c r="E28" s="24">
        <v>0</v>
      </c>
      <c r="F28" s="24">
        <v>0</v>
      </c>
      <c r="G28" s="24">
        <v>0</v>
      </c>
      <c r="H28" s="24">
        <f t="shared" si="2"/>
        <v>0</v>
      </c>
      <c r="I28" s="24">
        <f t="shared" si="3"/>
        <v>0</v>
      </c>
      <c r="J28" s="24">
        <v>0</v>
      </c>
      <c r="K28" s="24">
        <f t="shared" si="4"/>
        <v>0</v>
      </c>
      <c r="L28" s="25">
        <v>0</v>
      </c>
      <c r="M28" s="25">
        <v>0</v>
      </c>
      <c r="N28" s="26">
        <f t="shared" si="5"/>
        <v>0</v>
      </c>
      <c r="O28" s="24">
        <f t="shared" si="6"/>
        <v>0</v>
      </c>
      <c r="P28" s="24">
        <f t="shared" si="7"/>
        <v>0</v>
      </c>
      <c r="Q28" s="29">
        <f t="shared" si="8"/>
        <v>0</v>
      </c>
      <c r="R28" s="30">
        <f>COUNTIF(RAW_DATA[[#This Row],[CONVERTED]],"&gt;0")</f>
        <v>0</v>
      </c>
      <c r="S28" s="30">
        <f>COUNTIFS(RAW_DATA[[#This Row],[AM/PM]],"AM",RAW_DATA[[#This Row],[CONVERTED]],"&gt;0")</f>
        <v>0</v>
      </c>
      <c r="T28" s="19">
        <f t="shared" si="11"/>
        <v>0</v>
      </c>
      <c r="U28" s="20" t="str">
        <f t="shared" si="9"/>
        <v>SINGLE</v>
      </c>
    </row>
    <row r="29" spans="1:21" x14ac:dyDescent="0.35">
      <c r="A29" s="21">
        <f t="shared" si="12"/>
        <v>45104</v>
      </c>
      <c r="B29" s="22" t="str">
        <f t="shared" si="10"/>
        <v>PM</v>
      </c>
      <c r="C29" s="23" t="str">
        <f t="shared" si="0"/>
        <v>June</v>
      </c>
      <c r="D29" s="13" t="str">
        <f t="shared" si="1"/>
        <v>TUE</v>
      </c>
      <c r="E29" s="24">
        <v>1425</v>
      </c>
      <c r="F29" s="24">
        <v>244.61</v>
      </c>
      <c r="G29" s="24">
        <v>40</v>
      </c>
      <c r="H29" s="24">
        <f t="shared" si="2"/>
        <v>57</v>
      </c>
      <c r="I29" s="24">
        <f t="shared" si="3"/>
        <v>4.1094479999999995</v>
      </c>
      <c r="J29" s="24">
        <v>15</v>
      </c>
      <c r="K29" s="24">
        <f t="shared" si="4"/>
        <v>183.50055200000003</v>
      </c>
      <c r="L29" s="25">
        <v>6</v>
      </c>
      <c r="M29" s="25">
        <v>44</v>
      </c>
      <c r="N29" s="26">
        <f t="shared" si="5"/>
        <v>6.7333333333333334</v>
      </c>
      <c r="O29" s="24">
        <f t="shared" si="6"/>
        <v>14.341999999999999</v>
      </c>
      <c r="P29" s="24">
        <f t="shared" si="7"/>
        <v>212.84255200000001</v>
      </c>
      <c r="Q29" s="29">
        <f t="shared" si="8"/>
        <v>237.84255200000001</v>
      </c>
      <c r="R29" s="30">
        <f>COUNTIF(RAW_DATA[[#This Row],[CONVERTED]],"&gt;0")</f>
        <v>1</v>
      </c>
      <c r="S29" s="30">
        <f>COUNTIFS(RAW_DATA[[#This Row],[AM/PM]],"AM",RAW_DATA[[#This Row],[CONVERTED]],"&gt;0")</f>
        <v>0</v>
      </c>
      <c r="T29" s="19">
        <f t="shared" si="11"/>
        <v>0</v>
      </c>
      <c r="U29" s="20" t="str">
        <f t="shared" si="9"/>
        <v>SINGLE</v>
      </c>
    </row>
    <row r="30" spans="1:21" x14ac:dyDescent="0.35">
      <c r="A30" s="21">
        <f t="shared" si="12"/>
        <v>45105</v>
      </c>
      <c r="B30" s="22" t="str">
        <f t="shared" si="10"/>
        <v>AM</v>
      </c>
      <c r="C30" s="23" t="str">
        <f t="shared" si="0"/>
        <v>June</v>
      </c>
      <c r="D30" s="13" t="str">
        <f t="shared" si="1"/>
        <v>WED</v>
      </c>
      <c r="E30" s="24">
        <v>0</v>
      </c>
      <c r="F30" s="24">
        <v>0</v>
      </c>
      <c r="G30" s="24">
        <v>0</v>
      </c>
      <c r="H30" s="24">
        <f t="shared" si="2"/>
        <v>0</v>
      </c>
      <c r="I30" s="24">
        <f t="shared" si="3"/>
        <v>0</v>
      </c>
      <c r="J30" s="24">
        <v>0</v>
      </c>
      <c r="K30" s="24">
        <f t="shared" si="4"/>
        <v>0</v>
      </c>
      <c r="L30" s="25">
        <v>0</v>
      </c>
      <c r="M30" s="25">
        <v>0</v>
      </c>
      <c r="N30" s="26">
        <f t="shared" si="5"/>
        <v>0</v>
      </c>
      <c r="O30" s="27">
        <f t="shared" si="6"/>
        <v>0</v>
      </c>
      <c r="P30" s="27">
        <f t="shared" si="7"/>
        <v>0</v>
      </c>
      <c r="Q30" s="28">
        <f t="shared" si="8"/>
        <v>0</v>
      </c>
      <c r="R30" s="19">
        <f>COUNTIF(RAW_DATA[[#This Row],[CONVERTED]],"&gt;0")</f>
        <v>0</v>
      </c>
      <c r="S30" s="19">
        <f>COUNTIFS(RAW_DATA[[#This Row],[AM/PM]],"AM",RAW_DATA[[#This Row],[CONVERTED]],"&gt;0")</f>
        <v>0</v>
      </c>
      <c r="T30" s="19">
        <f t="shared" si="11"/>
        <v>0</v>
      </c>
      <c r="U30" s="20" t="str">
        <f t="shared" si="9"/>
        <v>SINGLE</v>
      </c>
    </row>
    <row r="31" spans="1:21" x14ac:dyDescent="0.35">
      <c r="A31" s="21">
        <f t="shared" si="12"/>
        <v>45105</v>
      </c>
      <c r="B31" s="22" t="str">
        <f t="shared" si="10"/>
        <v>PM</v>
      </c>
      <c r="C31" s="23" t="str">
        <f t="shared" si="0"/>
        <v>June</v>
      </c>
      <c r="D31" s="13" t="str">
        <f t="shared" si="1"/>
        <v>WED</v>
      </c>
      <c r="E31" s="24">
        <v>1045</v>
      </c>
      <c r="F31" s="24">
        <v>201.9</v>
      </c>
      <c r="G31" s="24">
        <v>25</v>
      </c>
      <c r="H31" s="24">
        <f t="shared" si="2"/>
        <v>41.800000000000004</v>
      </c>
      <c r="I31" s="24">
        <f t="shared" si="3"/>
        <v>3.3919199999999998</v>
      </c>
      <c r="J31" s="24">
        <v>10</v>
      </c>
      <c r="K31" s="24">
        <f t="shared" si="4"/>
        <v>156.70808</v>
      </c>
      <c r="L31" s="25">
        <v>4</v>
      </c>
      <c r="M31" s="25">
        <v>44</v>
      </c>
      <c r="N31" s="26">
        <f t="shared" si="5"/>
        <v>4.7333333333333334</v>
      </c>
      <c r="O31" s="24">
        <f t="shared" si="6"/>
        <v>10.081999999999999</v>
      </c>
      <c r="P31" s="24">
        <f t="shared" si="7"/>
        <v>176.79007999999999</v>
      </c>
      <c r="Q31" s="29">
        <f t="shared" si="8"/>
        <v>191.79007999999999</v>
      </c>
      <c r="R31" s="30">
        <f>COUNTIF(RAW_DATA[[#This Row],[CONVERTED]],"&gt;0")</f>
        <v>1</v>
      </c>
      <c r="S31" s="30">
        <f>COUNTIFS(RAW_DATA[[#This Row],[AM/PM]],"AM",RAW_DATA[[#This Row],[CONVERTED]],"&gt;0")</f>
        <v>0</v>
      </c>
      <c r="T31" s="19">
        <f t="shared" si="11"/>
        <v>0</v>
      </c>
      <c r="U31" s="20" t="str">
        <f t="shared" si="9"/>
        <v>SINGLE</v>
      </c>
    </row>
    <row r="32" spans="1:21" x14ac:dyDescent="0.35">
      <c r="A32" s="21">
        <f t="shared" si="12"/>
        <v>45106</v>
      </c>
      <c r="B32" s="22" t="str">
        <f t="shared" si="10"/>
        <v>AM</v>
      </c>
      <c r="C32" s="23" t="str">
        <f t="shared" si="0"/>
        <v>June</v>
      </c>
      <c r="D32" s="13" t="str">
        <f t="shared" si="1"/>
        <v>THU</v>
      </c>
      <c r="E32" s="24">
        <v>0</v>
      </c>
      <c r="F32" s="24">
        <v>0</v>
      </c>
      <c r="G32" s="24">
        <v>0</v>
      </c>
      <c r="H32" s="24">
        <f t="shared" si="2"/>
        <v>0</v>
      </c>
      <c r="I32" s="24">
        <f t="shared" si="3"/>
        <v>0</v>
      </c>
      <c r="J32" s="24">
        <v>0</v>
      </c>
      <c r="K32" s="24">
        <f t="shared" si="4"/>
        <v>0</v>
      </c>
      <c r="L32" s="25">
        <v>0</v>
      </c>
      <c r="M32" s="25">
        <v>0</v>
      </c>
      <c r="N32" s="26">
        <f t="shared" si="5"/>
        <v>0</v>
      </c>
      <c r="O32" s="24">
        <f t="shared" si="6"/>
        <v>0</v>
      </c>
      <c r="P32" s="24">
        <f t="shared" si="7"/>
        <v>0</v>
      </c>
      <c r="Q32" s="29">
        <f t="shared" si="8"/>
        <v>0</v>
      </c>
      <c r="R32" s="30">
        <f>COUNTIF(RAW_DATA[[#This Row],[CONVERTED]],"&gt;0")</f>
        <v>0</v>
      </c>
      <c r="S32" s="30">
        <f>COUNTIFS(RAW_DATA[[#This Row],[AM/PM]],"AM",RAW_DATA[[#This Row],[CONVERTED]],"&gt;0")</f>
        <v>0</v>
      </c>
      <c r="T32" s="19">
        <f t="shared" si="11"/>
        <v>0</v>
      </c>
      <c r="U32" s="20" t="str">
        <f t="shared" si="9"/>
        <v>SINGLE</v>
      </c>
    </row>
    <row r="33" spans="1:21" x14ac:dyDescent="0.35">
      <c r="A33" s="21">
        <f t="shared" si="12"/>
        <v>45106</v>
      </c>
      <c r="B33" s="22" t="str">
        <f t="shared" si="10"/>
        <v>PM</v>
      </c>
      <c r="C33" s="23" t="str">
        <f t="shared" si="0"/>
        <v>June</v>
      </c>
      <c r="D33" s="13" t="str">
        <f t="shared" si="1"/>
        <v>THU</v>
      </c>
      <c r="E33" s="24">
        <v>0</v>
      </c>
      <c r="F33" s="24">
        <v>0</v>
      </c>
      <c r="G33" s="24">
        <v>0</v>
      </c>
      <c r="H33" s="24">
        <f t="shared" si="2"/>
        <v>0</v>
      </c>
      <c r="I33" s="24">
        <f t="shared" si="3"/>
        <v>0</v>
      </c>
      <c r="J33" s="24">
        <v>0</v>
      </c>
      <c r="K33" s="24">
        <f t="shared" si="4"/>
        <v>0</v>
      </c>
      <c r="L33" s="25">
        <v>0</v>
      </c>
      <c r="M33" s="25">
        <v>0</v>
      </c>
      <c r="N33" s="26">
        <f t="shared" si="5"/>
        <v>0</v>
      </c>
      <c r="O33" s="24">
        <f t="shared" si="6"/>
        <v>0</v>
      </c>
      <c r="P33" s="24">
        <f t="shared" si="7"/>
        <v>0</v>
      </c>
      <c r="Q33" s="29">
        <f t="shared" si="8"/>
        <v>0</v>
      </c>
      <c r="R33" s="30">
        <f>COUNTIF(RAW_DATA[[#This Row],[CONVERTED]],"&gt;0")</f>
        <v>0</v>
      </c>
      <c r="S33" s="30">
        <f>COUNTIFS(RAW_DATA[[#This Row],[AM/PM]],"AM",RAW_DATA[[#This Row],[CONVERTED]],"&gt;0")</f>
        <v>0</v>
      </c>
      <c r="T33" s="19">
        <f t="shared" si="11"/>
        <v>0</v>
      </c>
      <c r="U33" s="20" t="str">
        <f t="shared" si="9"/>
        <v>SINGLE</v>
      </c>
    </row>
    <row r="34" spans="1:21" x14ac:dyDescent="0.35">
      <c r="A34" s="21">
        <f t="shared" si="12"/>
        <v>45107</v>
      </c>
      <c r="B34" s="22" t="str">
        <f t="shared" si="10"/>
        <v>AM</v>
      </c>
      <c r="C34" s="23" t="str">
        <f t="shared" si="0"/>
        <v>June</v>
      </c>
      <c r="D34" s="13" t="str">
        <f t="shared" si="1"/>
        <v>FRI</v>
      </c>
      <c r="E34" s="24">
        <v>0</v>
      </c>
      <c r="F34" s="24">
        <v>0</v>
      </c>
      <c r="G34" s="24">
        <v>0</v>
      </c>
      <c r="H34" s="24">
        <f t="shared" si="2"/>
        <v>0</v>
      </c>
      <c r="I34" s="24">
        <f t="shared" si="3"/>
        <v>0</v>
      </c>
      <c r="J34" s="24">
        <v>0</v>
      </c>
      <c r="K34" s="24">
        <f t="shared" si="4"/>
        <v>0</v>
      </c>
      <c r="L34" s="25">
        <v>0</v>
      </c>
      <c r="M34" s="25">
        <v>0</v>
      </c>
      <c r="N34" s="26">
        <f t="shared" si="5"/>
        <v>0</v>
      </c>
      <c r="O34" s="24">
        <f t="shared" si="6"/>
        <v>0</v>
      </c>
      <c r="P34" s="24">
        <f t="shared" si="7"/>
        <v>0</v>
      </c>
      <c r="Q34" s="29">
        <f t="shared" si="8"/>
        <v>0</v>
      </c>
      <c r="R34" s="30">
        <f>COUNTIF(RAW_DATA[[#This Row],[CONVERTED]],"&gt;0")</f>
        <v>0</v>
      </c>
      <c r="S34" s="30">
        <f>COUNTIFS(RAW_DATA[[#This Row],[AM/PM]],"AM",RAW_DATA[[#This Row],[CONVERTED]],"&gt;0")</f>
        <v>0</v>
      </c>
      <c r="T34" s="19">
        <f t="shared" si="11"/>
        <v>0</v>
      </c>
      <c r="U34" s="20" t="str">
        <f t="shared" si="9"/>
        <v>SINGLE</v>
      </c>
    </row>
    <row r="35" spans="1:21" x14ac:dyDescent="0.35">
      <c r="A35" s="21">
        <f t="shared" si="12"/>
        <v>45107</v>
      </c>
      <c r="B35" s="22" t="str">
        <f t="shared" si="10"/>
        <v>PM</v>
      </c>
      <c r="C35" s="23" t="str">
        <f t="shared" si="0"/>
        <v>June</v>
      </c>
      <c r="D35" s="13" t="str">
        <f t="shared" si="1"/>
        <v>FRI</v>
      </c>
      <c r="E35" s="24">
        <v>1123.5</v>
      </c>
      <c r="F35" s="24">
        <v>174.62</v>
      </c>
      <c r="G35" s="24">
        <v>25</v>
      </c>
      <c r="H35" s="24">
        <f t="shared" si="2"/>
        <v>44.94</v>
      </c>
      <c r="I35" s="24">
        <f t="shared" si="3"/>
        <v>2.9336159999999998</v>
      </c>
      <c r="J35" s="24">
        <v>3.5</v>
      </c>
      <c r="K35" s="24">
        <f t="shared" si="4"/>
        <v>126.74638400000001</v>
      </c>
      <c r="L35" s="25">
        <v>6</v>
      </c>
      <c r="M35" s="25">
        <v>15</v>
      </c>
      <c r="N35" s="26">
        <f t="shared" si="5"/>
        <v>6.25</v>
      </c>
      <c r="O35" s="24">
        <f t="shared" si="6"/>
        <v>13.3125</v>
      </c>
      <c r="P35" s="24">
        <f t="shared" si="7"/>
        <v>143.55888400000001</v>
      </c>
      <c r="Q35" s="29">
        <f t="shared" si="8"/>
        <v>165.05888400000001</v>
      </c>
      <c r="R35" s="30">
        <f>COUNTIF(RAW_DATA[[#This Row],[CONVERTED]],"&gt;0")</f>
        <v>1</v>
      </c>
      <c r="S35" s="30">
        <f>COUNTIFS(RAW_DATA[[#This Row],[AM/PM]],"AM",RAW_DATA[[#This Row],[CONVERTED]],"&gt;0")</f>
        <v>0</v>
      </c>
      <c r="T35" s="19">
        <f t="shared" si="11"/>
        <v>0</v>
      </c>
      <c r="U35" s="20" t="str">
        <f t="shared" si="9"/>
        <v>SINGLE</v>
      </c>
    </row>
    <row r="36" spans="1:21" x14ac:dyDescent="0.35">
      <c r="A36" s="21">
        <f t="shared" si="12"/>
        <v>45108</v>
      </c>
      <c r="B36" s="22" t="str">
        <f t="shared" si="10"/>
        <v>AM</v>
      </c>
      <c r="C36" s="23" t="str">
        <f t="shared" si="0"/>
        <v>July</v>
      </c>
      <c r="D36" s="13" t="str">
        <f t="shared" si="1"/>
        <v>SAT</v>
      </c>
      <c r="E36" s="24">
        <v>0</v>
      </c>
      <c r="F36" s="24">
        <v>0</v>
      </c>
      <c r="G36" s="24">
        <v>0</v>
      </c>
      <c r="H36" s="24">
        <f t="shared" si="2"/>
        <v>0</v>
      </c>
      <c r="I36" s="24">
        <f t="shared" si="3"/>
        <v>0</v>
      </c>
      <c r="J36" s="24">
        <v>0</v>
      </c>
      <c r="K36" s="24">
        <f t="shared" si="4"/>
        <v>0</v>
      </c>
      <c r="L36" s="25">
        <v>0</v>
      </c>
      <c r="M36" s="25">
        <v>0</v>
      </c>
      <c r="N36" s="26">
        <f t="shared" si="5"/>
        <v>0</v>
      </c>
      <c r="O36" s="24">
        <f t="shared" si="6"/>
        <v>0</v>
      </c>
      <c r="P36" s="24">
        <f t="shared" si="7"/>
        <v>0</v>
      </c>
      <c r="Q36" s="29">
        <f t="shared" si="8"/>
        <v>0</v>
      </c>
      <c r="R36" s="30">
        <f>COUNTIF(RAW_DATA[[#This Row],[CONVERTED]],"&gt;0")</f>
        <v>0</v>
      </c>
      <c r="S36" s="30">
        <f>COUNTIFS(RAW_DATA[[#This Row],[AM/PM]],"AM",RAW_DATA[[#This Row],[CONVERTED]],"&gt;0")</f>
        <v>0</v>
      </c>
      <c r="T36" s="19">
        <f t="shared" si="11"/>
        <v>0</v>
      </c>
      <c r="U36" s="20" t="str">
        <f t="shared" si="9"/>
        <v>SINGLE</v>
      </c>
    </row>
    <row r="37" spans="1:21" x14ac:dyDescent="0.35">
      <c r="A37" s="21">
        <f t="shared" si="12"/>
        <v>45108</v>
      </c>
      <c r="B37" s="22" t="str">
        <f t="shared" si="10"/>
        <v>PM</v>
      </c>
      <c r="C37" s="23" t="str">
        <f t="shared" si="0"/>
        <v>July</v>
      </c>
      <c r="D37" s="13" t="str">
        <f t="shared" si="1"/>
        <v>SAT</v>
      </c>
      <c r="E37" s="24">
        <v>1537</v>
      </c>
      <c r="F37" s="24">
        <v>248.55</v>
      </c>
      <c r="G37" s="24">
        <v>25</v>
      </c>
      <c r="H37" s="24">
        <f t="shared" si="2"/>
        <v>61.480000000000004</v>
      </c>
      <c r="I37" s="24">
        <f t="shared" si="3"/>
        <v>4.1756399999999996</v>
      </c>
      <c r="J37" s="24">
        <v>2.5</v>
      </c>
      <c r="K37" s="24">
        <f t="shared" si="4"/>
        <v>182.89436000000001</v>
      </c>
      <c r="L37" s="25">
        <v>6</v>
      </c>
      <c r="M37" s="25">
        <v>15</v>
      </c>
      <c r="N37" s="26">
        <f t="shared" si="5"/>
        <v>6.25</v>
      </c>
      <c r="O37" s="24">
        <f t="shared" si="6"/>
        <v>13.3125</v>
      </c>
      <c r="P37" s="24">
        <f t="shared" si="7"/>
        <v>198.70686000000001</v>
      </c>
      <c r="Q37" s="29">
        <f t="shared" si="8"/>
        <v>221.20686000000001</v>
      </c>
      <c r="R37" s="30">
        <f>COUNTIF(RAW_DATA[[#This Row],[CONVERTED]],"&gt;0")</f>
        <v>1</v>
      </c>
      <c r="S37" s="30">
        <f>COUNTIFS(RAW_DATA[[#This Row],[AM/PM]],"AM",RAW_DATA[[#This Row],[CONVERTED]],"&gt;0")</f>
        <v>0</v>
      </c>
      <c r="T37" s="19">
        <f t="shared" si="11"/>
        <v>0</v>
      </c>
      <c r="U37" s="20" t="str">
        <f t="shared" si="9"/>
        <v>SINGLE</v>
      </c>
    </row>
    <row r="38" spans="1:21" x14ac:dyDescent="0.35">
      <c r="A38" s="21">
        <f t="shared" si="12"/>
        <v>45109</v>
      </c>
      <c r="B38" s="22" t="str">
        <f t="shared" si="10"/>
        <v>AM</v>
      </c>
      <c r="C38" s="23" t="str">
        <f t="shared" si="0"/>
        <v>July</v>
      </c>
      <c r="D38" s="13" t="str">
        <f t="shared" si="1"/>
        <v>SUN</v>
      </c>
      <c r="E38" s="24">
        <v>0</v>
      </c>
      <c r="F38" s="24">
        <v>0</v>
      </c>
      <c r="G38" s="24">
        <v>0</v>
      </c>
      <c r="H38" s="24">
        <f t="shared" si="2"/>
        <v>0</v>
      </c>
      <c r="I38" s="24">
        <f t="shared" si="3"/>
        <v>0</v>
      </c>
      <c r="J38" s="24">
        <v>0</v>
      </c>
      <c r="K38" s="24">
        <f t="shared" si="4"/>
        <v>0</v>
      </c>
      <c r="L38" s="25">
        <v>0</v>
      </c>
      <c r="M38" s="25">
        <v>0</v>
      </c>
      <c r="N38" s="26">
        <f t="shared" si="5"/>
        <v>0</v>
      </c>
      <c r="O38" s="24">
        <f t="shared" si="6"/>
        <v>0</v>
      </c>
      <c r="P38" s="24">
        <f t="shared" si="7"/>
        <v>0</v>
      </c>
      <c r="Q38" s="29">
        <f t="shared" si="8"/>
        <v>0</v>
      </c>
      <c r="R38" s="30">
        <f>COUNTIF(RAW_DATA[[#This Row],[CONVERTED]],"&gt;0")</f>
        <v>0</v>
      </c>
      <c r="S38" s="30">
        <f>COUNTIFS(RAW_DATA[[#This Row],[AM/PM]],"AM",RAW_DATA[[#This Row],[CONVERTED]],"&gt;0")</f>
        <v>0</v>
      </c>
      <c r="T38" s="19">
        <f t="shared" si="11"/>
        <v>0</v>
      </c>
      <c r="U38" s="20" t="str">
        <f t="shared" si="9"/>
        <v>SINGLE</v>
      </c>
    </row>
    <row r="39" spans="1:21" x14ac:dyDescent="0.35">
      <c r="A39" s="21">
        <f t="shared" si="12"/>
        <v>45109</v>
      </c>
      <c r="B39" s="22" t="str">
        <f t="shared" si="10"/>
        <v>PM</v>
      </c>
      <c r="C39" s="23" t="str">
        <f t="shared" si="0"/>
        <v>July</v>
      </c>
      <c r="D39" s="13" t="str">
        <f t="shared" si="1"/>
        <v>SUN</v>
      </c>
      <c r="E39" s="24">
        <v>963</v>
      </c>
      <c r="F39" s="24">
        <v>213.2</v>
      </c>
      <c r="G39" s="24">
        <v>0</v>
      </c>
      <c r="H39" s="24">
        <f t="shared" si="2"/>
        <v>38.520000000000003</v>
      </c>
      <c r="I39" s="24">
        <f t="shared" si="3"/>
        <v>3.5817599999999996</v>
      </c>
      <c r="J39" s="24">
        <v>0</v>
      </c>
      <c r="K39" s="24">
        <f t="shared" si="4"/>
        <v>171.09823999999998</v>
      </c>
      <c r="L39" s="25">
        <v>6</v>
      </c>
      <c r="M39" s="25">
        <v>16</v>
      </c>
      <c r="N39" s="26">
        <f t="shared" si="5"/>
        <v>6.2666666666666666</v>
      </c>
      <c r="O39" s="24">
        <f t="shared" si="6"/>
        <v>13.347999999999999</v>
      </c>
      <c r="P39" s="24">
        <f t="shared" si="7"/>
        <v>184.44623999999999</v>
      </c>
      <c r="Q39" s="29">
        <f t="shared" si="8"/>
        <v>184.44623999999999</v>
      </c>
      <c r="R39" s="30">
        <f>COUNTIF(RAW_DATA[[#This Row],[CONVERTED]],"&gt;0")</f>
        <v>1</v>
      </c>
      <c r="S39" s="30">
        <f>COUNTIFS(RAW_DATA[[#This Row],[AM/PM]],"AM",RAW_DATA[[#This Row],[CONVERTED]],"&gt;0")</f>
        <v>0</v>
      </c>
      <c r="T39" s="19">
        <f t="shared" si="11"/>
        <v>0</v>
      </c>
      <c r="U39" s="20" t="str">
        <f t="shared" si="9"/>
        <v>SINGLE</v>
      </c>
    </row>
    <row r="40" spans="1:21" x14ac:dyDescent="0.35">
      <c r="A40" s="21">
        <f t="shared" si="12"/>
        <v>45110</v>
      </c>
      <c r="B40" s="22" t="str">
        <f t="shared" si="10"/>
        <v>AM</v>
      </c>
      <c r="C40" s="23" t="str">
        <f t="shared" si="0"/>
        <v>July</v>
      </c>
      <c r="D40" s="13" t="str">
        <f t="shared" si="1"/>
        <v>MON</v>
      </c>
      <c r="E40" s="24">
        <v>0</v>
      </c>
      <c r="F40" s="24">
        <v>0</v>
      </c>
      <c r="G40" s="24">
        <v>0</v>
      </c>
      <c r="H40" s="24">
        <f t="shared" si="2"/>
        <v>0</v>
      </c>
      <c r="I40" s="24">
        <f t="shared" si="3"/>
        <v>0</v>
      </c>
      <c r="J40" s="24">
        <v>0</v>
      </c>
      <c r="K40" s="24">
        <f t="shared" si="4"/>
        <v>0</v>
      </c>
      <c r="L40" s="25">
        <v>0</v>
      </c>
      <c r="M40" s="25">
        <v>0</v>
      </c>
      <c r="N40" s="26">
        <f t="shared" si="5"/>
        <v>0</v>
      </c>
      <c r="O40" s="24">
        <f t="shared" si="6"/>
        <v>0</v>
      </c>
      <c r="P40" s="24">
        <f t="shared" si="7"/>
        <v>0</v>
      </c>
      <c r="Q40" s="29">
        <f t="shared" si="8"/>
        <v>0</v>
      </c>
      <c r="R40" s="30">
        <f>COUNTIF(RAW_DATA[[#This Row],[CONVERTED]],"&gt;0")</f>
        <v>0</v>
      </c>
      <c r="S40" s="30">
        <f>COUNTIFS(RAW_DATA[[#This Row],[AM/PM]],"AM",RAW_DATA[[#This Row],[CONVERTED]],"&gt;0")</f>
        <v>0</v>
      </c>
      <c r="T40" s="19">
        <f t="shared" si="11"/>
        <v>0</v>
      </c>
      <c r="U40" s="20" t="str">
        <f t="shared" si="9"/>
        <v>SINGLE</v>
      </c>
    </row>
    <row r="41" spans="1:21" x14ac:dyDescent="0.35">
      <c r="A41" s="21">
        <f t="shared" si="12"/>
        <v>45110</v>
      </c>
      <c r="B41" s="22" t="str">
        <f t="shared" si="10"/>
        <v>PM</v>
      </c>
      <c r="C41" s="23" t="str">
        <f t="shared" si="0"/>
        <v>July</v>
      </c>
      <c r="D41" s="13" t="str">
        <f t="shared" si="1"/>
        <v>MON</v>
      </c>
      <c r="E41" s="24">
        <v>0</v>
      </c>
      <c r="F41" s="24">
        <v>0</v>
      </c>
      <c r="G41" s="24">
        <v>0</v>
      </c>
      <c r="H41" s="24">
        <f t="shared" si="2"/>
        <v>0</v>
      </c>
      <c r="I41" s="24">
        <f t="shared" si="3"/>
        <v>0</v>
      </c>
      <c r="J41" s="24">
        <v>0</v>
      </c>
      <c r="K41" s="24">
        <f t="shared" si="4"/>
        <v>0</v>
      </c>
      <c r="L41" s="25">
        <v>0</v>
      </c>
      <c r="M41" s="25">
        <v>0</v>
      </c>
      <c r="N41" s="26">
        <f t="shared" si="5"/>
        <v>0</v>
      </c>
      <c r="O41" s="24">
        <f t="shared" si="6"/>
        <v>0</v>
      </c>
      <c r="P41" s="24">
        <f t="shared" si="7"/>
        <v>0</v>
      </c>
      <c r="Q41" s="29">
        <f t="shared" si="8"/>
        <v>0</v>
      </c>
      <c r="R41" s="30">
        <f>COUNTIF(RAW_DATA[[#This Row],[CONVERTED]],"&gt;0")</f>
        <v>0</v>
      </c>
      <c r="S41" s="30">
        <f>COUNTIFS(RAW_DATA[[#This Row],[AM/PM]],"AM",RAW_DATA[[#This Row],[CONVERTED]],"&gt;0")</f>
        <v>0</v>
      </c>
      <c r="T41" s="19">
        <f t="shared" si="11"/>
        <v>0</v>
      </c>
      <c r="U41" s="20" t="str">
        <f t="shared" si="9"/>
        <v>SINGLE</v>
      </c>
    </row>
    <row r="42" spans="1:21" x14ac:dyDescent="0.35">
      <c r="A42" s="21">
        <f t="shared" si="12"/>
        <v>45111</v>
      </c>
      <c r="B42" s="22" t="str">
        <f t="shared" si="10"/>
        <v>AM</v>
      </c>
      <c r="C42" s="23" t="str">
        <f t="shared" si="0"/>
        <v>July</v>
      </c>
      <c r="D42" s="13" t="str">
        <f t="shared" si="1"/>
        <v>TUE</v>
      </c>
      <c r="E42" s="24">
        <v>0</v>
      </c>
      <c r="F42" s="24">
        <v>0</v>
      </c>
      <c r="G42" s="24">
        <v>0</v>
      </c>
      <c r="H42" s="24">
        <f t="shared" si="2"/>
        <v>0</v>
      </c>
      <c r="I42" s="24">
        <f t="shared" si="3"/>
        <v>0</v>
      </c>
      <c r="J42" s="24">
        <v>0</v>
      </c>
      <c r="K42" s="24">
        <f t="shared" si="4"/>
        <v>0</v>
      </c>
      <c r="L42" s="25">
        <v>0</v>
      </c>
      <c r="M42" s="25">
        <v>0</v>
      </c>
      <c r="N42" s="26">
        <f t="shared" si="5"/>
        <v>0</v>
      </c>
      <c r="O42" s="24">
        <f t="shared" si="6"/>
        <v>0</v>
      </c>
      <c r="P42" s="24">
        <f t="shared" si="7"/>
        <v>0</v>
      </c>
      <c r="Q42" s="29">
        <f t="shared" si="8"/>
        <v>0</v>
      </c>
      <c r="R42" s="30">
        <f>COUNTIF(RAW_DATA[[#This Row],[CONVERTED]],"&gt;0")</f>
        <v>0</v>
      </c>
      <c r="S42" s="30">
        <f>COUNTIFS(RAW_DATA[[#This Row],[AM/PM]],"AM",RAW_DATA[[#This Row],[CONVERTED]],"&gt;0")</f>
        <v>0</v>
      </c>
      <c r="T42" s="19">
        <f t="shared" si="11"/>
        <v>0</v>
      </c>
      <c r="U42" s="20" t="str">
        <f t="shared" si="9"/>
        <v>SINGLE</v>
      </c>
    </row>
    <row r="43" spans="1:21" x14ac:dyDescent="0.35">
      <c r="A43" s="21">
        <f t="shared" si="12"/>
        <v>45111</v>
      </c>
      <c r="B43" s="22" t="str">
        <f t="shared" si="10"/>
        <v>PM</v>
      </c>
      <c r="C43" s="23" t="str">
        <f t="shared" si="0"/>
        <v>July</v>
      </c>
      <c r="D43" s="13" t="str">
        <f t="shared" si="1"/>
        <v>TUE</v>
      </c>
      <c r="E43" s="24">
        <v>0</v>
      </c>
      <c r="F43" s="24">
        <v>0</v>
      </c>
      <c r="G43" s="24">
        <v>0</v>
      </c>
      <c r="H43" s="24">
        <f t="shared" si="2"/>
        <v>0</v>
      </c>
      <c r="I43" s="24">
        <f t="shared" si="3"/>
        <v>0</v>
      </c>
      <c r="J43" s="24">
        <v>0</v>
      </c>
      <c r="K43" s="24">
        <f t="shared" si="4"/>
        <v>0</v>
      </c>
      <c r="L43" s="25">
        <v>0</v>
      </c>
      <c r="M43" s="25">
        <v>0</v>
      </c>
      <c r="N43" s="26">
        <f t="shared" si="5"/>
        <v>0</v>
      </c>
      <c r="O43" s="24">
        <f t="shared" si="6"/>
        <v>0</v>
      </c>
      <c r="P43" s="24">
        <f t="shared" si="7"/>
        <v>0</v>
      </c>
      <c r="Q43" s="29">
        <f t="shared" si="8"/>
        <v>0</v>
      </c>
      <c r="R43" s="30">
        <f>COUNTIF(RAW_DATA[[#This Row],[CONVERTED]],"&gt;0")</f>
        <v>0</v>
      </c>
      <c r="S43" s="30">
        <f>COUNTIFS(RAW_DATA[[#This Row],[AM/PM]],"AM",RAW_DATA[[#This Row],[CONVERTED]],"&gt;0")</f>
        <v>0</v>
      </c>
      <c r="T43" s="19">
        <f t="shared" si="11"/>
        <v>0</v>
      </c>
      <c r="U43" s="20" t="str">
        <f t="shared" si="9"/>
        <v>SINGLE</v>
      </c>
    </row>
    <row r="44" spans="1:21" x14ac:dyDescent="0.35">
      <c r="A44" s="21">
        <f t="shared" si="12"/>
        <v>45112</v>
      </c>
      <c r="B44" s="22" t="str">
        <f t="shared" si="10"/>
        <v>AM</v>
      </c>
      <c r="C44" s="23" t="str">
        <f t="shared" si="0"/>
        <v>July</v>
      </c>
      <c r="D44" s="13" t="str">
        <f t="shared" si="1"/>
        <v>WED</v>
      </c>
      <c r="E44" s="24">
        <v>0</v>
      </c>
      <c r="F44" s="24">
        <v>0</v>
      </c>
      <c r="G44" s="24">
        <v>0</v>
      </c>
      <c r="H44" s="24">
        <f t="shared" si="2"/>
        <v>0</v>
      </c>
      <c r="I44" s="24">
        <f t="shared" si="3"/>
        <v>0</v>
      </c>
      <c r="J44" s="24">
        <v>0</v>
      </c>
      <c r="K44" s="24">
        <f t="shared" si="4"/>
        <v>0</v>
      </c>
      <c r="L44" s="25">
        <v>0</v>
      </c>
      <c r="M44" s="25">
        <v>0</v>
      </c>
      <c r="N44" s="26">
        <f t="shared" si="5"/>
        <v>0</v>
      </c>
      <c r="O44" s="27">
        <f t="shared" si="6"/>
        <v>0</v>
      </c>
      <c r="P44" s="27">
        <f t="shared" si="7"/>
        <v>0</v>
      </c>
      <c r="Q44" s="28">
        <f t="shared" si="8"/>
        <v>0</v>
      </c>
      <c r="R44" s="19">
        <f>COUNTIF(RAW_DATA[[#This Row],[CONVERTED]],"&gt;0")</f>
        <v>0</v>
      </c>
      <c r="S44" s="19">
        <f>COUNTIFS(RAW_DATA[[#This Row],[AM/PM]],"AM",RAW_DATA[[#This Row],[CONVERTED]],"&gt;0")</f>
        <v>0</v>
      </c>
      <c r="T44" s="19">
        <f t="shared" si="11"/>
        <v>0</v>
      </c>
      <c r="U44" s="20" t="str">
        <f t="shared" si="9"/>
        <v>SINGLE</v>
      </c>
    </row>
    <row r="45" spans="1:21" x14ac:dyDescent="0.35">
      <c r="A45" s="21">
        <f t="shared" si="12"/>
        <v>45112</v>
      </c>
      <c r="B45" s="22" t="str">
        <f t="shared" si="10"/>
        <v>PM</v>
      </c>
      <c r="C45" s="23" t="str">
        <f t="shared" si="0"/>
        <v>July</v>
      </c>
      <c r="D45" s="13" t="str">
        <f t="shared" si="1"/>
        <v>WED</v>
      </c>
      <c r="E45" s="24">
        <v>1227.5</v>
      </c>
      <c r="F45" s="24">
        <v>245.04</v>
      </c>
      <c r="G45" s="24">
        <v>0</v>
      </c>
      <c r="H45" s="24">
        <f t="shared" si="2"/>
        <v>49.1</v>
      </c>
      <c r="I45" s="24">
        <f t="shared" si="3"/>
        <v>4.1166719999999994</v>
      </c>
      <c r="J45" s="24">
        <v>0</v>
      </c>
      <c r="K45" s="24">
        <f t="shared" si="4"/>
        <v>191.823328</v>
      </c>
      <c r="L45" s="25">
        <v>5</v>
      </c>
      <c r="M45" s="25">
        <v>42</v>
      </c>
      <c r="N45" s="26">
        <f t="shared" si="5"/>
        <v>5.7</v>
      </c>
      <c r="O45" s="24">
        <f t="shared" si="6"/>
        <v>12.141</v>
      </c>
      <c r="P45" s="24">
        <f t="shared" si="7"/>
        <v>203.96432799999999</v>
      </c>
      <c r="Q45" s="29">
        <f t="shared" si="8"/>
        <v>203.96432799999999</v>
      </c>
      <c r="R45" s="30">
        <f>COUNTIF(RAW_DATA[[#This Row],[CONVERTED]],"&gt;0")</f>
        <v>1</v>
      </c>
      <c r="S45" s="30">
        <f>COUNTIFS(RAW_DATA[[#This Row],[AM/PM]],"AM",RAW_DATA[[#This Row],[CONVERTED]],"&gt;0")</f>
        <v>0</v>
      </c>
      <c r="T45" s="19">
        <f t="shared" si="11"/>
        <v>0</v>
      </c>
      <c r="U45" s="20" t="str">
        <f t="shared" si="9"/>
        <v>SINGLE</v>
      </c>
    </row>
    <row r="46" spans="1:21" x14ac:dyDescent="0.35">
      <c r="A46" s="21">
        <f t="shared" si="12"/>
        <v>45113</v>
      </c>
      <c r="B46" s="22" t="str">
        <f t="shared" si="10"/>
        <v>AM</v>
      </c>
      <c r="C46" s="23" t="str">
        <f t="shared" si="0"/>
        <v>July</v>
      </c>
      <c r="D46" s="13" t="str">
        <f t="shared" si="1"/>
        <v>THU</v>
      </c>
      <c r="E46" s="24">
        <v>0</v>
      </c>
      <c r="F46" s="24">
        <v>0</v>
      </c>
      <c r="G46" s="24">
        <v>0</v>
      </c>
      <c r="H46" s="24">
        <f t="shared" si="2"/>
        <v>0</v>
      </c>
      <c r="I46" s="24">
        <f t="shared" si="3"/>
        <v>0</v>
      </c>
      <c r="J46" s="24">
        <v>0</v>
      </c>
      <c r="K46" s="24">
        <f t="shared" si="4"/>
        <v>0</v>
      </c>
      <c r="L46" s="25">
        <v>0</v>
      </c>
      <c r="M46" s="25">
        <v>0</v>
      </c>
      <c r="N46" s="26">
        <f t="shared" si="5"/>
        <v>0</v>
      </c>
      <c r="O46" s="24">
        <f t="shared" si="6"/>
        <v>0</v>
      </c>
      <c r="P46" s="24">
        <f t="shared" si="7"/>
        <v>0</v>
      </c>
      <c r="Q46" s="29">
        <f t="shared" si="8"/>
        <v>0</v>
      </c>
      <c r="R46" s="30">
        <f>COUNTIF(RAW_DATA[[#This Row],[CONVERTED]],"&gt;0")</f>
        <v>0</v>
      </c>
      <c r="S46" s="30">
        <f>COUNTIFS(RAW_DATA[[#This Row],[AM/PM]],"AM",RAW_DATA[[#This Row],[CONVERTED]],"&gt;0")</f>
        <v>0</v>
      </c>
      <c r="T46" s="19">
        <f t="shared" si="11"/>
        <v>0</v>
      </c>
      <c r="U46" s="20" t="str">
        <f t="shared" si="9"/>
        <v>SINGLE</v>
      </c>
    </row>
    <row r="47" spans="1:21" x14ac:dyDescent="0.35">
      <c r="A47" s="21">
        <f t="shared" si="12"/>
        <v>45113</v>
      </c>
      <c r="B47" s="22" t="str">
        <f t="shared" si="10"/>
        <v>PM</v>
      </c>
      <c r="C47" s="23" t="str">
        <f t="shared" si="0"/>
        <v>July</v>
      </c>
      <c r="D47" s="13" t="str">
        <f t="shared" si="1"/>
        <v>THU</v>
      </c>
      <c r="E47" s="24">
        <v>1315.5</v>
      </c>
      <c r="F47" s="24">
        <v>167.42</v>
      </c>
      <c r="G47" s="24">
        <v>67</v>
      </c>
      <c r="H47" s="24">
        <f t="shared" si="2"/>
        <v>52.620000000000005</v>
      </c>
      <c r="I47" s="24">
        <f t="shared" si="3"/>
        <v>2.8126559999999996</v>
      </c>
      <c r="J47" s="24">
        <v>12</v>
      </c>
      <c r="K47" s="24">
        <f t="shared" si="4"/>
        <v>111.98734399999998</v>
      </c>
      <c r="L47" s="25">
        <v>5</v>
      </c>
      <c r="M47" s="25">
        <v>55</v>
      </c>
      <c r="N47" s="26">
        <f t="shared" si="5"/>
        <v>5.916666666666667</v>
      </c>
      <c r="O47" s="24">
        <f t="shared" si="6"/>
        <v>12.602499999999999</v>
      </c>
      <c r="P47" s="24">
        <f t="shared" si="7"/>
        <v>136.58984399999997</v>
      </c>
      <c r="Q47" s="29">
        <f t="shared" si="8"/>
        <v>191.58984399999997</v>
      </c>
      <c r="R47" s="30">
        <f>COUNTIF(RAW_DATA[[#This Row],[CONVERTED]],"&gt;0")</f>
        <v>1</v>
      </c>
      <c r="S47" s="30">
        <f>COUNTIFS(RAW_DATA[[#This Row],[AM/PM]],"AM",RAW_DATA[[#This Row],[CONVERTED]],"&gt;0")</f>
        <v>0</v>
      </c>
      <c r="T47" s="19">
        <f t="shared" si="11"/>
        <v>0</v>
      </c>
      <c r="U47" s="20" t="str">
        <f t="shared" si="9"/>
        <v>SINGLE</v>
      </c>
    </row>
    <row r="48" spans="1:21" x14ac:dyDescent="0.35">
      <c r="A48" s="21">
        <f t="shared" si="12"/>
        <v>45114</v>
      </c>
      <c r="B48" s="22" t="str">
        <f t="shared" si="10"/>
        <v>AM</v>
      </c>
      <c r="C48" s="23" t="str">
        <f t="shared" si="0"/>
        <v>July</v>
      </c>
      <c r="D48" s="13" t="str">
        <f t="shared" si="1"/>
        <v>FRI</v>
      </c>
      <c r="E48" s="24">
        <v>0</v>
      </c>
      <c r="F48" s="24">
        <v>0</v>
      </c>
      <c r="G48" s="24">
        <v>0</v>
      </c>
      <c r="H48" s="24">
        <f t="shared" si="2"/>
        <v>0</v>
      </c>
      <c r="I48" s="24">
        <f t="shared" si="3"/>
        <v>0</v>
      </c>
      <c r="J48" s="24">
        <v>0</v>
      </c>
      <c r="K48" s="24">
        <f t="shared" si="4"/>
        <v>0</v>
      </c>
      <c r="L48" s="25">
        <v>0</v>
      </c>
      <c r="M48" s="25">
        <v>0</v>
      </c>
      <c r="N48" s="26">
        <f t="shared" si="5"/>
        <v>0</v>
      </c>
      <c r="O48" s="24">
        <f t="shared" si="6"/>
        <v>0</v>
      </c>
      <c r="P48" s="24">
        <f t="shared" si="7"/>
        <v>0</v>
      </c>
      <c r="Q48" s="29">
        <f t="shared" si="8"/>
        <v>0</v>
      </c>
      <c r="R48" s="30">
        <f>COUNTIF(RAW_DATA[[#This Row],[CONVERTED]],"&gt;0")</f>
        <v>0</v>
      </c>
      <c r="S48" s="30">
        <f>COUNTIFS(RAW_DATA[[#This Row],[AM/PM]],"AM",RAW_DATA[[#This Row],[CONVERTED]],"&gt;0")</f>
        <v>0</v>
      </c>
      <c r="T48" s="19">
        <f t="shared" si="11"/>
        <v>0</v>
      </c>
      <c r="U48" s="20" t="str">
        <f t="shared" si="9"/>
        <v>SINGLE</v>
      </c>
    </row>
    <row r="49" spans="1:21" x14ac:dyDescent="0.35">
      <c r="A49" s="21">
        <f t="shared" si="12"/>
        <v>45114</v>
      </c>
      <c r="B49" s="22" t="str">
        <f t="shared" si="10"/>
        <v>PM</v>
      </c>
      <c r="C49" s="23" t="str">
        <f t="shared" si="0"/>
        <v>July</v>
      </c>
      <c r="D49" s="13" t="str">
        <f t="shared" si="1"/>
        <v>FRI</v>
      </c>
      <c r="E49" s="24">
        <v>1166.5</v>
      </c>
      <c r="F49" s="24">
        <v>197.87</v>
      </c>
      <c r="G49" s="24">
        <v>8</v>
      </c>
      <c r="H49" s="24">
        <f t="shared" si="2"/>
        <v>46.660000000000004</v>
      </c>
      <c r="I49" s="24">
        <f t="shared" si="3"/>
        <v>3.3242159999999998</v>
      </c>
      <c r="J49" s="24">
        <v>0.8</v>
      </c>
      <c r="K49" s="24">
        <f t="shared" si="4"/>
        <v>147.885784</v>
      </c>
      <c r="L49" s="25">
        <v>5</v>
      </c>
      <c r="M49" s="25">
        <v>40</v>
      </c>
      <c r="N49" s="26">
        <f t="shared" si="5"/>
        <v>5.666666666666667</v>
      </c>
      <c r="O49" s="24">
        <f t="shared" si="6"/>
        <v>12.07</v>
      </c>
      <c r="P49" s="24">
        <f t="shared" si="7"/>
        <v>160.75578400000001</v>
      </c>
      <c r="Q49" s="29">
        <f t="shared" si="8"/>
        <v>167.95578399999999</v>
      </c>
      <c r="R49" s="30">
        <f>COUNTIF(RAW_DATA[[#This Row],[CONVERTED]],"&gt;0")</f>
        <v>1</v>
      </c>
      <c r="S49" s="30">
        <f>COUNTIFS(RAW_DATA[[#This Row],[AM/PM]],"AM",RAW_DATA[[#This Row],[CONVERTED]],"&gt;0")</f>
        <v>0</v>
      </c>
      <c r="T49" s="19">
        <f t="shared" si="11"/>
        <v>0</v>
      </c>
      <c r="U49" s="20" t="str">
        <f t="shared" si="9"/>
        <v>SINGLE</v>
      </c>
    </row>
    <row r="50" spans="1:21" x14ac:dyDescent="0.35">
      <c r="A50" s="21">
        <f t="shared" si="12"/>
        <v>45115</v>
      </c>
      <c r="B50" s="22" t="str">
        <f t="shared" si="10"/>
        <v>AM</v>
      </c>
      <c r="C50" s="23" t="str">
        <f t="shared" si="0"/>
        <v>July</v>
      </c>
      <c r="D50" s="13" t="str">
        <f t="shared" si="1"/>
        <v>SAT</v>
      </c>
      <c r="E50" s="24">
        <v>0</v>
      </c>
      <c r="F50" s="24">
        <v>0</v>
      </c>
      <c r="G50" s="24">
        <v>0</v>
      </c>
      <c r="H50" s="24">
        <f t="shared" si="2"/>
        <v>0</v>
      </c>
      <c r="I50" s="24">
        <f t="shared" si="3"/>
        <v>0</v>
      </c>
      <c r="J50" s="24">
        <v>0</v>
      </c>
      <c r="K50" s="24">
        <f t="shared" si="4"/>
        <v>0</v>
      </c>
      <c r="L50" s="25">
        <v>0</v>
      </c>
      <c r="M50" s="25">
        <v>0</v>
      </c>
      <c r="N50" s="26">
        <f t="shared" si="5"/>
        <v>0</v>
      </c>
      <c r="O50" s="24">
        <f t="shared" si="6"/>
        <v>0</v>
      </c>
      <c r="P50" s="24">
        <f t="shared" si="7"/>
        <v>0</v>
      </c>
      <c r="Q50" s="29">
        <f t="shared" si="8"/>
        <v>0</v>
      </c>
      <c r="R50" s="30">
        <f>COUNTIF(RAW_DATA[[#This Row],[CONVERTED]],"&gt;0")</f>
        <v>0</v>
      </c>
      <c r="S50" s="30">
        <f>COUNTIFS(RAW_DATA[[#This Row],[AM/PM]],"AM",RAW_DATA[[#This Row],[CONVERTED]],"&gt;0")</f>
        <v>0</v>
      </c>
      <c r="T50" s="19">
        <f t="shared" si="11"/>
        <v>0</v>
      </c>
      <c r="U50" s="20" t="str">
        <f t="shared" si="9"/>
        <v>SINGLE</v>
      </c>
    </row>
    <row r="51" spans="1:21" x14ac:dyDescent="0.35">
      <c r="A51" s="21">
        <f t="shared" si="12"/>
        <v>45115</v>
      </c>
      <c r="B51" s="22" t="str">
        <f t="shared" si="10"/>
        <v>PM</v>
      </c>
      <c r="C51" s="23" t="str">
        <f t="shared" si="0"/>
        <v>July</v>
      </c>
      <c r="D51" s="13" t="str">
        <f t="shared" si="1"/>
        <v>SAT</v>
      </c>
      <c r="E51" s="24">
        <v>1261</v>
      </c>
      <c r="F51" s="24">
        <v>282.10000000000002</v>
      </c>
      <c r="G51" s="24">
        <v>0</v>
      </c>
      <c r="H51" s="24">
        <f t="shared" si="2"/>
        <v>50.44</v>
      </c>
      <c r="I51" s="24">
        <f t="shared" si="3"/>
        <v>4.7392799999999999</v>
      </c>
      <c r="J51" s="24">
        <v>0</v>
      </c>
      <c r="K51" s="24">
        <f t="shared" si="4"/>
        <v>226.92072000000002</v>
      </c>
      <c r="L51" s="25">
        <v>5</v>
      </c>
      <c r="M51" s="25">
        <v>31</v>
      </c>
      <c r="N51" s="26">
        <f t="shared" si="5"/>
        <v>5.5166666666666666</v>
      </c>
      <c r="O51" s="24">
        <f t="shared" si="6"/>
        <v>11.750499999999999</v>
      </c>
      <c r="P51" s="24">
        <f t="shared" si="7"/>
        <v>238.67122000000001</v>
      </c>
      <c r="Q51" s="29">
        <f t="shared" si="8"/>
        <v>238.67122000000001</v>
      </c>
      <c r="R51" s="30">
        <f>COUNTIF(RAW_DATA[[#This Row],[CONVERTED]],"&gt;0")</f>
        <v>1</v>
      </c>
      <c r="S51" s="30">
        <f>COUNTIFS(RAW_DATA[[#This Row],[AM/PM]],"AM",RAW_DATA[[#This Row],[CONVERTED]],"&gt;0")</f>
        <v>0</v>
      </c>
      <c r="T51" s="19">
        <f t="shared" si="11"/>
        <v>0</v>
      </c>
      <c r="U51" s="20" t="str">
        <f t="shared" si="9"/>
        <v>SINGLE</v>
      </c>
    </row>
    <row r="52" spans="1:21" x14ac:dyDescent="0.35">
      <c r="A52" s="21">
        <f t="shared" si="12"/>
        <v>45116</v>
      </c>
      <c r="B52" s="22" t="str">
        <f t="shared" si="10"/>
        <v>AM</v>
      </c>
      <c r="C52" s="23" t="str">
        <f t="shared" si="0"/>
        <v>July</v>
      </c>
      <c r="D52" s="13" t="str">
        <f t="shared" si="1"/>
        <v>SUN</v>
      </c>
      <c r="E52" s="24">
        <v>0</v>
      </c>
      <c r="F52" s="24">
        <v>0</v>
      </c>
      <c r="G52" s="24">
        <v>0</v>
      </c>
      <c r="H52" s="24">
        <f t="shared" si="2"/>
        <v>0</v>
      </c>
      <c r="I52" s="24">
        <f t="shared" si="3"/>
        <v>0</v>
      </c>
      <c r="J52" s="24">
        <v>0</v>
      </c>
      <c r="K52" s="24">
        <f t="shared" si="4"/>
        <v>0</v>
      </c>
      <c r="L52" s="25">
        <v>0</v>
      </c>
      <c r="M52" s="25">
        <v>0</v>
      </c>
      <c r="N52" s="26">
        <f t="shared" si="5"/>
        <v>0</v>
      </c>
      <c r="O52" s="24">
        <f t="shared" si="6"/>
        <v>0</v>
      </c>
      <c r="P52" s="24">
        <f t="shared" si="7"/>
        <v>0</v>
      </c>
      <c r="Q52" s="29">
        <f t="shared" si="8"/>
        <v>0</v>
      </c>
      <c r="R52" s="30">
        <f>COUNTIF(RAW_DATA[[#This Row],[CONVERTED]],"&gt;0")</f>
        <v>0</v>
      </c>
      <c r="S52" s="30">
        <f>COUNTIFS(RAW_DATA[[#This Row],[AM/PM]],"AM",RAW_DATA[[#This Row],[CONVERTED]],"&gt;0")</f>
        <v>0</v>
      </c>
      <c r="T52" s="19">
        <f t="shared" si="11"/>
        <v>0</v>
      </c>
      <c r="U52" s="20" t="str">
        <f t="shared" si="9"/>
        <v>SINGLE</v>
      </c>
    </row>
    <row r="53" spans="1:21" x14ac:dyDescent="0.35">
      <c r="A53" s="21">
        <f t="shared" si="12"/>
        <v>45116</v>
      </c>
      <c r="B53" s="22" t="str">
        <f t="shared" si="10"/>
        <v>PM</v>
      </c>
      <c r="C53" s="23" t="str">
        <f t="shared" si="0"/>
        <v>July</v>
      </c>
      <c r="D53" s="13" t="str">
        <f t="shared" si="1"/>
        <v>SUN</v>
      </c>
      <c r="E53" s="24">
        <v>0</v>
      </c>
      <c r="F53" s="24">
        <v>0</v>
      </c>
      <c r="G53" s="24">
        <v>0</v>
      </c>
      <c r="H53" s="24">
        <f t="shared" si="2"/>
        <v>0</v>
      </c>
      <c r="I53" s="24">
        <f t="shared" si="3"/>
        <v>0</v>
      </c>
      <c r="J53" s="24">
        <v>0</v>
      </c>
      <c r="K53" s="24">
        <f t="shared" si="4"/>
        <v>0</v>
      </c>
      <c r="L53" s="25">
        <v>0</v>
      </c>
      <c r="M53" s="25">
        <v>0</v>
      </c>
      <c r="N53" s="26">
        <f t="shared" si="5"/>
        <v>0</v>
      </c>
      <c r="O53" s="24">
        <f t="shared" si="6"/>
        <v>0</v>
      </c>
      <c r="P53" s="24">
        <f t="shared" si="7"/>
        <v>0</v>
      </c>
      <c r="Q53" s="29">
        <f t="shared" si="8"/>
        <v>0</v>
      </c>
      <c r="R53" s="30">
        <f>COUNTIF(RAW_DATA[[#This Row],[CONVERTED]],"&gt;0")</f>
        <v>0</v>
      </c>
      <c r="S53" s="30">
        <f>COUNTIFS(RAW_DATA[[#This Row],[AM/PM]],"AM",RAW_DATA[[#This Row],[CONVERTED]],"&gt;0")</f>
        <v>0</v>
      </c>
      <c r="T53" s="19">
        <f t="shared" si="11"/>
        <v>0</v>
      </c>
      <c r="U53" s="20" t="str">
        <f t="shared" si="9"/>
        <v>SINGLE</v>
      </c>
    </row>
    <row r="54" spans="1:21" x14ac:dyDescent="0.35">
      <c r="A54" s="21">
        <f t="shared" si="12"/>
        <v>45117</v>
      </c>
      <c r="B54" s="22" t="str">
        <f t="shared" si="10"/>
        <v>AM</v>
      </c>
      <c r="C54" s="23" t="str">
        <f t="shared" si="0"/>
        <v>July</v>
      </c>
      <c r="D54" s="13" t="str">
        <f t="shared" si="1"/>
        <v>MON</v>
      </c>
      <c r="E54" s="24">
        <v>0</v>
      </c>
      <c r="F54" s="24">
        <v>0</v>
      </c>
      <c r="G54" s="24">
        <v>0</v>
      </c>
      <c r="H54" s="24">
        <f t="shared" si="2"/>
        <v>0</v>
      </c>
      <c r="I54" s="24">
        <f t="shared" si="3"/>
        <v>0</v>
      </c>
      <c r="J54" s="24">
        <v>0</v>
      </c>
      <c r="K54" s="24">
        <f t="shared" si="4"/>
        <v>0</v>
      </c>
      <c r="L54" s="25">
        <v>0</v>
      </c>
      <c r="M54" s="25">
        <v>0</v>
      </c>
      <c r="N54" s="26">
        <f t="shared" si="5"/>
        <v>0</v>
      </c>
      <c r="O54" s="24">
        <f t="shared" si="6"/>
        <v>0</v>
      </c>
      <c r="P54" s="24">
        <f t="shared" si="7"/>
        <v>0</v>
      </c>
      <c r="Q54" s="29">
        <f t="shared" si="8"/>
        <v>0</v>
      </c>
      <c r="R54" s="30">
        <f>COUNTIF(RAW_DATA[[#This Row],[CONVERTED]],"&gt;0")</f>
        <v>0</v>
      </c>
      <c r="S54" s="30">
        <f>COUNTIFS(RAW_DATA[[#This Row],[AM/PM]],"AM",RAW_DATA[[#This Row],[CONVERTED]],"&gt;0")</f>
        <v>0</v>
      </c>
      <c r="T54" s="19">
        <f t="shared" si="11"/>
        <v>0</v>
      </c>
      <c r="U54" s="20" t="str">
        <f t="shared" si="9"/>
        <v>SINGLE</v>
      </c>
    </row>
    <row r="55" spans="1:21" x14ac:dyDescent="0.35">
      <c r="A55" s="21">
        <f t="shared" si="12"/>
        <v>45117</v>
      </c>
      <c r="B55" s="22" t="str">
        <f t="shared" si="10"/>
        <v>PM</v>
      </c>
      <c r="C55" s="23" t="str">
        <f t="shared" si="0"/>
        <v>July</v>
      </c>
      <c r="D55" s="13" t="str">
        <f t="shared" si="1"/>
        <v>MON</v>
      </c>
      <c r="E55" s="24">
        <v>1123</v>
      </c>
      <c r="F55" s="24">
        <v>208.44</v>
      </c>
      <c r="G55" s="24">
        <v>20</v>
      </c>
      <c r="H55" s="24">
        <f t="shared" si="2"/>
        <v>44.92</v>
      </c>
      <c r="I55" s="24">
        <f t="shared" si="3"/>
        <v>3.5017919999999996</v>
      </c>
      <c r="J55" s="24">
        <v>0</v>
      </c>
      <c r="K55" s="24">
        <f t="shared" si="4"/>
        <v>160.01820799999999</v>
      </c>
      <c r="L55" s="25">
        <v>4</v>
      </c>
      <c r="M55" s="25">
        <v>57</v>
      </c>
      <c r="N55" s="26">
        <f t="shared" si="5"/>
        <v>4.95</v>
      </c>
      <c r="O55" s="24">
        <f t="shared" si="6"/>
        <v>10.5435</v>
      </c>
      <c r="P55" s="24">
        <f t="shared" si="7"/>
        <v>170.56170799999998</v>
      </c>
      <c r="Q55" s="29">
        <f t="shared" si="8"/>
        <v>190.56170799999998</v>
      </c>
      <c r="R55" s="30">
        <f>COUNTIF(RAW_DATA[[#This Row],[CONVERTED]],"&gt;0")</f>
        <v>1</v>
      </c>
      <c r="S55" s="30">
        <f>COUNTIFS(RAW_DATA[[#This Row],[AM/PM]],"AM",RAW_DATA[[#This Row],[CONVERTED]],"&gt;0")</f>
        <v>0</v>
      </c>
      <c r="T55" s="19">
        <f t="shared" si="11"/>
        <v>0</v>
      </c>
      <c r="U55" s="20" t="str">
        <f t="shared" si="9"/>
        <v>SINGLE</v>
      </c>
    </row>
    <row r="56" spans="1:21" x14ac:dyDescent="0.35">
      <c r="A56" s="21">
        <f t="shared" si="12"/>
        <v>45118</v>
      </c>
      <c r="B56" s="22" t="str">
        <f t="shared" si="10"/>
        <v>AM</v>
      </c>
      <c r="C56" s="23" t="str">
        <f t="shared" si="0"/>
        <v>July</v>
      </c>
      <c r="D56" s="13" t="str">
        <f t="shared" si="1"/>
        <v>TUE</v>
      </c>
      <c r="E56" s="24">
        <v>0</v>
      </c>
      <c r="F56" s="24">
        <v>0</v>
      </c>
      <c r="G56" s="24">
        <v>0</v>
      </c>
      <c r="H56" s="24">
        <f t="shared" si="2"/>
        <v>0</v>
      </c>
      <c r="I56" s="24">
        <f t="shared" si="3"/>
        <v>0</v>
      </c>
      <c r="J56" s="24">
        <v>0</v>
      </c>
      <c r="K56" s="24">
        <f t="shared" si="4"/>
        <v>0</v>
      </c>
      <c r="L56" s="25">
        <v>0</v>
      </c>
      <c r="M56" s="25">
        <v>0</v>
      </c>
      <c r="N56" s="26">
        <f t="shared" si="5"/>
        <v>0</v>
      </c>
      <c r="O56" s="24">
        <f t="shared" si="6"/>
        <v>0</v>
      </c>
      <c r="P56" s="24">
        <f t="shared" si="7"/>
        <v>0</v>
      </c>
      <c r="Q56" s="29">
        <f t="shared" si="8"/>
        <v>0</v>
      </c>
      <c r="R56" s="30">
        <f>COUNTIF(RAW_DATA[[#This Row],[CONVERTED]],"&gt;0")</f>
        <v>0</v>
      </c>
      <c r="S56" s="30">
        <f>COUNTIFS(RAW_DATA[[#This Row],[AM/PM]],"AM",RAW_DATA[[#This Row],[CONVERTED]],"&gt;0")</f>
        <v>0</v>
      </c>
      <c r="T56" s="19">
        <f t="shared" si="11"/>
        <v>0</v>
      </c>
      <c r="U56" s="20" t="str">
        <f t="shared" si="9"/>
        <v>SINGLE</v>
      </c>
    </row>
    <row r="57" spans="1:21" x14ac:dyDescent="0.35">
      <c r="A57" s="21">
        <f t="shared" si="12"/>
        <v>45118</v>
      </c>
      <c r="B57" s="22" t="str">
        <f t="shared" si="10"/>
        <v>PM</v>
      </c>
      <c r="C57" s="23" t="str">
        <f t="shared" si="0"/>
        <v>July</v>
      </c>
      <c r="D57" s="13" t="str">
        <f t="shared" si="1"/>
        <v>TUE</v>
      </c>
      <c r="E57" s="24">
        <v>1161</v>
      </c>
      <c r="F57" s="24">
        <v>182.64</v>
      </c>
      <c r="G57" s="24">
        <v>33</v>
      </c>
      <c r="H57" s="24">
        <f t="shared" si="2"/>
        <v>46.44</v>
      </c>
      <c r="I57" s="24">
        <f t="shared" si="3"/>
        <v>3.0683519999999995</v>
      </c>
      <c r="J57" s="24">
        <v>5.5</v>
      </c>
      <c r="K57" s="24">
        <f t="shared" si="4"/>
        <v>133.13164799999998</v>
      </c>
      <c r="L57" s="25">
        <v>4</v>
      </c>
      <c r="M57" s="25">
        <v>33</v>
      </c>
      <c r="N57" s="26">
        <f t="shared" si="5"/>
        <v>4.55</v>
      </c>
      <c r="O57" s="24">
        <f t="shared" si="6"/>
        <v>9.6914999999999996</v>
      </c>
      <c r="P57" s="24">
        <f t="shared" si="7"/>
        <v>148.32314799999997</v>
      </c>
      <c r="Q57" s="29">
        <f t="shared" si="8"/>
        <v>175.82314799999997</v>
      </c>
      <c r="R57" s="30">
        <f>COUNTIF(RAW_DATA[[#This Row],[CONVERTED]],"&gt;0")</f>
        <v>1</v>
      </c>
      <c r="S57" s="30">
        <f>COUNTIFS(RAW_DATA[[#This Row],[AM/PM]],"AM",RAW_DATA[[#This Row],[CONVERTED]],"&gt;0")</f>
        <v>0</v>
      </c>
      <c r="T57" s="19">
        <f t="shared" si="11"/>
        <v>0</v>
      </c>
      <c r="U57" s="20" t="str">
        <f t="shared" si="9"/>
        <v>SINGLE</v>
      </c>
    </row>
    <row r="58" spans="1:21" x14ac:dyDescent="0.35">
      <c r="A58" s="21">
        <f t="shared" si="12"/>
        <v>45119</v>
      </c>
      <c r="B58" s="22" t="str">
        <f t="shared" si="10"/>
        <v>AM</v>
      </c>
      <c r="C58" s="23" t="str">
        <f t="shared" si="0"/>
        <v>July</v>
      </c>
      <c r="D58" s="13" t="str">
        <f t="shared" si="1"/>
        <v>WED</v>
      </c>
      <c r="E58" s="24">
        <v>0</v>
      </c>
      <c r="F58" s="24">
        <v>0</v>
      </c>
      <c r="G58" s="24">
        <v>0</v>
      </c>
      <c r="H58" s="24">
        <f t="shared" si="2"/>
        <v>0</v>
      </c>
      <c r="I58" s="24">
        <f t="shared" si="3"/>
        <v>0</v>
      </c>
      <c r="J58" s="24">
        <v>0</v>
      </c>
      <c r="K58" s="24">
        <f t="shared" si="4"/>
        <v>0</v>
      </c>
      <c r="L58" s="25">
        <v>0</v>
      </c>
      <c r="M58" s="25">
        <v>0</v>
      </c>
      <c r="N58" s="26">
        <f t="shared" si="5"/>
        <v>0</v>
      </c>
      <c r="O58" s="27">
        <f t="shared" si="6"/>
        <v>0</v>
      </c>
      <c r="P58" s="27">
        <f t="shared" si="7"/>
        <v>0</v>
      </c>
      <c r="Q58" s="28">
        <f t="shared" si="8"/>
        <v>0</v>
      </c>
      <c r="R58" s="19">
        <f>COUNTIF(RAW_DATA[[#This Row],[CONVERTED]],"&gt;0")</f>
        <v>0</v>
      </c>
      <c r="S58" s="30">
        <f>COUNTIFS(RAW_DATA[[#This Row],[AM/PM]],"AM",RAW_DATA[[#This Row],[CONVERTED]],"&gt;0")</f>
        <v>0</v>
      </c>
      <c r="T58" s="19">
        <f t="shared" si="11"/>
        <v>0</v>
      </c>
      <c r="U58" s="20" t="str">
        <f t="shared" si="9"/>
        <v>SINGLE</v>
      </c>
    </row>
    <row r="59" spans="1:21" x14ac:dyDescent="0.35">
      <c r="A59" s="21">
        <f t="shared" si="12"/>
        <v>45119</v>
      </c>
      <c r="B59" s="22" t="str">
        <f t="shared" si="10"/>
        <v>PM</v>
      </c>
      <c r="C59" s="23" t="str">
        <f t="shared" si="0"/>
        <v>July</v>
      </c>
      <c r="D59" s="13" t="str">
        <f t="shared" si="1"/>
        <v>WED</v>
      </c>
      <c r="E59" s="24">
        <v>836.5</v>
      </c>
      <c r="F59" s="24">
        <v>174.55</v>
      </c>
      <c r="G59" s="24">
        <v>0</v>
      </c>
      <c r="H59" s="24">
        <f t="shared" si="2"/>
        <v>33.46</v>
      </c>
      <c r="I59" s="24">
        <f t="shared" si="3"/>
        <v>2.9324400000000002</v>
      </c>
      <c r="J59" s="24">
        <v>0</v>
      </c>
      <c r="K59" s="24">
        <f t="shared" si="4"/>
        <v>138.15756000000002</v>
      </c>
      <c r="L59" s="25">
        <v>4</v>
      </c>
      <c r="M59" s="25">
        <v>20</v>
      </c>
      <c r="N59" s="26">
        <f t="shared" si="5"/>
        <v>4.333333333333333</v>
      </c>
      <c r="O59" s="24">
        <f t="shared" si="6"/>
        <v>9.2299999999999986</v>
      </c>
      <c r="P59" s="24">
        <f t="shared" si="7"/>
        <v>147.38756000000001</v>
      </c>
      <c r="Q59" s="29">
        <f t="shared" si="8"/>
        <v>147.38756000000001</v>
      </c>
      <c r="R59" s="30">
        <f>COUNTIF(RAW_DATA[[#This Row],[CONVERTED]],"&gt;0")</f>
        <v>1</v>
      </c>
      <c r="S59" s="30">
        <f>COUNTIFS(RAW_DATA[[#This Row],[AM/PM]],"AM",RAW_DATA[[#This Row],[CONVERTED]],"&gt;0")</f>
        <v>0</v>
      </c>
      <c r="T59" s="19">
        <f t="shared" si="11"/>
        <v>0</v>
      </c>
      <c r="U59" s="20" t="str">
        <f t="shared" si="9"/>
        <v>SINGLE</v>
      </c>
    </row>
    <row r="60" spans="1:21" x14ac:dyDescent="0.35">
      <c r="A60" s="21">
        <f t="shared" si="12"/>
        <v>45120</v>
      </c>
      <c r="B60" s="22" t="str">
        <f t="shared" si="10"/>
        <v>AM</v>
      </c>
      <c r="C60" s="23" t="str">
        <f t="shared" si="0"/>
        <v>July</v>
      </c>
      <c r="D60" s="13" t="str">
        <f t="shared" si="1"/>
        <v>THU</v>
      </c>
      <c r="E60" s="24">
        <v>0</v>
      </c>
      <c r="F60" s="24">
        <v>0</v>
      </c>
      <c r="G60" s="24">
        <v>0</v>
      </c>
      <c r="H60" s="24">
        <f t="shared" si="2"/>
        <v>0</v>
      </c>
      <c r="I60" s="24">
        <f t="shared" si="3"/>
        <v>0</v>
      </c>
      <c r="J60" s="24">
        <v>0</v>
      </c>
      <c r="K60" s="24">
        <f t="shared" si="4"/>
        <v>0</v>
      </c>
      <c r="L60" s="25">
        <v>0</v>
      </c>
      <c r="M60" s="25">
        <v>0</v>
      </c>
      <c r="N60" s="26">
        <f t="shared" si="5"/>
        <v>0</v>
      </c>
      <c r="O60" s="24">
        <f t="shared" si="6"/>
        <v>0</v>
      </c>
      <c r="P60" s="24">
        <f t="shared" si="7"/>
        <v>0</v>
      </c>
      <c r="Q60" s="29">
        <f t="shared" si="8"/>
        <v>0</v>
      </c>
      <c r="R60" s="30">
        <f>COUNTIF(RAW_DATA[[#This Row],[CONVERTED]],"&gt;0")</f>
        <v>0</v>
      </c>
      <c r="S60" s="30">
        <f>COUNTIFS(RAW_DATA[[#This Row],[AM/PM]],"AM",RAW_DATA[[#This Row],[CONVERTED]],"&gt;0")</f>
        <v>0</v>
      </c>
      <c r="T60" s="19">
        <f t="shared" si="11"/>
        <v>0</v>
      </c>
      <c r="U60" s="20" t="str">
        <f t="shared" si="9"/>
        <v>SINGLE</v>
      </c>
    </row>
    <row r="61" spans="1:21" x14ac:dyDescent="0.35">
      <c r="A61" s="21">
        <f t="shared" si="12"/>
        <v>45120</v>
      </c>
      <c r="B61" s="22" t="str">
        <f t="shared" si="10"/>
        <v>PM</v>
      </c>
      <c r="C61" s="23" t="str">
        <f t="shared" si="0"/>
        <v>July</v>
      </c>
      <c r="D61" s="13" t="str">
        <f t="shared" si="1"/>
        <v>THU</v>
      </c>
      <c r="E61" s="24">
        <v>0</v>
      </c>
      <c r="F61" s="24">
        <v>0</v>
      </c>
      <c r="G61" s="24">
        <v>0</v>
      </c>
      <c r="H61" s="24">
        <f t="shared" si="2"/>
        <v>0</v>
      </c>
      <c r="I61" s="24">
        <f t="shared" si="3"/>
        <v>0</v>
      </c>
      <c r="J61" s="24">
        <v>0</v>
      </c>
      <c r="K61" s="24">
        <f t="shared" si="4"/>
        <v>0</v>
      </c>
      <c r="L61" s="25">
        <v>0</v>
      </c>
      <c r="M61" s="25">
        <v>0</v>
      </c>
      <c r="N61" s="26">
        <f t="shared" si="5"/>
        <v>0</v>
      </c>
      <c r="O61" s="24">
        <f t="shared" si="6"/>
        <v>0</v>
      </c>
      <c r="P61" s="24">
        <f t="shared" si="7"/>
        <v>0</v>
      </c>
      <c r="Q61" s="29">
        <f t="shared" si="8"/>
        <v>0</v>
      </c>
      <c r="R61" s="30">
        <f>COUNTIF(RAW_DATA[[#This Row],[CONVERTED]],"&gt;0")</f>
        <v>0</v>
      </c>
      <c r="S61" s="30">
        <f>COUNTIFS(RAW_DATA[[#This Row],[AM/PM]],"AM",RAW_DATA[[#This Row],[CONVERTED]],"&gt;0")</f>
        <v>0</v>
      </c>
      <c r="T61" s="19">
        <f t="shared" si="11"/>
        <v>0</v>
      </c>
      <c r="U61" s="20" t="str">
        <f t="shared" si="9"/>
        <v>SINGLE</v>
      </c>
    </row>
    <row r="62" spans="1:21" x14ac:dyDescent="0.35">
      <c r="A62" s="21">
        <f t="shared" si="12"/>
        <v>45121</v>
      </c>
      <c r="B62" s="22" t="str">
        <f t="shared" si="10"/>
        <v>AM</v>
      </c>
      <c r="C62" s="23" t="str">
        <f t="shared" si="0"/>
        <v>July</v>
      </c>
      <c r="D62" s="13" t="str">
        <f t="shared" si="1"/>
        <v>FRI</v>
      </c>
      <c r="E62" s="24">
        <v>0</v>
      </c>
      <c r="F62" s="24">
        <v>0</v>
      </c>
      <c r="G62" s="24">
        <v>0</v>
      </c>
      <c r="H62" s="24">
        <f t="shared" si="2"/>
        <v>0</v>
      </c>
      <c r="I62" s="24">
        <f t="shared" si="3"/>
        <v>0</v>
      </c>
      <c r="J62" s="24">
        <v>0</v>
      </c>
      <c r="K62" s="24">
        <f t="shared" si="4"/>
        <v>0</v>
      </c>
      <c r="L62" s="25">
        <v>0</v>
      </c>
      <c r="M62" s="25">
        <v>0</v>
      </c>
      <c r="N62" s="26">
        <f t="shared" si="5"/>
        <v>0</v>
      </c>
      <c r="O62" s="24">
        <f t="shared" si="6"/>
        <v>0</v>
      </c>
      <c r="P62" s="24">
        <f t="shared" si="7"/>
        <v>0</v>
      </c>
      <c r="Q62" s="29">
        <f t="shared" si="8"/>
        <v>0</v>
      </c>
      <c r="R62" s="30">
        <f>COUNTIF(RAW_DATA[[#This Row],[CONVERTED]],"&gt;0")</f>
        <v>0</v>
      </c>
      <c r="S62" s="30">
        <f>COUNTIFS(RAW_DATA[[#This Row],[AM/PM]],"AM",RAW_DATA[[#This Row],[CONVERTED]],"&gt;0")</f>
        <v>0</v>
      </c>
      <c r="T62" s="19">
        <f t="shared" si="11"/>
        <v>0</v>
      </c>
      <c r="U62" s="20" t="str">
        <f t="shared" si="9"/>
        <v>SINGLE</v>
      </c>
    </row>
    <row r="63" spans="1:21" x14ac:dyDescent="0.35">
      <c r="A63" s="21">
        <f t="shared" si="12"/>
        <v>45121</v>
      </c>
      <c r="B63" s="22" t="str">
        <f t="shared" si="10"/>
        <v>PM</v>
      </c>
      <c r="C63" s="23" t="str">
        <f t="shared" si="0"/>
        <v>July</v>
      </c>
      <c r="D63" s="13" t="str">
        <f t="shared" si="1"/>
        <v>FRI</v>
      </c>
      <c r="E63" s="24">
        <v>1286</v>
      </c>
      <c r="F63" s="24">
        <v>136.79</v>
      </c>
      <c r="G63" s="24">
        <v>110</v>
      </c>
      <c r="H63" s="24">
        <f t="shared" si="2"/>
        <v>51.44</v>
      </c>
      <c r="I63" s="24">
        <f t="shared" si="3"/>
        <v>2.2980719999999999</v>
      </c>
      <c r="J63" s="24">
        <v>44.5</v>
      </c>
      <c r="K63" s="24">
        <f t="shared" si="4"/>
        <v>83.051928000000004</v>
      </c>
      <c r="L63" s="25">
        <v>4</v>
      </c>
      <c r="M63" s="25">
        <v>47</v>
      </c>
      <c r="N63" s="26">
        <f t="shared" si="5"/>
        <v>4.7833333333333332</v>
      </c>
      <c r="O63" s="24">
        <f t="shared" si="6"/>
        <v>10.188499999999999</v>
      </c>
      <c r="P63" s="24">
        <f t="shared" si="7"/>
        <v>137.74042800000001</v>
      </c>
      <c r="Q63" s="29">
        <f t="shared" si="8"/>
        <v>203.24042800000001</v>
      </c>
      <c r="R63" s="30">
        <f>COUNTIF(RAW_DATA[[#This Row],[CONVERTED]],"&gt;0")</f>
        <v>1</v>
      </c>
      <c r="S63" s="30">
        <f>COUNTIFS(RAW_DATA[[#This Row],[AM/PM]],"AM",RAW_DATA[[#This Row],[CONVERTED]],"&gt;0")</f>
        <v>0</v>
      </c>
      <c r="T63" s="19">
        <f t="shared" si="11"/>
        <v>0</v>
      </c>
      <c r="U63" s="20" t="str">
        <f t="shared" si="9"/>
        <v>SINGLE</v>
      </c>
    </row>
    <row r="64" spans="1:21" x14ac:dyDescent="0.35">
      <c r="A64" s="21">
        <f t="shared" si="12"/>
        <v>45122</v>
      </c>
      <c r="B64" s="22" t="str">
        <f t="shared" si="10"/>
        <v>AM</v>
      </c>
      <c r="C64" s="23" t="str">
        <f t="shared" si="0"/>
        <v>July</v>
      </c>
      <c r="D64" s="13" t="str">
        <f t="shared" si="1"/>
        <v>SAT</v>
      </c>
      <c r="E64" s="24">
        <v>0</v>
      </c>
      <c r="F64" s="24">
        <v>0</v>
      </c>
      <c r="G64" s="24">
        <v>0</v>
      </c>
      <c r="H64" s="24">
        <f t="shared" si="2"/>
        <v>0</v>
      </c>
      <c r="I64" s="24">
        <f t="shared" si="3"/>
        <v>0</v>
      </c>
      <c r="J64" s="24">
        <v>0</v>
      </c>
      <c r="K64" s="24">
        <f t="shared" si="4"/>
        <v>0</v>
      </c>
      <c r="L64" s="25">
        <v>0</v>
      </c>
      <c r="M64" s="25">
        <v>0</v>
      </c>
      <c r="N64" s="26">
        <f t="shared" si="5"/>
        <v>0</v>
      </c>
      <c r="O64" s="24">
        <f t="shared" si="6"/>
        <v>0</v>
      </c>
      <c r="P64" s="24">
        <f t="shared" si="7"/>
        <v>0</v>
      </c>
      <c r="Q64" s="29">
        <f t="shared" si="8"/>
        <v>0</v>
      </c>
      <c r="R64" s="30">
        <f>COUNTIF(RAW_DATA[[#This Row],[CONVERTED]],"&gt;0")</f>
        <v>0</v>
      </c>
      <c r="S64" s="30">
        <f>COUNTIFS(RAW_DATA[[#This Row],[AM/PM]],"AM",RAW_DATA[[#This Row],[CONVERTED]],"&gt;0")</f>
        <v>0</v>
      </c>
      <c r="T64" s="19">
        <f t="shared" si="11"/>
        <v>0</v>
      </c>
      <c r="U64" s="20" t="str">
        <f t="shared" si="9"/>
        <v>SINGLE</v>
      </c>
    </row>
    <row r="65" spans="1:21" x14ac:dyDescent="0.35">
      <c r="A65" s="21">
        <f t="shared" si="12"/>
        <v>45122</v>
      </c>
      <c r="B65" s="22" t="str">
        <f t="shared" si="10"/>
        <v>PM</v>
      </c>
      <c r="C65" s="23" t="str">
        <f t="shared" si="0"/>
        <v>July</v>
      </c>
      <c r="D65" s="13" t="str">
        <f t="shared" si="1"/>
        <v>SAT</v>
      </c>
      <c r="E65" s="24">
        <v>764.5</v>
      </c>
      <c r="F65" s="24">
        <v>132.41999999999999</v>
      </c>
      <c r="G65" s="24">
        <v>8</v>
      </c>
      <c r="H65" s="24">
        <f t="shared" si="2"/>
        <v>30.580000000000002</v>
      </c>
      <c r="I65" s="24">
        <f t="shared" si="3"/>
        <v>2.2246559999999995</v>
      </c>
      <c r="J65" s="24">
        <v>3.5</v>
      </c>
      <c r="K65" s="24">
        <f t="shared" si="4"/>
        <v>99.615343999999993</v>
      </c>
      <c r="L65" s="25">
        <v>4</v>
      </c>
      <c r="M65" s="25">
        <v>18</v>
      </c>
      <c r="N65" s="26">
        <f t="shared" si="5"/>
        <v>4.3</v>
      </c>
      <c r="O65" s="24">
        <f t="shared" si="6"/>
        <v>9.1589999999999989</v>
      </c>
      <c r="P65" s="24">
        <f t="shared" si="7"/>
        <v>112.27434399999999</v>
      </c>
      <c r="Q65" s="29">
        <f t="shared" si="8"/>
        <v>116.77434399999999</v>
      </c>
      <c r="R65" s="30">
        <f>COUNTIF(RAW_DATA[[#This Row],[CONVERTED]],"&gt;0")</f>
        <v>1</v>
      </c>
      <c r="S65" s="30">
        <f>COUNTIFS(RAW_DATA[[#This Row],[AM/PM]],"AM",RAW_DATA[[#This Row],[CONVERTED]],"&gt;0")</f>
        <v>0</v>
      </c>
      <c r="T65" s="19">
        <f t="shared" si="11"/>
        <v>0</v>
      </c>
      <c r="U65" s="20" t="str">
        <f t="shared" si="9"/>
        <v>SINGLE</v>
      </c>
    </row>
    <row r="66" spans="1:21" x14ac:dyDescent="0.35">
      <c r="A66" s="21">
        <f t="shared" si="12"/>
        <v>45123</v>
      </c>
      <c r="B66" s="22" t="str">
        <f t="shared" si="10"/>
        <v>AM</v>
      </c>
      <c r="C66" s="23" t="str">
        <f t="shared" ref="C66:C129" si="13">TEXT(A66,"mmmm")</f>
        <v>July</v>
      </c>
      <c r="D66" s="13" t="str">
        <f t="shared" ref="D66:D129" si="14">CHOOSE(WEEKDAY(A66),"SUN","MON","TUE","WED","THU","FRI","SAT")</f>
        <v>SUN</v>
      </c>
      <c r="E66" s="24">
        <v>0</v>
      </c>
      <c r="F66" s="24">
        <v>0</v>
      </c>
      <c r="G66" s="24">
        <v>0</v>
      </c>
      <c r="H66" s="24">
        <f t="shared" ref="H66:H129" si="15">E66*0.04</f>
        <v>0</v>
      </c>
      <c r="I66" s="24">
        <f t="shared" ref="I66:I129" si="16">F66*0.0168</f>
        <v>0</v>
      </c>
      <c r="J66" s="24">
        <v>0</v>
      </c>
      <c r="K66" s="24">
        <f t="shared" ref="K66:K129" si="17">F66-(H66+I66)</f>
        <v>0</v>
      </c>
      <c r="L66" s="25">
        <v>0</v>
      </c>
      <c r="M66" s="25">
        <v>0</v>
      </c>
      <c r="N66" s="26">
        <f t="shared" ref="N66:N129" si="18">((L66*60)+M66)/60</f>
        <v>0</v>
      </c>
      <c r="O66" s="24">
        <f t="shared" ref="O66:O129" si="19">N66*2.13</f>
        <v>0</v>
      </c>
      <c r="P66" s="24">
        <f t="shared" ref="P66:P129" si="20">K66+J66+O66</f>
        <v>0</v>
      </c>
      <c r="Q66" s="29">
        <f t="shared" ref="Q66:Q129" si="21">G66+K66+O66</f>
        <v>0</v>
      </c>
      <c r="R66" s="30">
        <f>COUNTIF(RAW_DATA[[#This Row],[CONVERTED]],"&gt;0")</f>
        <v>0</v>
      </c>
      <c r="S66" s="30">
        <f>COUNTIFS(RAW_DATA[[#This Row],[AM/PM]],"AM",RAW_DATA[[#This Row],[CONVERTED]],"&gt;0")</f>
        <v>0</v>
      </c>
      <c r="T66" s="19">
        <f t="shared" si="11"/>
        <v>0</v>
      </c>
      <c r="U66" s="20" t="str">
        <f t="shared" ref="U66:U129" si="22">IF(AND(S66=1,T67=1,B66="AM"),"DOUBLE",IF(AND(S65=1,N66&gt;0),"DOUBLE","SINGLE"))</f>
        <v>SINGLE</v>
      </c>
    </row>
    <row r="67" spans="1:21" x14ac:dyDescent="0.35">
      <c r="A67" s="21">
        <f t="shared" si="12"/>
        <v>45123</v>
      </c>
      <c r="B67" s="22" t="str">
        <f t="shared" ref="B67:B130" si="23">IF(B66="AM","PM","AM")</f>
        <v>PM</v>
      </c>
      <c r="C67" s="23" t="str">
        <f t="shared" si="13"/>
        <v>July</v>
      </c>
      <c r="D67" s="13" t="str">
        <f t="shared" si="14"/>
        <v>SUN</v>
      </c>
      <c r="E67" s="24">
        <v>0</v>
      </c>
      <c r="F67" s="24">
        <v>0</v>
      </c>
      <c r="G67" s="24">
        <v>0</v>
      </c>
      <c r="H67" s="24">
        <f t="shared" si="15"/>
        <v>0</v>
      </c>
      <c r="I67" s="24">
        <f t="shared" si="16"/>
        <v>0</v>
      </c>
      <c r="J67" s="24">
        <v>0</v>
      </c>
      <c r="K67" s="24">
        <f t="shared" si="17"/>
        <v>0</v>
      </c>
      <c r="L67" s="25">
        <v>0</v>
      </c>
      <c r="M67" s="25">
        <v>0</v>
      </c>
      <c r="N67" s="26">
        <f t="shared" si="18"/>
        <v>0</v>
      </c>
      <c r="O67" s="24">
        <f t="shared" si="19"/>
        <v>0</v>
      </c>
      <c r="P67" s="24">
        <f t="shared" si="20"/>
        <v>0</v>
      </c>
      <c r="Q67" s="29">
        <f t="shared" si="21"/>
        <v>0</v>
      </c>
      <c r="R67" s="30">
        <f>COUNTIF(RAW_DATA[[#This Row],[CONVERTED]],"&gt;0")</f>
        <v>0</v>
      </c>
      <c r="S67" s="30">
        <f>COUNTIFS(RAW_DATA[[#This Row],[AM/PM]],"AM",RAW_DATA[[#This Row],[CONVERTED]],"&gt;0")</f>
        <v>0</v>
      </c>
      <c r="T67" s="19">
        <f t="shared" ref="T67:T130" si="24">IF(AND($S66=1,$N67&gt;0),1,0)</f>
        <v>0</v>
      </c>
      <c r="U67" s="20" t="str">
        <f t="shared" si="22"/>
        <v>SINGLE</v>
      </c>
    </row>
    <row r="68" spans="1:21" x14ac:dyDescent="0.35">
      <c r="A68" s="21">
        <f t="shared" ref="A68:A131" si="25">IF(B67 = "AM",A67,A67+1)</f>
        <v>45124</v>
      </c>
      <c r="B68" s="22" t="str">
        <f t="shared" si="23"/>
        <v>AM</v>
      </c>
      <c r="C68" s="23" t="str">
        <f t="shared" si="13"/>
        <v>July</v>
      </c>
      <c r="D68" s="13" t="str">
        <f t="shared" si="14"/>
        <v>MON</v>
      </c>
      <c r="E68" s="24">
        <v>0</v>
      </c>
      <c r="F68" s="24">
        <v>0</v>
      </c>
      <c r="G68" s="24">
        <v>0</v>
      </c>
      <c r="H68" s="24">
        <f t="shared" si="15"/>
        <v>0</v>
      </c>
      <c r="I68" s="24">
        <f t="shared" si="16"/>
        <v>0</v>
      </c>
      <c r="J68" s="24">
        <v>0</v>
      </c>
      <c r="K68" s="24">
        <f t="shared" si="17"/>
        <v>0</v>
      </c>
      <c r="L68" s="25">
        <v>0</v>
      </c>
      <c r="M68" s="25">
        <v>0</v>
      </c>
      <c r="N68" s="26">
        <f t="shared" si="18"/>
        <v>0</v>
      </c>
      <c r="O68" s="24">
        <f t="shared" si="19"/>
        <v>0</v>
      </c>
      <c r="P68" s="24">
        <f t="shared" si="20"/>
        <v>0</v>
      </c>
      <c r="Q68" s="29">
        <f t="shared" si="21"/>
        <v>0</v>
      </c>
      <c r="R68" s="30">
        <f>COUNTIF(RAW_DATA[[#This Row],[CONVERTED]],"&gt;0")</f>
        <v>0</v>
      </c>
      <c r="S68" s="30">
        <f>COUNTIFS(RAW_DATA[[#This Row],[AM/PM]],"AM",RAW_DATA[[#This Row],[CONVERTED]],"&gt;0")</f>
        <v>0</v>
      </c>
      <c r="T68" s="19">
        <f t="shared" si="24"/>
        <v>0</v>
      </c>
      <c r="U68" s="20" t="str">
        <f t="shared" si="22"/>
        <v>SINGLE</v>
      </c>
    </row>
    <row r="69" spans="1:21" x14ac:dyDescent="0.35">
      <c r="A69" s="21">
        <f t="shared" si="25"/>
        <v>45124</v>
      </c>
      <c r="B69" s="22" t="str">
        <f t="shared" si="23"/>
        <v>PM</v>
      </c>
      <c r="C69" s="23" t="str">
        <f t="shared" si="13"/>
        <v>July</v>
      </c>
      <c r="D69" s="13" t="str">
        <f t="shared" si="14"/>
        <v>MON</v>
      </c>
      <c r="E69" s="24">
        <v>0</v>
      </c>
      <c r="F69" s="24">
        <v>0</v>
      </c>
      <c r="G69" s="24">
        <v>0</v>
      </c>
      <c r="H69" s="24">
        <f t="shared" si="15"/>
        <v>0</v>
      </c>
      <c r="I69" s="24">
        <f t="shared" si="16"/>
        <v>0</v>
      </c>
      <c r="J69" s="24">
        <v>0</v>
      </c>
      <c r="K69" s="24">
        <f t="shared" si="17"/>
        <v>0</v>
      </c>
      <c r="L69" s="25">
        <v>0</v>
      </c>
      <c r="M69" s="25">
        <v>0</v>
      </c>
      <c r="N69" s="26">
        <f t="shared" si="18"/>
        <v>0</v>
      </c>
      <c r="O69" s="24">
        <f t="shared" si="19"/>
        <v>0</v>
      </c>
      <c r="P69" s="24">
        <f t="shared" si="20"/>
        <v>0</v>
      </c>
      <c r="Q69" s="29">
        <f t="shared" si="21"/>
        <v>0</v>
      </c>
      <c r="R69" s="30">
        <f>COUNTIF(RAW_DATA[[#This Row],[CONVERTED]],"&gt;0")</f>
        <v>0</v>
      </c>
      <c r="S69" s="30">
        <f>COUNTIFS(RAW_DATA[[#This Row],[AM/PM]],"AM",RAW_DATA[[#This Row],[CONVERTED]],"&gt;0")</f>
        <v>0</v>
      </c>
      <c r="T69" s="19">
        <f t="shared" si="24"/>
        <v>0</v>
      </c>
      <c r="U69" s="20" t="str">
        <f t="shared" si="22"/>
        <v>SINGLE</v>
      </c>
    </row>
    <row r="70" spans="1:21" x14ac:dyDescent="0.35">
      <c r="A70" s="21">
        <f t="shared" si="25"/>
        <v>45125</v>
      </c>
      <c r="B70" s="22" t="str">
        <f t="shared" si="23"/>
        <v>AM</v>
      </c>
      <c r="C70" s="23" t="str">
        <f t="shared" si="13"/>
        <v>July</v>
      </c>
      <c r="D70" s="13" t="str">
        <f t="shared" si="14"/>
        <v>TUE</v>
      </c>
      <c r="E70" s="24">
        <v>0</v>
      </c>
      <c r="F70" s="24">
        <v>0</v>
      </c>
      <c r="G70" s="24">
        <v>0</v>
      </c>
      <c r="H70" s="24">
        <f t="shared" si="15"/>
        <v>0</v>
      </c>
      <c r="I70" s="24">
        <f t="shared" si="16"/>
        <v>0</v>
      </c>
      <c r="J70" s="24">
        <v>0</v>
      </c>
      <c r="K70" s="24">
        <f t="shared" si="17"/>
        <v>0</v>
      </c>
      <c r="L70" s="25">
        <v>0</v>
      </c>
      <c r="M70" s="25">
        <v>0</v>
      </c>
      <c r="N70" s="26">
        <f t="shared" si="18"/>
        <v>0</v>
      </c>
      <c r="O70" s="24">
        <f t="shared" si="19"/>
        <v>0</v>
      </c>
      <c r="P70" s="24">
        <f t="shared" si="20"/>
        <v>0</v>
      </c>
      <c r="Q70" s="29">
        <f t="shared" si="21"/>
        <v>0</v>
      </c>
      <c r="R70" s="30">
        <f>COUNTIF(RAW_DATA[[#This Row],[CONVERTED]],"&gt;0")</f>
        <v>0</v>
      </c>
      <c r="S70" s="30">
        <f>COUNTIFS(RAW_DATA[[#This Row],[AM/PM]],"AM",RAW_DATA[[#This Row],[CONVERTED]],"&gt;0")</f>
        <v>0</v>
      </c>
      <c r="T70" s="19">
        <f t="shared" si="24"/>
        <v>0</v>
      </c>
      <c r="U70" s="20" t="str">
        <f t="shared" si="22"/>
        <v>SINGLE</v>
      </c>
    </row>
    <row r="71" spans="1:21" x14ac:dyDescent="0.35">
      <c r="A71" s="21">
        <f t="shared" si="25"/>
        <v>45125</v>
      </c>
      <c r="B71" s="22" t="str">
        <f t="shared" si="23"/>
        <v>PM</v>
      </c>
      <c r="C71" s="23" t="str">
        <f t="shared" si="13"/>
        <v>July</v>
      </c>
      <c r="D71" s="13" t="str">
        <f t="shared" si="14"/>
        <v>TUE</v>
      </c>
      <c r="E71" s="24">
        <v>662</v>
      </c>
      <c r="F71" s="24">
        <v>82.85</v>
      </c>
      <c r="G71" s="24">
        <v>61</v>
      </c>
      <c r="H71" s="24">
        <f t="shared" si="15"/>
        <v>26.48</v>
      </c>
      <c r="I71" s="24">
        <f t="shared" si="16"/>
        <v>1.3918799999999998</v>
      </c>
      <c r="J71" s="24">
        <v>25.5</v>
      </c>
      <c r="K71" s="24">
        <f t="shared" si="17"/>
        <v>54.97811999999999</v>
      </c>
      <c r="L71" s="25">
        <v>4</v>
      </c>
      <c r="M71" s="25">
        <v>13</v>
      </c>
      <c r="N71" s="26">
        <f t="shared" si="18"/>
        <v>4.2166666666666668</v>
      </c>
      <c r="O71" s="24">
        <f t="shared" si="19"/>
        <v>8.9815000000000005</v>
      </c>
      <c r="P71" s="24">
        <f t="shared" si="20"/>
        <v>89.459619999999987</v>
      </c>
      <c r="Q71" s="29">
        <f t="shared" si="21"/>
        <v>124.95961999999999</v>
      </c>
      <c r="R71" s="30">
        <f>COUNTIF(RAW_DATA[[#This Row],[CONVERTED]],"&gt;0")</f>
        <v>1</v>
      </c>
      <c r="S71" s="30">
        <f>COUNTIFS(RAW_DATA[[#This Row],[AM/PM]],"AM",RAW_DATA[[#This Row],[CONVERTED]],"&gt;0")</f>
        <v>0</v>
      </c>
      <c r="T71" s="19">
        <f t="shared" si="24"/>
        <v>0</v>
      </c>
      <c r="U71" s="20" t="str">
        <f t="shared" si="22"/>
        <v>SINGLE</v>
      </c>
    </row>
    <row r="72" spans="1:21" x14ac:dyDescent="0.35">
      <c r="A72" s="21">
        <f t="shared" si="25"/>
        <v>45126</v>
      </c>
      <c r="B72" s="22" t="str">
        <f t="shared" si="23"/>
        <v>AM</v>
      </c>
      <c r="C72" s="23" t="str">
        <f t="shared" si="13"/>
        <v>July</v>
      </c>
      <c r="D72" s="13" t="str">
        <f t="shared" si="14"/>
        <v>WED</v>
      </c>
      <c r="E72" s="24">
        <v>0</v>
      </c>
      <c r="F72" s="24">
        <v>0</v>
      </c>
      <c r="G72" s="24">
        <v>0</v>
      </c>
      <c r="H72" s="24">
        <f t="shared" si="15"/>
        <v>0</v>
      </c>
      <c r="I72" s="24">
        <f t="shared" si="16"/>
        <v>0</v>
      </c>
      <c r="J72" s="24">
        <v>0</v>
      </c>
      <c r="K72" s="24">
        <f t="shared" si="17"/>
        <v>0</v>
      </c>
      <c r="L72" s="25">
        <v>0</v>
      </c>
      <c r="M72" s="25">
        <v>0</v>
      </c>
      <c r="N72" s="26">
        <f t="shared" si="18"/>
        <v>0</v>
      </c>
      <c r="O72" s="27">
        <f t="shared" si="19"/>
        <v>0</v>
      </c>
      <c r="P72" s="27">
        <f t="shared" si="20"/>
        <v>0</v>
      </c>
      <c r="Q72" s="28">
        <f t="shared" si="21"/>
        <v>0</v>
      </c>
      <c r="R72" s="19">
        <f>COUNTIF(RAW_DATA[[#This Row],[CONVERTED]],"&gt;0")</f>
        <v>0</v>
      </c>
      <c r="S72" s="30">
        <f>COUNTIFS(RAW_DATA[[#This Row],[AM/PM]],"AM",RAW_DATA[[#This Row],[CONVERTED]],"&gt;0")</f>
        <v>0</v>
      </c>
      <c r="T72" s="19">
        <f t="shared" si="24"/>
        <v>0</v>
      </c>
      <c r="U72" s="20" t="str">
        <f t="shared" si="22"/>
        <v>SINGLE</v>
      </c>
    </row>
    <row r="73" spans="1:21" x14ac:dyDescent="0.35">
      <c r="A73" s="21">
        <f t="shared" si="25"/>
        <v>45126</v>
      </c>
      <c r="B73" s="22" t="str">
        <f t="shared" si="23"/>
        <v>PM</v>
      </c>
      <c r="C73" s="23" t="str">
        <f t="shared" si="13"/>
        <v>July</v>
      </c>
      <c r="D73" s="13" t="str">
        <f t="shared" si="14"/>
        <v>WED</v>
      </c>
      <c r="E73" s="24">
        <v>892</v>
      </c>
      <c r="F73" s="24">
        <v>156.91</v>
      </c>
      <c r="G73" s="24">
        <v>37</v>
      </c>
      <c r="H73" s="24">
        <f t="shared" si="15"/>
        <v>35.68</v>
      </c>
      <c r="I73" s="24">
        <f t="shared" si="16"/>
        <v>2.636088</v>
      </c>
      <c r="J73" s="24">
        <v>13.69</v>
      </c>
      <c r="K73" s="24">
        <f t="shared" si="17"/>
        <v>118.59391199999999</v>
      </c>
      <c r="L73" s="25">
        <v>4</v>
      </c>
      <c r="M73" s="25">
        <v>51</v>
      </c>
      <c r="N73" s="26">
        <f t="shared" si="18"/>
        <v>4.8499999999999996</v>
      </c>
      <c r="O73" s="24">
        <f t="shared" si="19"/>
        <v>10.330499999999999</v>
      </c>
      <c r="P73" s="24">
        <f t="shared" si="20"/>
        <v>142.61441199999999</v>
      </c>
      <c r="Q73" s="29">
        <f t="shared" si="21"/>
        <v>165.92441199999999</v>
      </c>
      <c r="R73" s="30">
        <f>COUNTIF(RAW_DATA[[#This Row],[CONVERTED]],"&gt;0")</f>
        <v>1</v>
      </c>
      <c r="S73" s="30">
        <f>COUNTIFS(RAW_DATA[[#This Row],[AM/PM]],"AM",RAW_DATA[[#This Row],[CONVERTED]],"&gt;0")</f>
        <v>0</v>
      </c>
      <c r="T73" s="19">
        <f t="shared" si="24"/>
        <v>0</v>
      </c>
      <c r="U73" s="20" t="str">
        <f t="shared" si="22"/>
        <v>SINGLE</v>
      </c>
    </row>
    <row r="74" spans="1:21" x14ac:dyDescent="0.35">
      <c r="A74" s="21">
        <f t="shared" si="25"/>
        <v>45127</v>
      </c>
      <c r="B74" s="22" t="str">
        <f t="shared" si="23"/>
        <v>AM</v>
      </c>
      <c r="C74" s="23" t="str">
        <f t="shared" si="13"/>
        <v>July</v>
      </c>
      <c r="D74" s="13" t="str">
        <f t="shared" si="14"/>
        <v>THU</v>
      </c>
      <c r="E74" s="24">
        <v>0</v>
      </c>
      <c r="F74" s="24">
        <v>0</v>
      </c>
      <c r="G74" s="24">
        <v>0</v>
      </c>
      <c r="H74" s="24">
        <f t="shared" si="15"/>
        <v>0</v>
      </c>
      <c r="I74" s="24">
        <f t="shared" si="16"/>
        <v>0</v>
      </c>
      <c r="J74" s="24">
        <v>0</v>
      </c>
      <c r="K74" s="24">
        <f t="shared" si="17"/>
        <v>0</v>
      </c>
      <c r="L74" s="25">
        <v>0</v>
      </c>
      <c r="M74" s="25">
        <v>0</v>
      </c>
      <c r="N74" s="26">
        <f t="shared" si="18"/>
        <v>0</v>
      </c>
      <c r="O74" s="24">
        <f t="shared" si="19"/>
        <v>0</v>
      </c>
      <c r="P74" s="24">
        <f t="shared" si="20"/>
        <v>0</v>
      </c>
      <c r="Q74" s="29">
        <f t="shared" si="21"/>
        <v>0</v>
      </c>
      <c r="R74" s="30">
        <f>COUNTIF(RAW_DATA[[#This Row],[CONVERTED]],"&gt;0")</f>
        <v>0</v>
      </c>
      <c r="S74" s="30">
        <f>COUNTIFS(RAW_DATA[[#This Row],[AM/PM]],"AM",RAW_DATA[[#This Row],[CONVERTED]],"&gt;0")</f>
        <v>0</v>
      </c>
      <c r="T74" s="19">
        <f t="shared" si="24"/>
        <v>0</v>
      </c>
      <c r="U74" s="20" t="str">
        <f t="shared" si="22"/>
        <v>SINGLE</v>
      </c>
    </row>
    <row r="75" spans="1:21" x14ac:dyDescent="0.35">
      <c r="A75" s="21">
        <f t="shared" si="25"/>
        <v>45127</v>
      </c>
      <c r="B75" s="22" t="str">
        <f t="shared" si="23"/>
        <v>PM</v>
      </c>
      <c r="C75" s="23" t="str">
        <f t="shared" si="13"/>
        <v>July</v>
      </c>
      <c r="D75" s="13" t="str">
        <f t="shared" si="14"/>
        <v>THU</v>
      </c>
      <c r="E75" s="24">
        <v>0</v>
      </c>
      <c r="F75" s="24">
        <v>0</v>
      </c>
      <c r="G75" s="24">
        <v>0</v>
      </c>
      <c r="H75" s="24">
        <f t="shared" si="15"/>
        <v>0</v>
      </c>
      <c r="I75" s="24">
        <f t="shared" si="16"/>
        <v>0</v>
      </c>
      <c r="J75" s="24">
        <v>0</v>
      </c>
      <c r="K75" s="24">
        <f t="shared" si="17"/>
        <v>0</v>
      </c>
      <c r="L75" s="25">
        <v>0</v>
      </c>
      <c r="M75" s="25">
        <v>0</v>
      </c>
      <c r="N75" s="26">
        <f t="shared" si="18"/>
        <v>0</v>
      </c>
      <c r="O75" s="24">
        <f t="shared" si="19"/>
        <v>0</v>
      </c>
      <c r="P75" s="24">
        <f t="shared" si="20"/>
        <v>0</v>
      </c>
      <c r="Q75" s="29">
        <f t="shared" si="21"/>
        <v>0</v>
      </c>
      <c r="R75" s="30">
        <f>COUNTIF(RAW_DATA[[#This Row],[CONVERTED]],"&gt;0")</f>
        <v>0</v>
      </c>
      <c r="S75" s="30">
        <f>COUNTIFS(RAW_DATA[[#This Row],[AM/PM]],"AM",RAW_DATA[[#This Row],[CONVERTED]],"&gt;0")</f>
        <v>0</v>
      </c>
      <c r="T75" s="19">
        <f t="shared" si="24"/>
        <v>0</v>
      </c>
      <c r="U75" s="20" t="str">
        <f t="shared" si="22"/>
        <v>SINGLE</v>
      </c>
    </row>
    <row r="76" spans="1:21" x14ac:dyDescent="0.35">
      <c r="A76" s="21">
        <f t="shared" si="25"/>
        <v>45128</v>
      </c>
      <c r="B76" s="22" t="str">
        <f t="shared" si="23"/>
        <v>AM</v>
      </c>
      <c r="C76" s="23" t="str">
        <f t="shared" si="13"/>
        <v>July</v>
      </c>
      <c r="D76" s="13" t="str">
        <f t="shared" si="14"/>
        <v>FRI</v>
      </c>
      <c r="E76" s="24">
        <v>0</v>
      </c>
      <c r="F76" s="24">
        <v>0</v>
      </c>
      <c r="G76" s="24">
        <v>0</v>
      </c>
      <c r="H76" s="24">
        <f t="shared" si="15"/>
        <v>0</v>
      </c>
      <c r="I76" s="24">
        <f t="shared" si="16"/>
        <v>0</v>
      </c>
      <c r="J76" s="24">
        <v>0</v>
      </c>
      <c r="K76" s="24">
        <f t="shared" si="17"/>
        <v>0</v>
      </c>
      <c r="L76" s="25">
        <v>0</v>
      </c>
      <c r="M76" s="25">
        <v>0</v>
      </c>
      <c r="N76" s="26">
        <f t="shared" si="18"/>
        <v>0</v>
      </c>
      <c r="O76" s="24">
        <f t="shared" si="19"/>
        <v>0</v>
      </c>
      <c r="P76" s="24">
        <f t="shared" si="20"/>
        <v>0</v>
      </c>
      <c r="Q76" s="29">
        <f t="shared" si="21"/>
        <v>0</v>
      </c>
      <c r="R76" s="30">
        <f>COUNTIF(RAW_DATA[[#This Row],[CONVERTED]],"&gt;0")</f>
        <v>0</v>
      </c>
      <c r="S76" s="30">
        <f>COUNTIFS(RAW_DATA[[#This Row],[AM/PM]],"AM",RAW_DATA[[#This Row],[CONVERTED]],"&gt;0")</f>
        <v>0</v>
      </c>
      <c r="T76" s="19">
        <f t="shared" si="24"/>
        <v>0</v>
      </c>
      <c r="U76" s="20" t="str">
        <f t="shared" si="22"/>
        <v>SINGLE</v>
      </c>
    </row>
    <row r="77" spans="1:21" x14ac:dyDescent="0.35">
      <c r="A77" s="21">
        <f t="shared" si="25"/>
        <v>45128</v>
      </c>
      <c r="B77" s="22" t="str">
        <f t="shared" si="23"/>
        <v>PM</v>
      </c>
      <c r="C77" s="23" t="str">
        <f t="shared" si="13"/>
        <v>July</v>
      </c>
      <c r="D77" s="13" t="str">
        <f t="shared" si="14"/>
        <v>FRI</v>
      </c>
      <c r="E77" s="24">
        <v>1455</v>
      </c>
      <c r="F77" s="24">
        <v>259.8</v>
      </c>
      <c r="G77" s="24">
        <v>32</v>
      </c>
      <c r="H77" s="24">
        <f t="shared" si="15"/>
        <v>58.2</v>
      </c>
      <c r="I77" s="24">
        <f t="shared" si="16"/>
        <v>4.3646399999999996</v>
      </c>
      <c r="J77" s="24">
        <v>4.5</v>
      </c>
      <c r="K77" s="24">
        <f t="shared" si="17"/>
        <v>197.23536000000001</v>
      </c>
      <c r="L77" s="25">
        <v>5</v>
      </c>
      <c r="M77" s="25">
        <v>58</v>
      </c>
      <c r="N77" s="26">
        <f t="shared" si="18"/>
        <v>5.9666666666666668</v>
      </c>
      <c r="O77" s="24">
        <f t="shared" si="19"/>
        <v>12.709</v>
      </c>
      <c r="P77" s="24">
        <f t="shared" si="20"/>
        <v>214.44436000000002</v>
      </c>
      <c r="Q77" s="29">
        <f t="shared" si="21"/>
        <v>241.94436000000002</v>
      </c>
      <c r="R77" s="30">
        <f>COUNTIF(RAW_DATA[[#This Row],[CONVERTED]],"&gt;0")</f>
        <v>1</v>
      </c>
      <c r="S77" s="30">
        <f>COUNTIFS(RAW_DATA[[#This Row],[AM/PM]],"AM",RAW_DATA[[#This Row],[CONVERTED]],"&gt;0")</f>
        <v>0</v>
      </c>
      <c r="T77" s="19">
        <f t="shared" si="24"/>
        <v>0</v>
      </c>
      <c r="U77" s="20" t="str">
        <f t="shared" si="22"/>
        <v>SINGLE</v>
      </c>
    </row>
    <row r="78" spans="1:21" x14ac:dyDescent="0.35">
      <c r="A78" s="21">
        <f t="shared" si="25"/>
        <v>45129</v>
      </c>
      <c r="B78" s="22" t="str">
        <f t="shared" si="23"/>
        <v>AM</v>
      </c>
      <c r="C78" s="23" t="str">
        <f t="shared" si="13"/>
        <v>July</v>
      </c>
      <c r="D78" s="13" t="str">
        <f t="shared" si="14"/>
        <v>SAT</v>
      </c>
      <c r="E78" s="24">
        <v>0</v>
      </c>
      <c r="F78" s="24">
        <v>0</v>
      </c>
      <c r="G78" s="24">
        <v>0</v>
      </c>
      <c r="H78" s="24">
        <f t="shared" si="15"/>
        <v>0</v>
      </c>
      <c r="I78" s="24">
        <f t="shared" si="16"/>
        <v>0</v>
      </c>
      <c r="J78" s="24">
        <v>0</v>
      </c>
      <c r="K78" s="24">
        <f t="shared" si="17"/>
        <v>0</v>
      </c>
      <c r="L78" s="25">
        <v>0</v>
      </c>
      <c r="M78" s="25">
        <v>0</v>
      </c>
      <c r="N78" s="26">
        <f t="shared" si="18"/>
        <v>0</v>
      </c>
      <c r="O78" s="24">
        <f t="shared" si="19"/>
        <v>0</v>
      </c>
      <c r="P78" s="24">
        <f t="shared" si="20"/>
        <v>0</v>
      </c>
      <c r="Q78" s="29">
        <f t="shared" si="21"/>
        <v>0</v>
      </c>
      <c r="R78" s="30">
        <f>COUNTIF(RAW_DATA[[#This Row],[CONVERTED]],"&gt;0")</f>
        <v>0</v>
      </c>
      <c r="S78" s="30">
        <f>COUNTIFS(RAW_DATA[[#This Row],[AM/PM]],"AM",RAW_DATA[[#This Row],[CONVERTED]],"&gt;0")</f>
        <v>0</v>
      </c>
      <c r="T78" s="19">
        <f t="shared" si="24"/>
        <v>0</v>
      </c>
      <c r="U78" s="20" t="str">
        <f t="shared" si="22"/>
        <v>SINGLE</v>
      </c>
    </row>
    <row r="79" spans="1:21" x14ac:dyDescent="0.35">
      <c r="A79" s="21">
        <f t="shared" si="25"/>
        <v>45129</v>
      </c>
      <c r="B79" s="22" t="str">
        <f t="shared" si="23"/>
        <v>PM</v>
      </c>
      <c r="C79" s="23" t="str">
        <f t="shared" si="13"/>
        <v>July</v>
      </c>
      <c r="D79" s="13" t="str">
        <f t="shared" si="14"/>
        <v>SAT</v>
      </c>
      <c r="E79" s="24">
        <v>1817.5</v>
      </c>
      <c r="F79" s="24">
        <v>317.69</v>
      </c>
      <c r="G79" s="24">
        <v>81</v>
      </c>
      <c r="H79" s="24">
        <f t="shared" si="15"/>
        <v>72.7</v>
      </c>
      <c r="I79" s="24">
        <f t="shared" si="16"/>
        <v>5.3371919999999999</v>
      </c>
      <c r="J79" s="24">
        <v>23.5</v>
      </c>
      <c r="K79" s="24">
        <f t="shared" si="17"/>
        <v>239.65280799999999</v>
      </c>
      <c r="L79" s="25">
        <v>6</v>
      </c>
      <c r="M79" s="25">
        <v>7</v>
      </c>
      <c r="N79" s="26">
        <f t="shared" si="18"/>
        <v>6.1166666666666663</v>
      </c>
      <c r="O79" s="24">
        <f t="shared" si="19"/>
        <v>13.028499999999999</v>
      </c>
      <c r="P79" s="24">
        <f t="shared" si="20"/>
        <v>276.181308</v>
      </c>
      <c r="Q79" s="29">
        <f t="shared" si="21"/>
        <v>333.681308</v>
      </c>
      <c r="R79" s="30">
        <f>COUNTIF(RAW_DATA[[#This Row],[CONVERTED]],"&gt;0")</f>
        <v>1</v>
      </c>
      <c r="S79" s="30">
        <f>COUNTIFS(RAW_DATA[[#This Row],[AM/PM]],"AM",RAW_DATA[[#This Row],[CONVERTED]],"&gt;0")</f>
        <v>0</v>
      </c>
      <c r="T79" s="19">
        <f t="shared" si="24"/>
        <v>0</v>
      </c>
      <c r="U79" s="20" t="str">
        <f t="shared" si="22"/>
        <v>SINGLE</v>
      </c>
    </row>
    <row r="80" spans="1:21" x14ac:dyDescent="0.35">
      <c r="A80" s="21">
        <f t="shared" si="25"/>
        <v>45130</v>
      </c>
      <c r="B80" s="22" t="str">
        <f t="shared" si="23"/>
        <v>AM</v>
      </c>
      <c r="C80" s="23" t="str">
        <f t="shared" si="13"/>
        <v>July</v>
      </c>
      <c r="D80" s="13" t="str">
        <f t="shared" si="14"/>
        <v>SUN</v>
      </c>
      <c r="E80" s="24">
        <v>0</v>
      </c>
      <c r="F80" s="24">
        <v>0</v>
      </c>
      <c r="G80" s="24">
        <v>0</v>
      </c>
      <c r="H80" s="24">
        <f t="shared" si="15"/>
        <v>0</v>
      </c>
      <c r="I80" s="24">
        <f t="shared" si="16"/>
        <v>0</v>
      </c>
      <c r="J80" s="24">
        <v>0</v>
      </c>
      <c r="K80" s="24">
        <f t="shared" si="17"/>
        <v>0</v>
      </c>
      <c r="L80" s="25">
        <v>0</v>
      </c>
      <c r="M80" s="25">
        <v>0</v>
      </c>
      <c r="N80" s="26">
        <f t="shared" si="18"/>
        <v>0</v>
      </c>
      <c r="O80" s="24">
        <f t="shared" si="19"/>
        <v>0</v>
      </c>
      <c r="P80" s="24">
        <f t="shared" si="20"/>
        <v>0</v>
      </c>
      <c r="Q80" s="29">
        <f t="shared" si="21"/>
        <v>0</v>
      </c>
      <c r="R80" s="30">
        <f>COUNTIF(RAW_DATA[[#This Row],[CONVERTED]],"&gt;0")</f>
        <v>0</v>
      </c>
      <c r="S80" s="30">
        <f>COUNTIFS(RAW_DATA[[#This Row],[AM/PM]],"AM",RAW_DATA[[#This Row],[CONVERTED]],"&gt;0")</f>
        <v>0</v>
      </c>
      <c r="T80" s="19">
        <f t="shared" si="24"/>
        <v>0</v>
      </c>
      <c r="U80" s="20" t="str">
        <f t="shared" si="22"/>
        <v>SINGLE</v>
      </c>
    </row>
    <row r="81" spans="1:21" x14ac:dyDescent="0.35">
      <c r="A81" s="21">
        <f t="shared" si="25"/>
        <v>45130</v>
      </c>
      <c r="B81" s="22" t="str">
        <f t="shared" si="23"/>
        <v>PM</v>
      </c>
      <c r="C81" s="23" t="str">
        <f t="shared" si="13"/>
        <v>July</v>
      </c>
      <c r="D81" s="13" t="str">
        <f t="shared" si="14"/>
        <v>SUN</v>
      </c>
      <c r="E81" s="24">
        <v>0</v>
      </c>
      <c r="F81" s="24">
        <v>0</v>
      </c>
      <c r="G81" s="24">
        <v>0</v>
      </c>
      <c r="H81" s="24">
        <f t="shared" si="15"/>
        <v>0</v>
      </c>
      <c r="I81" s="24">
        <f t="shared" si="16"/>
        <v>0</v>
      </c>
      <c r="J81" s="24">
        <v>0</v>
      </c>
      <c r="K81" s="24">
        <f t="shared" si="17"/>
        <v>0</v>
      </c>
      <c r="L81" s="25">
        <v>0</v>
      </c>
      <c r="M81" s="25">
        <v>0</v>
      </c>
      <c r="N81" s="26">
        <f t="shared" si="18"/>
        <v>0</v>
      </c>
      <c r="O81" s="24">
        <f t="shared" si="19"/>
        <v>0</v>
      </c>
      <c r="P81" s="24">
        <f t="shared" si="20"/>
        <v>0</v>
      </c>
      <c r="Q81" s="29">
        <f t="shared" si="21"/>
        <v>0</v>
      </c>
      <c r="R81" s="30">
        <f>COUNTIF(RAW_DATA[[#This Row],[CONVERTED]],"&gt;0")</f>
        <v>0</v>
      </c>
      <c r="S81" s="30">
        <f>COUNTIFS(RAW_DATA[[#This Row],[AM/PM]],"AM",RAW_DATA[[#This Row],[CONVERTED]],"&gt;0")</f>
        <v>0</v>
      </c>
      <c r="T81" s="19">
        <f t="shared" si="24"/>
        <v>0</v>
      </c>
      <c r="U81" s="20" t="str">
        <f t="shared" si="22"/>
        <v>SINGLE</v>
      </c>
    </row>
    <row r="82" spans="1:21" x14ac:dyDescent="0.35">
      <c r="A82" s="21">
        <f t="shared" si="25"/>
        <v>45131</v>
      </c>
      <c r="B82" s="22" t="str">
        <f t="shared" si="23"/>
        <v>AM</v>
      </c>
      <c r="C82" s="23" t="str">
        <f t="shared" si="13"/>
        <v>July</v>
      </c>
      <c r="D82" s="13" t="str">
        <f t="shared" si="14"/>
        <v>MON</v>
      </c>
      <c r="E82" s="24">
        <v>0</v>
      </c>
      <c r="F82" s="24">
        <v>0</v>
      </c>
      <c r="G82" s="24">
        <v>0</v>
      </c>
      <c r="H82" s="24">
        <f t="shared" si="15"/>
        <v>0</v>
      </c>
      <c r="I82" s="24">
        <f t="shared" si="16"/>
        <v>0</v>
      </c>
      <c r="J82" s="24">
        <v>0</v>
      </c>
      <c r="K82" s="24">
        <f t="shared" si="17"/>
        <v>0</v>
      </c>
      <c r="L82" s="25">
        <v>0</v>
      </c>
      <c r="M82" s="25">
        <v>0</v>
      </c>
      <c r="N82" s="26">
        <f t="shared" si="18"/>
        <v>0</v>
      </c>
      <c r="O82" s="24">
        <f t="shared" si="19"/>
        <v>0</v>
      </c>
      <c r="P82" s="24">
        <f t="shared" si="20"/>
        <v>0</v>
      </c>
      <c r="Q82" s="29">
        <f t="shared" si="21"/>
        <v>0</v>
      </c>
      <c r="R82" s="30">
        <f>COUNTIF(RAW_DATA[[#This Row],[CONVERTED]],"&gt;0")</f>
        <v>0</v>
      </c>
      <c r="S82" s="30">
        <f>COUNTIFS(RAW_DATA[[#This Row],[AM/PM]],"AM",RAW_DATA[[#This Row],[CONVERTED]],"&gt;0")</f>
        <v>0</v>
      </c>
      <c r="T82" s="19">
        <f t="shared" si="24"/>
        <v>0</v>
      </c>
      <c r="U82" s="20" t="str">
        <f t="shared" si="22"/>
        <v>SINGLE</v>
      </c>
    </row>
    <row r="83" spans="1:21" x14ac:dyDescent="0.35">
      <c r="A83" s="21">
        <f t="shared" si="25"/>
        <v>45131</v>
      </c>
      <c r="B83" s="22" t="str">
        <f t="shared" si="23"/>
        <v>PM</v>
      </c>
      <c r="C83" s="23" t="str">
        <f t="shared" si="13"/>
        <v>July</v>
      </c>
      <c r="D83" s="13" t="str">
        <f t="shared" si="14"/>
        <v>MON</v>
      </c>
      <c r="E83" s="24">
        <v>1036</v>
      </c>
      <c r="F83" s="24">
        <v>179.85</v>
      </c>
      <c r="G83" s="24">
        <v>25</v>
      </c>
      <c r="H83" s="24">
        <f t="shared" si="15"/>
        <v>41.44</v>
      </c>
      <c r="I83" s="24">
        <f t="shared" si="16"/>
        <v>3.0214799999999995</v>
      </c>
      <c r="J83" s="24">
        <v>8.9600000000000009</v>
      </c>
      <c r="K83" s="24">
        <f t="shared" si="17"/>
        <v>135.38852</v>
      </c>
      <c r="L83" s="25">
        <v>4</v>
      </c>
      <c r="M83" s="25">
        <v>31</v>
      </c>
      <c r="N83" s="26">
        <f t="shared" si="18"/>
        <v>4.5166666666666666</v>
      </c>
      <c r="O83" s="24">
        <f t="shared" si="19"/>
        <v>9.6204999999999998</v>
      </c>
      <c r="P83" s="24">
        <f t="shared" si="20"/>
        <v>153.96902</v>
      </c>
      <c r="Q83" s="29">
        <f t="shared" si="21"/>
        <v>170.00901999999999</v>
      </c>
      <c r="R83" s="30">
        <f>COUNTIF(RAW_DATA[[#This Row],[CONVERTED]],"&gt;0")</f>
        <v>1</v>
      </c>
      <c r="S83" s="30">
        <f>COUNTIFS(RAW_DATA[[#This Row],[AM/PM]],"AM",RAW_DATA[[#This Row],[CONVERTED]],"&gt;0")</f>
        <v>0</v>
      </c>
      <c r="T83" s="19">
        <f t="shared" si="24"/>
        <v>0</v>
      </c>
      <c r="U83" s="20" t="str">
        <f t="shared" si="22"/>
        <v>SINGLE</v>
      </c>
    </row>
    <row r="84" spans="1:21" x14ac:dyDescent="0.35">
      <c r="A84" s="21">
        <f t="shared" si="25"/>
        <v>45132</v>
      </c>
      <c r="B84" s="22" t="str">
        <f t="shared" si="23"/>
        <v>AM</v>
      </c>
      <c r="C84" s="23" t="str">
        <f t="shared" si="13"/>
        <v>July</v>
      </c>
      <c r="D84" s="13" t="str">
        <f t="shared" si="14"/>
        <v>TUE</v>
      </c>
      <c r="E84" s="24">
        <v>0</v>
      </c>
      <c r="F84" s="24">
        <v>0</v>
      </c>
      <c r="G84" s="24">
        <v>0</v>
      </c>
      <c r="H84" s="24">
        <f t="shared" si="15"/>
        <v>0</v>
      </c>
      <c r="I84" s="24">
        <f t="shared" si="16"/>
        <v>0</v>
      </c>
      <c r="J84" s="24">
        <v>0</v>
      </c>
      <c r="K84" s="24">
        <f t="shared" si="17"/>
        <v>0</v>
      </c>
      <c r="L84" s="25">
        <v>0</v>
      </c>
      <c r="M84" s="25">
        <v>0</v>
      </c>
      <c r="N84" s="26">
        <f t="shared" si="18"/>
        <v>0</v>
      </c>
      <c r="O84" s="24">
        <f t="shared" si="19"/>
        <v>0</v>
      </c>
      <c r="P84" s="24">
        <f t="shared" si="20"/>
        <v>0</v>
      </c>
      <c r="Q84" s="29">
        <f t="shared" si="21"/>
        <v>0</v>
      </c>
      <c r="R84" s="30">
        <f>COUNTIF(RAW_DATA[[#This Row],[CONVERTED]],"&gt;0")</f>
        <v>0</v>
      </c>
      <c r="S84" s="30">
        <f>COUNTIFS(RAW_DATA[[#This Row],[AM/PM]],"AM",RAW_DATA[[#This Row],[CONVERTED]],"&gt;0")</f>
        <v>0</v>
      </c>
      <c r="T84" s="19">
        <f t="shared" si="24"/>
        <v>0</v>
      </c>
      <c r="U84" s="20" t="str">
        <f t="shared" si="22"/>
        <v>SINGLE</v>
      </c>
    </row>
    <row r="85" spans="1:21" x14ac:dyDescent="0.35">
      <c r="A85" s="21">
        <f t="shared" si="25"/>
        <v>45132</v>
      </c>
      <c r="B85" s="22" t="str">
        <f t="shared" si="23"/>
        <v>PM</v>
      </c>
      <c r="C85" s="23" t="str">
        <f t="shared" si="13"/>
        <v>July</v>
      </c>
      <c r="D85" s="13" t="str">
        <f t="shared" si="14"/>
        <v>TUE</v>
      </c>
      <c r="E85" s="24">
        <v>967</v>
      </c>
      <c r="F85" s="24">
        <v>170.5</v>
      </c>
      <c r="G85" s="24">
        <v>12</v>
      </c>
      <c r="H85" s="24">
        <f t="shared" si="15"/>
        <v>38.68</v>
      </c>
      <c r="I85" s="24">
        <f t="shared" si="16"/>
        <v>2.8643999999999998</v>
      </c>
      <c r="J85" s="24">
        <v>4.5</v>
      </c>
      <c r="K85" s="24">
        <f t="shared" si="17"/>
        <v>128.9556</v>
      </c>
      <c r="L85" s="25">
        <v>4</v>
      </c>
      <c r="M85" s="25">
        <v>46</v>
      </c>
      <c r="N85" s="26">
        <f t="shared" si="18"/>
        <v>4.7666666666666666</v>
      </c>
      <c r="O85" s="24">
        <f t="shared" si="19"/>
        <v>10.152999999999999</v>
      </c>
      <c r="P85" s="24">
        <f t="shared" si="20"/>
        <v>143.6086</v>
      </c>
      <c r="Q85" s="29">
        <f t="shared" si="21"/>
        <v>151.1086</v>
      </c>
      <c r="R85" s="30">
        <f>COUNTIF(RAW_DATA[[#This Row],[CONVERTED]],"&gt;0")</f>
        <v>1</v>
      </c>
      <c r="S85" s="30">
        <f>COUNTIFS(RAW_DATA[[#This Row],[AM/PM]],"AM",RAW_DATA[[#This Row],[CONVERTED]],"&gt;0")</f>
        <v>0</v>
      </c>
      <c r="T85" s="19">
        <f t="shared" si="24"/>
        <v>0</v>
      </c>
      <c r="U85" s="20" t="str">
        <f t="shared" si="22"/>
        <v>SINGLE</v>
      </c>
    </row>
    <row r="86" spans="1:21" x14ac:dyDescent="0.35">
      <c r="A86" s="21">
        <f t="shared" si="25"/>
        <v>45133</v>
      </c>
      <c r="B86" s="22" t="str">
        <f t="shared" si="23"/>
        <v>AM</v>
      </c>
      <c r="C86" s="23" t="str">
        <f t="shared" si="13"/>
        <v>July</v>
      </c>
      <c r="D86" s="13" t="str">
        <f t="shared" si="14"/>
        <v>WED</v>
      </c>
      <c r="E86" s="24">
        <v>0</v>
      </c>
      <c r="F86" s="24">
        <v>0</v>
      </c>
      <c r="G86" s="24">
        <v>0</v>
      </c>
      <c r="H86" s="24">
        <f t="shared" si="15"/>
        <v>0</v>
      </c>
      <c r="I86" s="24">
        <f t="shared" si="16"/>
        <v>0</v>
      </c>
      <c r="J86" s="24">
        <v>0</v>
      </c>
      <c r="K86" s="24">
        <f t="shared" si="17"/>
        <v>0</v>
      </c>
      <c r="L86" s="25">
        <v>0</v>
      </c>
      <c r="M86" s="25">
        <v>0</v>
      </c>
      <c r="N86" s="26">
        <f t="shared" si="18"/>
        <v>0</v>
      </c>
      <c r="O86" s="27">
        <f t="shared" si="19"/>
        <v>0</v>
      </c>
      <c r="P86" s="27">
        <f t="shared" si="20"/>
        <v>0</v>
      </c>
      <c r="Q86" s="28">
        <f t="shared" si="21"/>
        <v>0</v>
      </c>
      <c r="R86" s="19">
        <f>COUNTIF(RAW_DATA[[#This Row],[CONVERTED]],"&gt;0")</f>
        <v>0</v>
      </c>
      <c r="S86" s="30">
        <f>COUNTIFS(RAW_DATA[[#This Row],[AM/PM]],"AM",RAW_DATA[[#This Row],[CONVERTED]],"&gt;0")</f>
        <v>0</v>
      </c>
      <c r="T86" s="19">
        <f t="shared" si="24"/>
        <v>0</v>
      </c>
      <c r="U86" s="20" t="str">
        <f t="shared" si="22"/>
        <v>SINGLE</v>
      </c>
    </row>
    <row r="87" spans="1:21" x14ac:dyDescent="0.35">
      <c r="A87" s="21">
        <f t="shared" si="25"/>
        <v>45133</v>
      </c>
      <c r="B87" s="22" t="str">
        <f t="shared" si="23"/>
        <v>PM</v>
      </c>
      <c r="C87" s="23" t="str">
        <f t="shared" si="13"/>
        <v>July</v>
      </c>
      <c r="D87" s="13" t="str">
        <f t="shared" si="14"/>
        <v>WED</v>
      </c>
      <c r="E87" s="24">
        <v>997</v>
      </c>
      <c r="F87" s="24">
        <v>217.43</v>
      </c>
      <c r="G87" s="24">
        <v>0</v>
      </c>
      <c r="H87" s="24">
        <f t="shared" si="15"/>
        <v>39.880000000000003</v>
      </c>
      <c r="I87" s="24">
        <f t="shared" si="16"/>
        <v>3.6528239999999998</v>
      </c>
      <c r="J87" s="24">
        <v>0</v>
      </c>
      <c r="K87" s="24">
        <f t="shared" si="17"/>
        <v>173.897176</v>
      </c>
      <c r="L87" s="25">
        <v>5</v>
      </c>
      <c r="M87" s="25">
        <v>16</v>
      </c>
      <c r="N87" s="26">
        <f t="shared" si="18"/>
        <v>5.2666666666666666</v>
      </c>
      <c r="O87" s="24">
        <f t="shared" si="19"/>
        <v>11.218</v>
      </c>
      <c r="P87" s="24">
        <f t="shared" si="20"/>
        <v>185.11517599999999</v>
      </c>
      <c r="Q87" s="29">
        <f t="shared" si="21"/>
        <v>185.11517599999999</v>
      </c>
      <c r="R87" s="30">
        <f>COUNTIF(RAW_DATA[[#This Row],[CONVERTED]],"&gt;0")</f>
        <v>1</v>
      </c>
      <c r="S87" s="30">
        <f>COUNTIFS(RAW_DATA[[#This Row],[AM/PM]],"AM",RAW_DATA[[#This Row],[CONVERTED]],"&gt;0")</f>
        <v>0</v>
      </c>
      <c r="T87" s="19">
        <f t="shared" si="24"/>
        <v>0</v>
      </c>
      <c r="U87" s="20" t="str">
        <f t="shared" si="22"/>
        <v>SINGLE</v>
      </c>
    </row>
    <row r="88" spans="1:21" x14ac:dyDescent="0.35">
      <c r="A88" s="21">
        <f t="shared" si="25"/>
        <v>45134</v>
      </c>
      <c r="B88" s="22" t="str">
        <f t="shared" si="23"/>
        <v>AM</v>
      </c>
      <c r="C88" s="23" t="str">
        <f t="shared" si="13"/>
        <v>July</v>
      </c>
      <c r="D88" s="13" t="str">
        <f t="shared" si="14"/>
        <v>THU</v>
      </c>
      <c r="E88" s="24">
        <v>0</v>
      </c>
      <c r="F88" s="24">
        <v>0</v>
      </c>
      <c r="G88" s="24">
        <v>0</v>
      </c>
      <c r="H88" s="24">
        <f t="shared" si="15"/>
        <v>0</v>
      </c>
      <c r="I88" s="24">
        <f t="shared" si="16"/>
        <v>0</v>
      </c>
      <c r="J88" s="24">
        <v>0</v>
      </c>
      <c r="K88" s="24">
        <f t="shared" si="17"/>
        <v>0</v>
      </c>
      <c r="L88" s="25">
        <v>0</v>
      </c>
      <c r="M88" s="25">
        <v>0</v>
      </c>
      <c r="N88" s="26">
        <f t="shared" si="18"/>
        <v>0</v>
      </c>
      <c r="O88" s="24">
        <f t="shared" si="19"/>
        <v>0</v>
      </c>
      <c r="P88" s="24">
        <f t="shared" si="20"/>
        <v>0</v>
      </c>
      <c r="Q88" s="29">
        <f t="shared" si="21"/>
        <v>0</v>
      </c>
      <c r="R88" s="30">
        <f>COUNTIF(RAW_DATA[[#This Row],[CONVERTED]],"&gt;0")</f>
        <v>0</v>
      </c>
      <c r="S88" s="30">
        <f>COUNTIFS(RAW_DATA[[#This Row],[AM/PM]],"AM",RAW_DATA[[#This Row],[CONVERTED]],"&gt;0")</f>
        <v>0</v>
      </c>
      <c r="T88" s="19">
        <f t="shared" si="24"/>
        <v>0</v>
      </c>
      <c r="U88" s="20" t="str">
        <f t="shared" si="22"/>
        <v>SINGLE</v>
      </c>
    </row>
    <row r="89" spans="1:21" x14ac:dyDescent="0.35">
      <c r="A89" s="21">
        <f t="shared" si="25"/>
        <v>45134</v>
      </c>
      <c r="B89" s="22" t="str">
        <f t="shared" si="23"/>
        <v>PM</v>
      </c>
      <c r="C89" s="23" t="str">
        <f t="shared" si="13"/>
        <v>July</v>
      </c>
      <c r="D89" s="13" t="str">
        <f t="shared" si="14"/>
        <v>THU</v>
      </c>
      <c r="E89" s="24">
        <v>0</v>
      </c>
      <c r="F89" s="24">
        <v>0</v>
      </c>
      <c r="G89" s="24">
        <v>0</v>
      </c>
      <c r="H89" s="24">
        <f t="shared" si="15"/>
        <v>0</v>
      </c>
      <c r="I89" s="24">
        <f t="shared" si="16"/>
        <v>0</v>
      </c>
      <c r="J89" s="24">
        <v>0</v>
      </c>
      <c r="K89" s="24">
        <f t="shared" si="17"/>
        <v>0</v>
      </c>
      <c r="L89" s="25">
        <v>0</v>
      </c>
      <c r="M89" s="25">
        <v>0</v>
      </c>
      <c r="N89" s="26">
        <f t="shared" si="18"/>
        <v>0</v>
      </c>
      <c r="O89" s="24">
        <f t="shared" si="19"/>
        <v>0</v>
      </c>
      <c r="P89" s="24">
        <f t="shared" si="20"/>
        <v>0</v>
      </c>
      <c r="Q89" s="29">
        <f t="shared" si="21"/>
        <v>0</v>
      </c>
      <c r="R89" s="30">
        <f>COUNTIF(RAW_DATA[[#This Row],[CONVERTED]],"&gt;0")</f>
        <v>0</v>
      </c>
      <c r="S89" s="30">
        <f>COUNTIFS(RAW_DATA[[#This Row],[AM/PM]],"AM",RAW_DATA[[#This Row],[CONVERTED]],"&gt;0")</f>
        <v>0</v>
      </c>
      <c r="T89" s="19">
        <f t="shared" si="24"/>
        <v>0</v>
      </c>
      <c r="U89" s="20" t="str">
        <f t="shared" si="22"/>
        <v>SINGLE</v>
      </c>
    </row>
    <row r="90" spans="1:21" x14ac:dyDescent="0.35">
      <c r="A90" s="21">
        <f t="shared" si="25"/>
        <v>45135</v>
      </c>
      <c r="B90" s="22" t="str">
        <f t="shared" si="23"/>
        <v>AM</v>
      </c>
      <c r="C90" s="23" t="str">
        <f t="shared" si="13"/>
        <v>July</v>
      </c>
      <c r="D90" s="13" t="str">
        <f t="shared" si="14"/>
        <v>FRI</v>
      </c>
      <c r="E90" s="24">
        <v>0</v>
      </c>
      <c r="F90" s="24">
        <v>0</v>
      </c>
      <c r="G90" s="24">
        <v>0</v>
      </c>
      <c r="H90" s="24">
        <f t="shared" si="15"/>
        <v>0</v>
      </c>
      <c r="I90" s="24">
        <f t="shared" si="16"/>
        <v>0</v>
      </c>
      <c r="J90" s="24">
        <v>0</v>
      </c>
      <c r="K90" s="24">
        <f t="shared" si="17"/>
        <v>0</v>
      </c>
      <c r="L90" s="25">
        <v>0</v>
      </c>
      <c r="M90" s="25">
        <v>0</v>
      </c>
      <c r="N90" s="26">
        <f t="shared" si="18"/>
        <v>0</v>
      </c>
      <c r="O90" s="24">
        <f t="shared" si="19"/>
        <v>0</v>
      </c>
      <c r="P90" s="24">
        <f t="shared" si="20"/>
        <v>0</v>
      </c>
      <c r="Q90" s="29">
        <f t="shared" si="21"/>
        <v>0</v>
      </c>
      <c r="R90" s="30">
        <f>COUNTIF(RAW_DATA[[#This Row],[CONVERTED]],"&gt;0")</f>
        <v>0</v>
      </c>
      <c r="S90" s="30">
        <f>COUNTIFS(RAW_DATA[[#This Row],[AM/PM]],"AM",RAW_DATA[[#This Row],[CONVERTED]],"&gt;0")</f>
        <v>0</v>
      </c>
      <c r="T90" s="19">
        <f t="shared" si="24"/>
        <v>0</v>
      </c>
      <c r="U90" s="20" t="str">
        <f t="shared" si="22"/>
        <v>SINGLE</v>
      </c>
    </row>
    <row r="91" spans="1:21" x14ac:dyDescent="0.35">
      <c r="A91" s="21">
        <f t="shared" si="25"/>
        <v>45135</v>
      </c>
      <c r="B91" s="22" t="str">
        <f t="shared" si="23"/>
        <v>PM</v>
      </c>
      <c r="C91" s="23" t="str">
        <f t="shared" si="13"/>
        <v>July</v>
      </c>
      <c r="D91" s="13" t="str">
        <f t="shared" si="14"/>
        <v>FRI</v>
      </c>
      <c r="E91" s="24">
        <v>1281.51</v>
      </c>
      <c r="F91" s="24">
        <v>232.63</v>
      </c>
      <c r="G91" s="24">
        <v>50</v>
      </c>
      <c r="H91" s="24">
        <f t="shared" si="15"/>
        <v>51.260400000000004</v>
      </c>
      <c r="I91" s="24">
        <f t="shared" si="16"/>
        <v>3.9081839999999999</v>
      </c>
      <c r="J91" s="24">
        <v>11</v>
      </c>
      <c r="K91" s="24">
        <f t="shared" si="17"/>
        <v>177.46141599999999</v>
      </c>
      <c r="L91" s="25">
        <v>5</v>
      </c>
      <c r="M91" s="25">
        <v>11</v>
      </c>
      <c r="N91" s="26">
        <f t="shared" si="18"/>
        <v>5.1833333333333336</v>
      </c>
      <c r="O91" s="24">
        <f t="shared" si="19"/>
        <v>11.0405</v>
      </c>
      <c r="P91" s="24">
        <f t="shared" si="20"/>
        <v>199.50191599999999</v>
      </c>
      <c r="Q91" s="29">
        <f t="shared" si="21"/>
        <v>238.50191599999999</v>
      </c>
      <c r="R91" s="30">
        <f>COUNTIF(RAW_DATA[[#This Row],[CONVERTED]],"&gt;0")</f>
        <v>1</v>
      </c>
      <c r="S91" s="30">
        <f>COUNTIFS(RAW_DATA[[#This Row],[AM/PM]],"AM",RAW_DATA[[#This Row],[CONVERTED]],"&gt;0")</f>
        <v>0</v>
      </c>
      <c r="T91" s="19">
        <f t="shared" si="24"/>
        <v>0</v>
      </c>
      <c r="U91" s="20" t="str">
        <f t="shared" si="22"/>
        <v>SINGLE</v>
      </c>
    </row>
    <row r="92" spans="1:21" x14ac:dyDescent="0.35">
      <c r="A92" s="21">
        <f t="shared" si="25"/>
        <v>45136</v>
      </c>
      <c r="B92" s="22" t="str">
        <f t="shared" si="23"/>
        <v>AM</v>
      </c>
      <c r="C92" s="23" t="str">
        <f t="shared" si="13"/>
        <v>July</v>
      </c>
      <c r="D92" s="13" t="str">
        <f t="shared" si="14"/>
        <v>SAT</v>
      </c>
      <c r="E92" s="24">
        <v>0</v>
      </c>
      <c r="F92" s="24">
        <v>0</v>
      </c>
      <c r="G92" s="24">
        <v>0</v>
      </c>
      <c r="H92" s="24">
        <f t="shared" si="15"/>
        <v>0</v>
      </c>
      <c r="I92" s="24">
        <f t="shared" si="16"/>
        <v>0</v>
      </c>
      <c r="J92" s="24">
        <v>0</v>
      </c>
      <c r="K92" s="24">
        <f t="shared" si="17"/>
        <v>0</v>
      </c>
      <c r="L92" s="25">
        <v>0</v>
      </c>
      <c r="M92" s="25">
        <v>0</v>
      </c>
      <c r="N92" s="26">
        <f t="shared" si="18"/>
        <v>0</v>
      </c>
      <c r="O92" s="24">
        <f t="shared" si="19"/>
        <v>0</v>
      </c>
      <c r="P92" s="24">
        <f t="shared" si="20"/>
        <v>0</v>
      </c>
      <c r="Q92" s="29">
        <f t="shared" si="21"/>
        <v>0</v>
      </c>
      <c r="R92" s="30">
        <f>COUNTIF(RAW_DATA[[#This Row],[CONVERTED]],"&gt;0")</f>
        <v>0</v>
      </c>
      <c r="S92" s="30">
        <f>COUNTIFS(RAW_DATA[[#This Row],[AM/PM]],"AM",RAW_DATA[[#This Row],[CONVERTED]],"&gt;0")</f>
        <v>0</v>
      </c>
      <c r="T92" s="19">
        <f t="shared" si="24"/>
        <v>0</v>
      </c>
      <c r="U92" s="20" t="str">
        <f t="shared" si="22"/>
        <v>SINGLE</v>
      </c>
    </row>
    <row r="93" spans="1:21" x14ac:dyDescent="0.35">
      <c r="A93" s="21">
        <f t="shared" si="25"/>
        <v>45136</v>
      </c>
      <c r="B93" s="22" t="str">
        <f t="shared" si="23"/>
        <v>PM</v>
      </c>
      <c r="C93" s="23" t="str">
        <f t="shared" si="13"/>
        <v>July</v>
      </c>
      <c r="D93" s="13" t="str">
        <f t="shared" si="14"/>
        <v>SAT</v>
      </c>
      <c r="E93" s="24">
        <v>1011.49</v>
      </c>
      <c r="F93" s="24">
        <v>206.97</v>
      </c>
      <c r="G93" s="24">
        <v>0</v>
      </c>
      <c r="H93" s="24">
        <f t="shared" si="15"/>
        <v>40.459600000000002</v>
      </c>
      <c r="I93" s="24">
        <f t="shared" si="16"/>
        <v>3.477096</v>
      </c>
      <c r="J93" s="24">
        <v>0</v>
      </c>
      <c r="K93" s="24">
        <f t="shared" si="17"/>
        <v>163.03330399999999</v>
      </c>
      <c r="L93" s="25">
        <v>4</v>
      </c>
      <c r="M93" s="25">
        <v>27</v>
      </c>
      <c r="N93" s="26">
        <f t="shared" si="18"/>
        <v>4.45</v>
      </c>
      <c r="O93" s="24">
        <f t="shared" si="19"/>
        <v>9.4785000000000004</v>
      </c>
      <c r="P93" s="24">
        <f t="shared" si="20"/>
        <v>172.51180399999998</v>
      </c>
      <c r="Q93" s="29">
        <f t="shared" si="21"/>
        <v>172.51180399999998</v>
      </c>
      <c r="R93" s="30">
        <f>COUNTIF(RAW_DATA[[#This Row],[CONVERTED]],"&gt;0")</f>
        <v>1</v>
      </c>
      <c r="S93" s="30">
        <f>COUNTIFS(RAW_DATA[[#This Row],[AM/PM]],"AM",RAW_DATA[[#This Row],[CONVERTED]],"&gt;0")</f>
        <v>0</v>
      </c>
      <c r="T93" s="19">
        <f t="shared" si="24"/>
        <v>0</v>
      </c>
      <c r="U93" s="20" t="str">
        <f t="shared" si="22"/>
        <v>SINGLE</v>
      </c>
    </row>
    <row r="94" spans="1:21" x14ac:dyDescent="0.35">
      <c r="A94" s="21">
        <f t="shared" si="25"/>
        <v>45137</v>
      </c>
      <c r="B94" s="22" t="str">
        <f t="shared" si="23"/>
        <v>AM</v>
      </c>
      <c r="C94" s="23" t="str">
        <f t="shared" si="13"/>
        <v>July</v>
      </c>
      <c r="D94" s="13" t="str">
        <f t="shared" si="14"/>
        <v>SUN</v>
      </c>
      <c r="E94" s="24">
        <v>804</v>
      </c>
      <c r="F94" s="24">
        <v>122.2</v>
      </c>
      <c r="G94" s="24">
        <v>30</v>
      </c>
      <c r="H94" s="24">
        <f t="shared" si="15"/>
        <v>32.160000000000004</v>
      </c>
      <c r="I94" s="24">
        <f t="shared" si="16"/>
        <v>2.0529600000000001</v>
      </c>
      <c r="J94" s="24">
        <v>13</v>
      </c>
      <c r="K94" s="24">
        <f t="shared" si="17"/>
        <v>87.987040000000007</v>
      </c>
      <c r="L94" s="25">
        <v>5</v>
      </c>
      <c r="M94" s="25">
        <v>28</v>
      </c>
      <c r="N94" s="26">
        <f t="shared" si="18"/>
        <v>5.4666666666666668</v>
      </c>
      <c r="O94" s="24">
        <f t="shared" si="19"/>
        <v>11.644</v>
      </c>
      <c r="P94" s="24">
        <f t="shared" si="20"/>
        <v>112.63104000000001</v>
      </c>
      <c r="Q94" s="29">
        <f t="shared" si="21"/>
        <v>129.63104000000001</v>
      </c>
      <c r="R94" s="30">
        <f>COUNTIF(RAW_DATA[[#This Row],[CONVERTED]],"&gt;0")</f>
        <v>1</v>
      </c>
      <c r="S94" s="30">
        <f>COUNTIFS(RAW_DATA[[#This Row],[AM/PM]],"AM",RAW_DATA[[#This Row],[CONVERTED]],"&gt;0")</f>
        <v>1</v>
      </c>
      <c r="T94" s="19">
        <f t="shared" si="24"/>
        <v>0</v>
      </c>
      <c r="U94" s="20" t="str">
        <f t="shared" si="22"/>
        <v>SINGLE</v>
      </c>
    </row>
    <row r="95" spans="1:21" x14ac:dyDescent="0.35">
      <c r="A95" s="21">
        <f t="shared" si="25"/>
        <v>45137</v>
      </c>
      <c r="B95" s="22" t="str">
        <f t="shared" si="23"/>
        <v>PM</v>
      </c>
      <c r="C95" s="23" t="str">
        <f t="shared" si="13"/>
        <v>July</v>
      </c>
      <c r="D95" s="13" t="str">
        <f t="shared" si="14"/>
        <v>SUN</v>
      </c>
      <c r="E95" s="24">
        <v>0</v>
      </c>
      <c r="F95" s="24">
        <v>0</v>
      </c>
      <c r="G95" s="24">
        <v>0</v>
      </c>
      <c r="H95" s="24">
        <f t="shared" si="15"/>
        <v>0</v>
      </c>
      <c r="I95" s="24">
        <f t="shared" si="16"/>
        <v>0</v>
      </c>
      <c r="J95" s="24">
        <v>0</v>
      </c>
      <c r="K95" s="24">
        <f t="shared" si="17"/>
        <v>0</v>
      </c>
      <c r="L95" s="25">
        <v>0</v>
      </c>
      <c r="M95" s="25">
        <v>0</v>
      </c>
      <c r="N95" s="26">
        <f t="shared" si="18"/>
        <v>0</v>
      </c>
      <c r="O95" s="24">
        <f t="shared" si="19"/>
        <v>0</v>
      </c>
      <c r="P95" s="24">
        <f t="shared" si="20"/>
        <v>0</v>
      </c>
      <c r="Q95" s="29">
        <f t="shared" si="21"/>
        <v>0</v>
      </c>
      <c r="R95" s="30">
        <f>COUNTIF(RAW_DATA[[#This Row],[CONVERTED]],"&gt;0")</f>
        <v>0</v>
      </c>
      <c r="S95" s="30">
        <f>COUNTIFS(RAW_DATA[[#This Row],[AM/PM]],"AM",RAW_DATA[[#This Row],[CONVERTED]],"&gt;0")</f>
        <v>0</v>
      </c>
      <c r="T95" s="19">
        <f t="shared" si="24"/>
        <v>0</v>
      </c>
      <c r="U95" s="20" t="str">
        <f t="shared" si="22"/>
        <v>SINGLE</v>
      </c>
    </row>
    <row r="96" spans="1:21" x14ac:dyDescent="0.35">
      <c r="A96" s="21">
        <f t="shared" si="25"/>
        <v>45138</v>
      </c>
      <c r="B96" s="22" t="str">
        <f t="shared" si="23"/>
        <v>AM</v>
      </c>
      <c r="C96" s="23" t="str">
        <f t="shared" si="13"/>
        <v>July</v>
      </c>
      <c r="D96" s="13" t="str">
        <f t="shared" si="14"/>
        <v>MON</v>
      </c>
      <c r="E96" s="24">
        <v>0</v>
      </c>
      <c r="F96" s="24">
        <v>0</v>
      </c>
      <c r="G96" s="24">
        <v>0</v>
      </c>
      <c r="H96" s="24">
        <f t="shared" si="15"/>
        <v>0</v>
      </c>
      <c r="I96" s="24">
        <f t="shared" si="16"/>
        <v>0</v>
      </c>
      <c r="J96" s="24">
        <v>0</v>
      </c>
      <c r="K96" s="24">
        <f t="shared" si="17"/>
        <v>0</v>
      </c>
      <c r="L96" s="25">
        <v>0</v>
      </c>
      <c r="M96" s="25">
        <v>0</v>
      </c>
      <c r="N96" s="26">
        <f t="shared" si="18"/>
        <v>0</v>
      </c>
      <c r="O96" s="24">
        <f t="shared" si="19"/>
        <v>0</v>
      </c>
      <c r="P96" s="24">
        <f t="shared" si="20"/>
        <v>0</v>
      </c>
      <c r="Q96" s="29">
        <f t="shared" si="21"/>
        <v>0</v>
      </c>
      <c r="R96" s="30">
        <f>COUNTIF(RAW_DATA[[#This Row],[CONVERTED]],"&gt;0")</f>
        <v>0</v>
      </c>
      <c r="S96" s="30">
        <f>COUNTIFS(RAW_DATA[[#This Row],[AM/PM]],"AM",RAW_DATA[[#This Row],[CONVERTED]],"&gt;0")</f>
        <v>0</v>
      </c>
      <c r="T96" s="19">
        <f t="shared" si="24"/>
        <v>0</v>
      </c>
      <c r="U96" s="20" t="str">
        <f t="shared" si="22"/>
        <v>SINGLE</v>
      </c>
    </row>
    <row r="97" spans="1:21" x14ac:dyDescent="0.35">
      <c r="A97" s="21">
        <f t="shared" si="25"/>
        <v>45138</v>
      </c>
      <c r="B97" s="22" t="str">
        <f t="shared" si="23"/>
        <v>PM</v>
      </c>
      <c r="C97" s="23" t="str">
        <f t="shared" si="13"/>
        <v>July</v>
      </c>
      <c r="D97" s="13" t="str">
        <f t="shared" si="14"/>
        <v>MON</v>
      </c>
      <c r="E97" s="24">
        <v>1304.5</v>
      </c>
      <c r="F97" s="24">
        <v>253.7</v>
      </c>
      <c r="G97" s="24">
        <v>0</v>
      </c>
      <c r="H97" s="24">
        <f t="shared" si="15"/>
        <v>52.18</v>
      </c>
      <c r="I97" s="24">
        <f t="shared" si="16"/>
        <v>4.2621599999999997</v>
      </c>
      <c r="J97" s="24">
        <v>0</v>
      </c>
      <c r="K97" s="24">
        <f t="shared" si="17"/>
        <v>197.25783999999999</v>
      </c>
      <c r="L97" s="25">
        <v>4</v>
      </c>
      <c r="M97" s="25">
        <v>23</v>
      </c>
      <c r="N97" s="26">
        <f t="shared" si="18"/>
        <v>4.3833333333333337</v>
      </c>
      <c r="O97" s="24">
        <f t="shared" si="19"/>
        <v>9.3365000000000009</v>
      </c>
      <c r="P97" s="24">
        <f t="shared" si="20"/>
        <v>206.59433999999999</v>
      </c>
      <c r="Q97" s="29">
        <f t="shared" si="21"/>
        <v>206.59433999999999</v>
      </c>
      <c r="R97" s="30">
        <f>COUNTIF(RAW_DATA[[#This Row],[CONVERTED]],"&gt;0")</f>
        <v>1</v>
      </c>
      <c r="S97" s="30">
        <f>COUNTIFS(RAW_DATA[[#This Row],[AM/PM]],"AM",RAW_DATA[[#This Row],[CONVERTED]],"&gt;0")</f>
        <v>0</v>
      </c>
      <c r="T97" s="19">
        <f t="shared" si="24"/>
        <v>0</v>
      </c>
      <c r="U97" s="20" t="str">
        <f t="shared" si="22"/>
        <v>SINGLE</v>
      </c>
    </row>
    <row r="98" spans="1:21" x14ac:dyDescent="0.35">
      <c r="A98" s="21">
        <f t="shared" si="25"/>
        <v>45139</v>
      </c>
      <c r="B98" s="22" t="str">
        <f t="shared" si="23"/>
        <v>AM</v>
      </c>
      <c r="C98" s="23" t="str">
        <f t="shared" si="13"/>
        <v>August</v>
      </c>
      <c r="D98" s="13" t="str">
        <f t="shared" si="14"/>
        <v>TUE</v>
      </c>
      <c r="E98" s="24">
        <v>0</v>
      </c>
      <c r="F98" s="24">
        <v>0</v>
      </c>
      <c r="G98" s="24">
        <v>0</v>
      </c>
      <c r="H98" s="24">
        <f t="shared" si="15"/>
        <v>0</v>
      </c>
      <c r="I98" s="24">
        <f t="shared" si="16"/>
        <v>0</v>
      </c>
      <c r="J98" s="24">
        <v>0</v>
      </c>
      <c r="K98" s="24">
        <f t="shared" si="17"/>
        <v>0</v>
      </c>
      <c r="L98" s="25">
        <v>0</v>
      </c>
      <c r="M98" s="25">
        <v>0</v>
      </c>
      <c r="N98" s="26">
        <f t="shared" si="18"/>
        <v>0</v>
      </c>
      <c r="O98" s="24">
        <f t="shared" si="19"/>
        <v>0</v>
      </c>
      <c r="P98" s="24">
        <f t="shared" si="20"/>
        <v>0</v>
      </c>
      <c r="Q98" s="29">
        <f t="shared" si="21"/>
        <v>0</v>
      </c>
      <c r="R98" s="30">
        <f>COUNTIF(RAW_DATA[[#This Row],[CONVERTED]],"&gt;0")</f>
        <v>0</v>
      </c>
      <c r="S98" s="30">
        <f>COUNTIFS(RAW_DATA[[#This Row],[AM/PM]],"AM",RAW_DATA[[#This Row],[CONVERTED]],"&gt;0")</f>
        <v>0</v>
      </c>
      <c r="T98" s="19">
        <f t="shared" si="24"/>
        <v>0</v>
      </c>
      <c r="U98" s="20" t="str">
        <f t="shared" si="22"/>
        <v>SINGLE</v>
      </c>
    </row>
    <row r="99" spans="1:21" x14ac:dyDescent="0.35">
      <c r="A99" s="21">
        <f t="shared" si="25"/>
        <v>45139</v>
      </c>
      <c r="B99" s="22" t="str">
        <f t="shared" si="23"/>
        <v>PM</v>
      </c>
      <c r="C99" s="23" t="str">
        <f t="shared" si="13"/>
        <v>August</v>
      </c>
      <c r="D99" s="13" t="str">
        <f t="shared" si="14"/>
        <v>TUE</v>
      </c>
      <c r="E99" s="24">
        <v>706.5</v>
      </c>
      <c r="F99" s="24">
        <v>147.30000000000001</v>
      </c>
      <c r="G99" s="24">
        <v>10</v>
      </c>
      <c r="H99" s="24">
        <f t="shared" si="15"/>
        <v>28.26</v>
      </c>
      <c r="I99" s="24">
        <f t="shared" si="16"/>
        <v>2.47464</v>
      </c>
      <c r="J99" s="24">
        <v>0</v>
      </c>
      <c r="K99" s="24">
        <f t="shared" si="17"/>
        <v>116.56536000000001</v>
      </c>
      <c r="L99" s="25">
        <v>5</v>
      </c>
      <c r="M99" s="25">
        <v>26</v>
      </c>
      <c r="N99" s="26">
        <f t="shared" si="18"/>
        <v>5.4333333333333336</v>
      </c>
      <c r="O99" s="24">
        <f t="shared" si="19"/>
        <v>11.573</v>
      </c>
      <c r="P99" s="24">
        <f t="shared" si="20"/>
        <v>128.13836000000001</v>
      </c>
      <c r="Q99" s="29">
        <f t="shared" si="21"/>
        <v>138.13836000000001</v>
      </c>
      <c r="R99" s="30">
        <f>COUNTIF(RAW_DATA[[#This Row],[CONVERTED]],"&gt;0")</f>
        <v>1</v>
      </c>
      <c r="S99" s="30">
        <f>COUNTIFS(RAW_DATA[[#This Row],[AM/PM]],"AM",RAW_DATA[[#This Row],[CONVERTED]],"&gt;0")</f>
        <v>0</v>
      </c>
      <c r="T99" s="19">
        <f t="shared" si="24"/>
        <v>0</v>
      </c>
      <c r="U99" s="20" t="str">
        <f t="shared" si="22"/>
        <v>SINGLE</v>
      </c>
    </row>
    <row r="100" spans="1:21" x14ac:dyDescent="0.35">
      <c r="A100" s="21">
        <f t="shared" si="25"/>
        <v>45140</v>
      </c>
      <c r="B100" s="22" t="str">
        <f t="shared" si="23"/>
        <v>AM</v>
      </c>
      <c r="C100" s="23" t="str">
        <f t="shared" si="13"/>
        <v>August</v>
      </c>
      <c r="D100" s="13" t="str">
        <f t="shared" si="14"/>
        <v>WED</v>
      </c>
      <c r="E100" s="24">
        <v>763</v>
      </c>
      <c r="F100" s="24">
        <v>139.63</v>
      </c>
      <c r="G100" s="24">
        <v>0</v>
      </c>
      <c r="H100" s="24">
        <f t="shared" si="15"/>
        <v>30.52</v>
      </c>
      <c r="I100" s="24">
        <f t="shared" si="16"/>
        <v>2.3457839999999996</v>
      </c>
      <c r="J100" s="24">
        <v>0</v>
      </c>
      <c r="K100" s="24">
        <f t="shared" si="17"/>
        <v>106.764216</v>
      </c>
      <c r="L100" s="25">
        <v>3</v>
      </c>
      <c r="M100" s="25">
        <v>35</v>
      </c>
      <c r="N100" s="26">
        <f t="shared" si="18"/>
        <v>3.5833333333333335</v>
      </c>
      <c r="O100" s="27">
        <f t="shared" si="19"/>
        <v>7.6325000000000003</v>
      </c>
      <c r="P100" s="27">
        <f t="shared" si="20"/>
        <v>114.396716</v>
      </c>
      <c r="Q100" s="28">
        <f t="shared" si="21"/>
        <v>114.396716</v>
      </c>
      <c r="R100" s="19">
        <f>COUNTIF(RAW_DATA[[#This Row],[CONVERTED]],"&gt;0")</f>
        <v>1</v>
      </c>
      <c r="S100" s="30">
        <f>COUNTIFS(RAW_DATA[[#This Row],[AM/PM]],"AM",RAW_DATA[[#This Row],[CONVERTED]],"&gt;0")</f>
        <v>1</v>
      </c>
      <c r="T100" s="19">
        <f t="shared" si="24"/>
        <v>0</v>
      </c>
      <c r="U100" s="20" t="str">
        <f t="shared" si="22"/>
        <v>DOUBLE</v>
      </c>
    </row>
    <row r="101" spans="1:21" x14ac:dyDescent="0.35">
      <c r="A101" s="21">
        <f t="shared" si="25"/>
        <v>45140</v>
      </c>
      <c r="B101" s="22" t="str">
        <f t="shared" si="23"/>
        <v>PM</v>
      </c>
      <c r="C101" s="23" t="str">
        <f t="shared" si="13"/>
        <v>August</v>
      </c>
      <c r="D101" s="13" t="str">
        <f t="shared" si="14"/>
        <v>WED</v>
      </c>
      <c r="E101" s="24">
        <v>477</v>
      </c>
      <c r="F101" s="24">
        <v>108</v>
      </c>
      <c r="G101" s="24">
        <v>0</v>
      </c>
      <c r="H101" s="24">
        <f t="shared" si="15"/>
        <v>19.080000000000002</v>
      </c>
      <c r="I101" s="24">
        <f t="shared" si="16"/>
        <v>1.8143999999999998</v>
      </c>
      <c r="J101" s="24">
        <v>0</v>
      </c>
      <c r="K101" s="24">
        <f t="shared" si="17"/>
        <v>87.105599999999995</v>
      </c>
      <c r="L101" s="25">
        <v>3</v>
      </c>
      <c r="M101" s="25">
        <v>30</v>
      </c>
      <c r="N101" s="26">
        <f t="shared" si="18"/>
        <v>3.5</v>
      </c>
      <c r="O101" s="24">
        <f t="shared" si="19"/>
        <v>7.4550000000000001</v>
      </c>
      <c r="P101" s="24">
        <f t="shared" si="20"/>
        <v>94.560599999999994</v>
      </c>
      <c r="Q101" s="29">
        <f t="shared" si="21"/>
        <v>94.560599999999994</v>
      </c>
      <c r="R101" s="30">
        <f>COUNTIF(RAW_DATA[[#This Row],[CONVERTED]],"&gt;0")</f>
        <v>1</v>
      </c>
      <c r="S101" s="30">
        <f>COUNTIFS(RAW_DATA[[#This Row],[AM/PM]],"AM",RAW_DATA[[#This Row],[CONVERTED]],"&gt;0")</f>
        <v>0</v>
      </c>
      <c r="T101" s="19">
        <f t="shared" si="24"/>
        <v>1</v>
      </c>
      <c r="U101" s="20" t="str">
        <f t="shared" si="22"/>
        <v>DOUBLE</v>
      </c>
    </row>
    <row r="102" spans="1:21" x14ac:dyDescent="0.35">
      <c r="A102" s="21">
        <f t="shared" si="25"/>
        <v>45141</v>
      </c>
      <c r="B102" s="22" t="str">
        <f t="shared" si="23"/>
        <v>AM</v>
      </c>
      <c r="C102" s="23" t="str">
        <f t="shared" si="13"/>
        <v>August</v>
      </c>
      <c r="D102" s="13" t="str">
        <f t="shared" si="14"/>
        <v>THU</v>
      </c>
      <c r="E102" s="24">
        <v>0</v>
      </c>
      <c r="F102" s="24">
        <v>0</v>
      </c>
      <c r="G102" s="24">
        <v>0</v>
      </c>
      <c r="H102" s="24">
        <f t="shared" si="15"/>
        <v>0</v>
      </c>
      <c r="I102" s="24">
        <f t="shared" si="16"/>
        <v>0</v>
      </c>
      <c r="J102" s="24">
        <v>0</v>
      </c>
      <c r="K102" s="24">
        <f t="shared" si="17"/>
        <v>0</v>
      </c>
      <c r="L102" s="25">
        <v>0</v>
      </c>
      <c r="M102" s="25">
        <v>0</v>
      </c>
      <c r="N102" s="26">
        <f t="shared" si="18"/>
        <v>0</v>
      </c>
      <c r="O102" s="24">
        <f t="shared" si="19"/>
        <v>0</v>
      </c>
      <c r="P102" s="24">
        <f t="shared" si="20"/>
        <v>0</v>
      </c>
      <c r="Q102" s="29">
        <f t="shared" si="21"/>
        <v>0</v>
      </c>
      <c r="R102" s="30">
        <f>COUNTIF(RAW_DATA[[#This Row],[CONVERTED]],"&gt;0")</f>
        <v>0</v>
      </c>
      <c r="S102" s="30">
        <f>COUNTIFS(RAW_DATA[[#This Row],[AM/PM]],"AM",RAW_DATA[[#This Row],[CONVERTED]],"&gt;0")</f>
        <v>0</v>
      </c>
      <c r="T102" s="19">
        <f t="shared" si="24"/>
        <v>0</v>
      </c>
      <c r="U102" s="20" t="str">
        <f t="shared" si="22"/>
        <v>SINGLE</v>
      </c>
    </row>
    <row r="103" spans="1:21" x14ac:dyDescent="0.35">
      <c r="A103" s="21">
        <f t="shared" si="25"/>
        <v>45141</v>
      </c>
      <c r="B103" s="22" t="str">
        <f t="shared" si="23"/>
        <v>PM</v>
      </c>
      <c r="C103" s="23" t="str">
        <f t="shared" si="13"/>
        <v>August</v>
      </c>
      <c r="D103" s="13" t="str">
        <f t="shared" si="14"/>
        <v>THU</v>
      </c>
      <c r="E103" s="24">
        <v>0</v>
      </c>
      <c r="F103" s="24">
        <v>0</v>
      </c>
      <c r="G103" s="24">
        <v>0</v>
      </c>
      <c r="H103" s="24">
        <f t="shared" si="15"/>
        <v>0</v>
      </c>
      <c r="I103" s="24">
        <f t="shared" si="16"/>
        <v>0</v>
      </c>
      <c r="J103" s="24">
        <v>0</v>
      </c>
      <c r="K103" s="24">
        <f t="shared" si="17"/>
        <v>0</v>
      </c>
      <c r="L103" s="25">
        <v>0</v>
      </c>
      <c r="M103" s="25">
        <v>0</v>
      </c>
      <c r="N103" s="26">
        <f t="shared" si="18"/>
        <v>0</v>
      </c>
      <c r="O103" s="24">
        <f t="shared" si="19"/>
        <v>0</v>
      </c>
      <c r="P103" s="24">
        <f t="shared" si="20"/>
        <v>0</v>
      </c>
      <c r="Q103" s="29">
        <f t="shared" si="21"/>
        <v>0</v>
      </c>
      <c r="R103" s="30">
        <f>COUNTIF(RAW_DATA[[#This Row],[CONVERTED]],"&gt;0")</f>
        <v>0</v>
      </c>
      <c r="S103" s="30">
        <f>COUNTIFS(RAW_DATA[[#This Row],[AM/PM]],"AM",RAW_DATA[[#This Row],[CONVERTED]],"&gt;0")</f>
        <v>0</v>
      </c>
      <c r="T103" s="19">
        <f t="shared" si="24"/>
        <v>0</v>
      </c>
      <c r="U103" s="20" t="str">
        <f t="shared" si="22"/>
        <v>SINGLE</v>
      </c>
    </row>
    <row r="104" spans="1:21" x14ac:dyDescent="0.35">
      <c r="A104" s="21">
        <f t="shared" si="25"/>
        <v>45142</v>
      </c>
      <c r="B104" s="22" t="str">
        <f t="shared" si="23"/>
        <v>AM</v>
      </c>
      <c r="C104" s="23" t="str">
        <f t="shared" si="13"/>
        <v>August</v>
      </c>
      <c r="D104" s="13" t="str">
        <f t="shared" si="14"/>
        <v>FRI</v>
      </c>
      <c r="E104" s="24">
        <v>1016.33</v>
      </c>
      <c r="F104" s="24">
        <f>77.22+111.9</f>
        <v>189.12</v>
      </c>
      <c r="G104" s="24">
        <v>7</v>
      </c>
      <c r="H104" s="24">
        <f t="shared" si="15"/>
        <v>40.653200000000005</v>
      </c>
      <c r="I104" s="24">
        <f t="shared" si="16"/>
        <v>3.177216</v>
      </c>
      <c r="J104" s="24">
        <v>0</v>
      </c>
      <c r="K104" s="24">
        <f t="shared" si="17"/>
        <v>145.28958399999999</v>
      </c>
      <c r="L104" s="25">
        <v>4</v>
      </c>
      <c r="M104" s="25">
        <v>47</v>
      </c>
      <c r="N104" s="26">
        <f t="shared" si="18"/>
        <v>4.7833333333333332</v>
      </c>
      <c r="O104" s="24">
        <f t="shared" si="19"/>
        <v>10.188499999999999</v>
      </c>
      <c r="P104" s="24">
        <f t="shared" si="20"/>
        <v>155.478084</v>
      </c>
      <c r="Q104" s="29">
        <f t="shared" si="21"/>
        <v>162.478084</v>
      </c>
      <c r="R104" s="30">
        <f>COUNTIF(RAW_DATA[[#This Row],[CONVERTED]],"&gt;0")</f>
        <v>1</v>
      </c>
      <c r="S104" s="30">
        <f>COUNTIFS(RAW_DATA[[#This Row],[AM/PM]],"AM",RAW_DATA[[#This Row],[CONVERTED]],"&gt;0")</f>
        <v>1</v>
      </c>
      <c r="T104" s="19">
        <f t="shared" si="24"/>
        <v>0</v>
      </c>
      <c r="U104" s="20" t="str">
        <f t="shared" si="22"/>
        <v>DOUBLE</v>
      </c>
    </row>
    <row r="105" spans="1:21" x14ac:dyDescent="0.35">
      <c r="A105" s="21">
        <f t="shared" si="25"/>
        <v>45142</v>
      </c>
      <c r="B105" s="22" t="str">
        <f t="shared" si="23"/>
        <v>PM</v>
      </c>
      <c r="C105" s="23" t="str">
        <f t="shared" si="13"/>
        <v>August</v>
      </c>
      <c r="D105" s="13" t="str">
        <f t="shared" si="14"/>
        <v>FRI</v>
      </c>
      <c r="E105" s="24">
        <v>1194</v>
      </c>
      <c r="F105" s="24">
        <v>181.65</v>
      </c>
      <c r="G105" s="24">
        <v>40</v>
      </c>
      <c r="H105" s="24">
        <f t="shared" si="15"/>
        <v>47.76</v>
      </c>
      <c r="I105" s="24">
        <f t="shared" si="16"/>
        <v>3.05172</v>
      </c>
      <c r="J105" s="24">
        <v>22.5</v>
      </c>
      <c r="K105" s="24">
        <f t="shared" si="17"/>
        <v>130.83828</v>
      </c>
      <c r="L105" s="25">
        <v>4</v>
      </c>
      <c r="M105" s="25">
        <v>37</v>
      </c>
      <c r="N105" s="26">
        <f t="shared" si="18"/>
        <v>4.6166666666666663</v>
      </c>
      <c r="O105" s="24">
        <f t="shared" si="19"/>
        <v>9.833499999999999</v>
      </c>
      <c r="P105" s="24">
        <f t="shared" si="20"/>
        <v>163.17177999999998</v>
      </c>
      <c r="Q105" s="29">
        <f t="shared" si="21"/>
        <v>180.67177999999998</v>
      </c>
      <c r="R105" s="30">
        <f>COUNTIF(RAW_DATA[[#This Row],[CONVERTED]],"&gt;0")</f>
        <v>1</v>
      </c>
      <c r="S105" s="30">
        <f>COUNTIFS(RAW_DATA[[#This Row],[AM/PM]],"AM",RAW_DATA[[#This Row],[CONVERTED]],"&gt;0")</f>
        <v>0</v>
      </c>
      <c r="T105" s="19">
        <f t="shared" si="24"/>
        <v>1</v>
      </c>
      <c r="U105" s="20" t="str">
        <f t="shared" si="22"/>
        <v>DOUBLE</v>
      </c>
    </row>
    <row r="106" spans="1:21" x14ac:dyDescent="0.35">
      <c r="A106" s="21">
        <f t="shared" si="25"/>
        <v>45143</v>
      </c>
      <c r="B106" s="22" t="str">
        <f t="shared" si="23"/>
        <v>AM</v>
      </c>
      <c r="C106" s="23" t="str">
        <f t="shared" si="13"/>
        <v>August</v>
      </c>
      <c r="D106" s="13" t="str">
        <f t="shared" si="14"/>
        <v>SAT</v>
      </c>
      <c r="E106" s="24">
        <v>0</v>
      </c>
      <c r="F106" s="24">
        <v>0</v>
      </c>
      <c r="G106" s="24">
        <v>0</v>
      </c>
      <c r="H106" s="24">
        <f t="shared" si="15"/>
        <v>0</v>
      </c>
      <c r="I106" s="24">
        <f t="shared" si="16"/>
        <v>0</v>
      </c>
      <c r="J106" s="24">
        <v>0</v>
      </c>
      <c r="K106" s="24">
        <f t="shared" si="17"/>
        <v>0</v>
      </c>
      <c r="L106" s="25">
        <v>0</v>
      </c>
      <c r="M106" s="25">
        <v>0</v>
      </c>
      <c r="N106" s="26">
        <f t="shared" si="18"/>
        <v>0</v>
      </c>
      <c r="O106" s="24">
        <f t="shared" si="19"/>
        <v>0</v>
      </c>
      <c r="P106" s="24">
        <f t="shared" si="20"/>
        <v>0</v>
      </c>
      <c r="Q106" s="29">
        <f t="shared" si="21"/>
        <v>0</v>
      </c>
      <c r="R106" s="30">
        <f>COUNTIF(RAW_DATA[[#This Row],[CONVERTED]],"&gt;0")</f>
        <v>0</v>
      </c>
      <c r="S106" s="30">
        <f>COUNTIFS(RAW_DATA[[#This Row],[AM/PM]],"AM",RAW_DATA[[#This Row],[CONVERTED]],"&gt;0")</f>
        <v>0</v>
      </c>
      <c r="T106" s="19">
        <f t="shared" si="24"/>
        <v>0</v>
      </c>
      <c r="U106" s="20" t="str">
        <f t="shared" si="22"/>
        <v>SINGLE</v>
      </c>
    </row>
    <row r="107" spans="1:21" x14ac:dyDescent="0.35">
      <c r="A107" s="21">
        <f t="shared" si="25"/>
        <v>45143</v>
      </c>
      <c r="B107" s="22" t="str">
        <f t="shared" si="23"/>
        <v>PM</v>
      </c>
      <c r="C107" s="23" t="str">
        <f t="shared" si="13"/>
        <v>August</v>
      </c>
      <c r="D107" s="13" t="str">
        <f t="shared" si="14"/>
        <v>SAT</v>
      </c>
      <c r="E107" s="24">
        <v>1669.5</v>
      </c>
      <c r="F107" s="24">
        <v>305.42</v>
      </c>
      <c r="G107" s="24">
        <v>20</v>
      </c>
      <c r="H107" s="24">
        <f t="shared" si="15"/>
        <v>66.78</v>
      </c>
      <c r="I107" s="24">
        <f t="shared" si="16"/>
        <v>5.1310560000000001</v>
      </c>
      <c r="J107" s="24">
        <v>6</v>
      </c>
      <c r="K107" s="24">
        <f t="shared" si="17"/>
        <v>233.50894400000001</v>
      </c>
      <c r="L107" s="25">
        <v>6</v>
      </c>
      <c r="M107" s="25">
        <v>15</v>
      </c>
      <c r="N107" s="26">
        <f t="shared" si="18"/>
        <v>6.25</v>
      </c>
      <c r="O107" s="24">
        <f t="shared" si="19"/>
        <v>13.3125</v>
      </c>
      <c r="P107" s="24">
        <f t="shared" si="20"/>
        <v>252.82144400000001</v>
      </c>
      <c r="Q107" s="29">
        <f t="shared" si="21"/>
        <v>266.82144400000004</v>
      </c>
      <c r="R107" s="30">
        <f>COUNTIF(RAW_DATA[[#This Row],[CONVERTED]],"&gt;0")</f>
        <v>1</v>
      </c>
      <c r="S107" s="30">
        <f>COUNTIFS(RAW_DATA[[#This Row],[AM/PM]],"AM",RAW_DATA[[#This Row],[CONVERTED]],"&gt;0")</f>
        <v>0</v>
      </c>
      <c r="T107" s="19">
        <f t="shared" si="24"/>
        <v>0</v>
      </c>
      <c r="U107" s="20" t="str">
        <f t="shared" si="22"/>
        <v>SINGLE</v>
      </c>
    </row>
    <row r="108" spans="1:21" x14ac:dyDescent="0.35">
      <c r="A108" s="21">
        <f t="shared" si="25"/>
        <v>45144</v>
      </c>
      <c r="B108" s="22" t="str">
        <f t="shared" si="23"/>
        <v>AM</v>
      </c>
      <c r="C108" s="23" t="str">
        <f t="shared" si="13"/>
        <v>August</v>
      </c>
      <c r="D108" s="13" t="str">
        <f t="shared" si="14"/>
        <v>SUN</v>
      </c>
      <c r="E108" s="24">
        <v>0</v>
      </c>
      <c r="F108" s="24">
        <v>0</v>
      </c>
      <c r="G108" s="24">
        <v>0</v>
      </c>
      <c r="H108" s="24">
        <f t="shared" si="15"/>
        <v>0</v>
      </c>
      <c r="I108" s="24">
        <f t="shared" si="16"/>
        <v>0</v>
      </c>
      <c r="J108" s="24">
        <v>0</v>
      </c>
      <c r="K108" s="24">
        <f t="shared" si="17"/>
        <v>0</v>
      </c>
      <c r="L108" s="25">
        <v>0</v>
      </c>
      <c r="M108" s="25">
        <v>0</v>
      </c>
      <c r="N108" s="26">
        <f t="shared" si="18"/>
        <v>0</v>
      </c>
      <c r="O108" s="24">
        <f t="shared" si="19"/>
        <v>0</v>
      </c>
      <c r="P108" s="24">
        <f t="shared" si="20"/>
        <v>0</v>
      </c>
      <c r="Q108" s="29">
        <f t="shared" si="21"/>
        <v>0</v>
      </c>
      <c r="R108" s="30">
        <f>COUNTIF(RAW_DATA[[#This Row],[CONVERTED]],"&gt;0")</f>
        <v>0</v>
      </c>
      <c r="S108" s="30">
        <f>COUNTIFS(RAW_DATA[[#This Row],[AM/PM]],"AM",RAW_DATA[[#This Row],[CONVERTED]],"&gt;0")</f>
        <v>0</v>
      </c>
      <c r="T108" s="19">
        <f t="shared" si="24"/>
        <v>0</v>
      </c>
      <c r="U108" s="20" t="str">
        <f t="shared" si="22"/>
        <v>SINGLE</v>
      </c>
    </row>
    <row r="109" spans="1:21" x14ac:dyDescent="0.35">
      <c r="A109" s="21">
        <f t="shared" si="25"/>
        <v>45144</v>
      </c>
      <c r="B109" s="22" t="str">
        <f t="shared" si="23"/>
        <v>PM</v>
      </c>
      <c r="C109" s="23" t="str">
        <f t="shared" si="13"/>
        <v>August</v>
      </c>
      <c r="D109" s="13" t="str">
        <f t="shared" si="14"/>
        <v>SUN</v>
      </c>
      <c r="E109" s="24">
        <v>0</v>
      </c>
      <c r="F109" s="24">
        <v>0</v>
      </c>
      <c r="G109" s="24">
        <v>0</v>
      </c>
      <c r="H109" s="24">
        <f t="shared" si="15"/>
        <v>0</v>
      </c>
      <c r="I109" s="24">
        <f t="shared" si="16"/>
        <v>0</v>
      </c>
      <c r="J109" s="24">
        <v>0</v>
      </c>
      <c r="K109" s="24">
        <f t="shared" si="17"/>
        <v>0</v>
      </c>
      <c r="L109" s="25">
        <v>0</v>
      </c>
      <c r="M109" s="25">
        <v>0</v>
      </c>
      <c r="N109" s="26">
        <f t="shared" si="18"/>
        <v>0</v>
      </c>
      <c r="O109" s="24">
        <f t="shared" si="19"/>
        <v>0</v>
      </c>
      <c r="P109" s="24">
        <f t="shared" si="20"/>
        <v>0</v>
      </c>
      <c r="Q109" s="29">
        <f t="shared" si="21"/>
        <v>0</v>
      </c>
      <c r="R109" s="30">
        <f>COUNTIF(RAW_DATA[[#This Row],[CONVERTED]],"&gt;0")</f>
        <v>0</v>
      </c>
      <c r="S109" s="30">
        <f>COUNTIFS(RAW_DATA[[#This Row],[AM/PM]],"AM",RAW_DATA[[#This Row],[CONVERTED]],"&gt;0")</f>
        <v>0</v>
      </c>
      <c r="T109" s="19">
        <f t="shared" si="24"/>
        <v>0</v>
      </c>
      <c r="U109" s="20" t="str">
        <f t="shared" si="22"/>
        <v>SINGLE</v>
      </c>
    </row>
    <row r="110" spans="1:21" x14ac:dyDescent="0.35">
      <c r="A110" s="21">
        <f t="shared" si="25"/>
        <v>45145</v>
      </c>
      <c r="B110" s="22" t="str">
        <f t="shared" si="23"/>
        <v>AM</v>
      </c>
      <c r="C110" s="23" t="str">
        <f t="shared" si="13"/>
        <v>August</v>
      </c>
      <c r="D110" s="13" t="str">
        <f t="shared" si="14"/>
        <v>MON</v>
      </c>
      <c r="E110" s="24">
        <v>518.5</v>
      </c>
      <c r="F110" s="24">
        <v>99.91</v>
      </c>
      <c r="G110" s="24">
        <v>0</v>
      </c>
      <c r="H110" s="24">
        <f t="shared" si="15"/>
        <v>20.740000000000002</v>
      </c>
      <c r="I110" s="24">
        <f t="shared" si="16"/>
        <v>1.6784879999999998</v>
      </c>
      <c r="J110" s="24">
        <v>0</v>
      </c>
      <c r="K110" s="24">
        <f t="shared" si="17"/>
        <v>77.491512</v>
      </c>
      <c r="L110" s="25">
        <v>3</v>
      </c>
      <c r="M110" s="25">
        <v>45</v>
      </c>
      <c r="N110" s="26">
        <f t="shared" si="18"/>
        <v>3.75</v>
      </c>
      <c r="O110" s="24">
        <f t="shared" si="19"/>
        <v>7.9874999999999998</v>
      </c>
      <c r="P110" s="24">
        <f t="shared" si="20"/>
        <v>85.479011999999997</v>
      </c>
      <c r="Q110" s="29">
        <f t="shared" si="21"/>
        <v>85.479011999999997</v>
      </c>
      <c r="R110" s="30">
        <f>COUNTIF(RAW_DATA[[#This Row],[CONVERTED]],"&gt;0")</f>
        <v>1</v>
      </c>
      <c r="S110" s="30">
        <f>COUNTIFS(RAW_DATA[[#This Row],[AM/PM]],"AM",RAW_DATA[[#This Row],[CONVERTED]],"&gt;0")</f>
        <v>1</v>
      </c>
      <c r="T110" s="19">
        <f t="shared" si="24"/>
        <v>0</v>
      </c>
      <c r="U110" s="20" t="str">
        <f t="shared" si="22"/>
        <v>DOUBLE</v>
      </c>
    </row>
    <row r="111" spans="1:21" x14ac:dyDescent="0.35">
      <c r="A111" s="21">
        <f t="shared" si="25"/>
        <v>45145</v>
      </c>
      <c r="B111" s="22" t="str">
        <f t="shared" si="23"/>
        <v>PM</v>
      </c>
      <c r="C111" s="23" t="str">
        <f t="shared" si="13"/>
        <v>August</v>
      </c>
      <c r="D111" s="13" t="str">
        <f t="shared" si="14"/>
        <v>MON</v>
      </c>
      <c r="E111" s="24">
        <v>1184</v>
      </c>
      <c r="F111" s="24">
        <v>232.94</v>
      </c>
      <c r="G111" s="24">
        <v>10</v>
      </c>
      <c r="H111" s="24">
        <f t="shared" si="15"/>
        <v>47.36</v>
      </c>
      <c r="I111" s="24">
        <f t="shared" si="16"/>
        <v>3.9133919999999995</v>
      </c>
      <c r="J111" s="24">
        <v>0</v>
      </c>
      <c r="K111" s="24">
        <f t="shared" si="17"/>
        <v>181.666608</v>
      </c>
      <c r="L111" s="25">
        <v>4</v>
      </c>
      <c r="M111" s="25">
        <v>37</v>
      </c>
      <c r="N111" s="26">
        <f t="shared" si="18"/>
        <v>4.6166666666666663</v>
      </c>
      <c r="O111" s="24">
        <f t="shared" si="19"/>
        <v>9.833499999999999</v>
      </c>
      <c r="P111" s="24">
        <f t="shared" si="20"/>
        <v>191.50010799999998</v>
      </c>
      <c r="Q111" s="29">
        <f t="shared" si="21"/>
        <v>201.50010799999998</v>
      </c>
      <c r="R111" s="30">
        <f>COUNTIF(RAW_DATA[[#This Row],[CONVERTED]],"&gt;0")</f>
        <v>1</v>
      </c>
      <c r="S111" s="30">
        <f>COUNTIFS(RAW_DATA[[#This Row],[AM/PM]],"AM",RAW_DATA[[#This Row],[CONVERTED]],"&gt;0")</f>
        <v>0</v>
      </c>
      <c r="T111" s="19">
        <f t="shared" si="24"/>
        <v>1</v>
      </c>
      <c r="U111" s="20" t="str">
        <f t="shared" si="22"/>
        <v>DOUBLE</v>
      </c>
    </row>
    <row r="112" spans="1:21" x14ac:dyDescent="0.35">
      <c r="A112" s="21">
        <f t="shared" si="25"/>
        <v>45146</v>
      </c>
      <c r="B112" s="22" t="str">
        <f t="shared" si="23"/>
        <v>AM</v>
      </c>
      <c r="C112" s="23" t="str">
        <f t="shared" si="13"/>
        <v>August</v>
      </c>
      <c r="D112" s="13" t="str">
        <f t="shared" si="14"/>
        <v>TUE</v>
      </c>
      <c r="E112" s="24">
        <v>697</v>
      </c>
      <c r="F112" s="24">
        <v>147.28</v>
      </c>
      <c r="G112" s="24">
        <v>0</v>
      </c>
      <c r="H112" s="24">
        <f t="shared" si="15"/>
        <v>27.88</v>
      </c>
      <c r="I112" s="24">
        <f t="shared" si="16"/>
        <v>2.4743040000000001</v>
      </c>
      <c r="J112" s="24">
        <v>0</v>
      </c>
      <c r="K112" s="24">
        <f t="shared" si="17"/>
        <v>116.925696</v>
      </c>
      <c r="L112" s="25">
        <v>3</v>
      </c>
      <c r="M112" s="25">
        <v>52</v>
      </c>
      <c r="N112" s="26">
        <f t="shared" si="18"/>
        <v>3.8666666666666667</v>
      </c>
      <c r="O112" s="24">
        <f t="shared" si="19"/>
        <v>8.2359999999999989</v>
      </c>
      <c r="P112" s="24">
        <f t="shared" si="20"/>
        <v>125.16169600000001</v>
      </c>
      <c r="Q112" s="29">
        <f t="shared" si="21"/>
        <v>125.16169600000001</v>
      </c>
      <c r="R112" s="30">
        <f>COUNTIF(RAW_DATA[[#This Row],[CONVERTED]],"&gt;0")</f>
        <v>1</v>
      </c>
      <c r="S112" s="30">
        <f>COUNTIFS(RAW_DATA[[#This Row],[AM/PM]],"AM",RAW_DATA[[#This Row],[CONVERTED]],"&gt;0")</f>
        <v>1</v>
      </c>
      <c r="T112" s="19">
        <f t="shared" si="24"/>
        <v>0</v>
      </c>
      <c r="U112" s="20" t="str">
        <f t="shared" si="22"/>
        <v>SINGLE</v>
      </c>
    </row>
    <row r="113" spans="1:21" x14ac:dyDescent="0.35">
      <c r="A113" s="21">
        <f t="shared" si="25"/>
        <v>45146</v>
      </c>
      <c r="B113" s="22" t="str">
        <f t="shared" si="23"/>
        <v>PM</v>
      </c>
      <c r="C113" s="23" t="str">
        <f t="shared" si="13"/>
        <v>August</v>
      </c>
      <c r="D113" s="13" t="str">
        <f t="shared" si="14"/>
        <v>TUE</v>
      </c>
      <c r="E113" s="24">
        <v>0</v>
      </c>
      <c r="F113" s="24">
        <v>0</v>
      </c>
      <c r="G113" s="24">
        <v>0</v>
      </c>
      <c r="H113" s="24">
        <f t="shared" si="15"/>
        <v>0</v>
      </c>
      <c r="I113" s="24">
        <f t="shared" si="16"/>
        <v>0</v>
      </c>
      <c r="J113" s="24">
        <v>0</v>
      </c>
      <c r="K113" s="24">
        <f t="shared" si="17"/>
        <v>0</v>
      </c>
      <c r="L113" s="25">
        <v>0</v>
      </c>
      <c r="M113" s="25">
        <v>0</v>
      </c>
      <c r="N113" s="26">
        <f t="shared" si="18"/>
        <v>0</v>
      </c>
      <c r="O113" s="24">
        <f t="shared" si="19"/>
        <v>0</v>
      </c>
      <c r="P113" s="24">
        <f t="shared" si="20"/>
        <v>0</v>
      </c>
      <c r="Q113" s="29">
        <f t="shared" si="21"/>
        <v>0</v>
      </c>
      <c r="R113" s="30">
        <f>COUNTIF(RAW_DATA[[#This Row],[CONVERTED]],"&gt;0")</f>
        <v>0</v>
      </c>
      <c r="S113" s="30">
        <f>COUNTIFS(RAW_DATA[[#This Row],[AM/PM]],"AM",RAW_DATA[[#This Row],[CONVERTED]],"&gt;0")</f>
        <v>0</v>
      </c>
      <c r="T113" s="19">
        <f t="shared" si="24"/>
        <v>0</v>
      </c>
      <c r="U113" s="20" t="str">
        <f t="shared" si="22"/>
        <v>SINGLE</v>
      </c>
    </row>
    <row r="114" spans="1:21" x14ac:dyDescent="0.35">
      <c r="A114" s="21">
        <f t="shared" si="25"/>
        <v>45147</v>
      </c>
      <c r="B114" s="22" t="str">
        <f t="shared" si="23"/>
        <v>AM</v>
      </c>
      <c r="C114" s="23" t="str">
        <f t="shared" si="13"/>
        <v>August</v>
      </c>
      <c r="D114" s="13" t="str">
        <f t="shared" si="14"/>
        <v>WED</v>
      </c>
      <c r="E114" s="24">
        <v>0</v>
      </c>
      <c r="F114" s="24">
        <v>0</v>
      </c>
      <c r="G114" s="24">
        <v>0</v>
      </c>
      <c r="H114" s="24">
        <f t="shared" si="15"/>
        <v>0</v>
      </c>
      <c r="I114" s="24">
        <f t="shared" si="16"/>
        <v>0</v>
      </c>
      <c r="J114" s="24">
        <v>0</v>
      </c>
      <c r="K114" s="24">
        <f t="shared" si="17"/>
        <v>0</v>
      </c>
      <c r="L114" s="25">
        <v>0</v>
      </c>
      <c r="M114" s="25">
        <v>0</v>
      </c>
      <c r="N114" s="26">
        <f t="shared" si="18"/>
        <v>0</v>
      </c>
      <c r="O114" s="27">
        <f t="shared" si="19"/>
        <v>0</v>
      </c>
      <c r="P114" s="27">
        <f t="shared" si="20"/>
        <v>0</v>
      </c>
      <c r="Q114" s="28">
        <f t="shared" si="21"/>
        <v>0</v>
      </c>
      <c r="R114" s="19">
        <f>COUNTIF(RAW_DATA[[#This Row],[CONVERTED]],"&gt;0")</f>
        <v>0</v>
      </c>
      <c r="S114" s="30">
        <f>COUNTIFS(RAW_DATA[[#This Row],[AM/PM]],"AM",RAW_DATA[[#This Row],[CONVERTED]],"&gt;0")</f>
        <v>0</v>
      </c>
      <c r="T114" s="19">
        <f t="shared" si="24"/>
        <v>0</v>
      </c>
      <c r="U114" s="20" t="str">
        <f t="shared" si="22"/>
        <v>SINGLE</v>
      </c>
    </row>
    <row r="115" spans="1:21" x14ac:dyDescent="0.35">
      <c r="A115" s="21">
        <f t="shared" si="25"/>
        <v>45147</v>
      </c>
      <c r="B115" s="22" t="str">
        <f t="shared" si="23"/>
        <v>PM</v>
      </c>
      <c r="C115" s="23" t="str">
        <f t="shared" si="13"/>
        <v>August</v>
      </c>
      <c r="D115" s="13" t="str">
        <f t="shared" si="14"/>
        <v>WED</v>
      </c>
      <c r="E115" s="24">
        <v>1060.27</v>
      </c>
      <c r="F115" s="24">
        <v>165.53</v>
      </c>
      <c r="G115" s="24">
        <v>0</v>
      </c>
      <c r="H115" s="24">
        <f t="shared" si="15"/>
        <v>42.410800000000002</v>
      </c>
      <c r="I115" s="24">
        <f t="shared" si="16"/>
        <v>2.780904</v>
      </c>
      <c r="J115" s="24">
        <v>0</v>
      </c>
      <c r="K115" s="24">
        <f t="shared" si="17"/>
        <v>120.338296</v>
      </c>
      <c r="L115" s="25">
        <v>5</v>
      </c>
      <c r="M115" s="25">
        <v>54</v>
      </c>
      <c r="N115" s="26">
        <f t="shared" si="18"/>
        <v>5.9</v>
      </c>
      <c r="O115" s="24">
        <f t="shared" si="19"/>
        <v>12.567</v>
      </c>
      <c r="P115" s="24">
        <f t="shared" si="20"/>
        <v>132.90529599999999</v>
      </c>
      <c r="Q115" s="29">
        <f t="shared" si="21"/>
        <v>132.90529599999999</v>
      </c>
      <c r="R115" s="30">
        <f>COUNTIF(RAW_DATA[[#This Row],[CONVERTED]],"&gt;0")</f>
        <v>1</v>
      </c>
      <c r="S115" s="30">
        <f>COUNTIFS(RAW_DATA[[#This Row],[AM/PM]],"AM",RAW_DATA[[#This Row],[CONVERTED]],"&gt;0")</f>
        <v>0</v>
      </c>
      <c r="T115" s="19">
        <f t="shared" si="24"/>
        <v>0</v>
      </c>
      <c r="U115" s="20" t="str">
        <f t="shared" si="22"/>
        <v>SINGLE</v>
      </c>
    </row>
    <row r="116" spans="1:21" x14ac:dyDescent="0.35">
      <c r="A116" s="21">
        <f t="shared" si="25"/>
        <v>45148</v>
      </c>
      <c r="B116" s="22" t="str">
        <f t="shared" si="23"/>
        <v>AM</v>
      </c>
      <c r="C116" s="23" t="str">
        <f t="shared" si="13"/>
        <v>August</v>
      </c>
      <c r="D116" s="13" t="str">
        <f t="shared" si="14"/>
        <v>THU</v>
      </c>
      <c r="E116" s="24">
        <v>0</v>
      </c>
      <c r="F116" s="24">
        <v>0</v>
      </c>
      <c r="G116" s="24">
        <v>0</v>
      </c>
      <c r="H116" s="24">
        <f t="shared" si="15"/>
        <v>0</v>
      </c>
      <c r="I116" s="24">
        <f t="shared" si="16"/>
        <v>0</v>
      </c>
      <c r="J116" s="24">
        <v>0</v>
      </c>
      <c r="K116" s="24">
        <f t="shared" si="17"/>
        <v>0</v>
      </c>
      <c r="L116" s="25">
        <v>0</v>
      </c>
      <c r="M116" s="25">
        <v>0</v>
      </c>
      <c r="N116" s="26">
        <f t="shared" si="18"/>
        <v>0</v>
      </c>
      <c r="O116" s="24">
        <f t="shared" si="19"/>
        <v>0</v>
      </c>
      <c r="P116" s="24">
        <f t="shared" si="20"/>
        <v>0</v>
      </c>
      <c r="Q116" s="29">
        <f t="shared" si="21"/>
        <v>0</v>
      </c>
      <c r="R116" s="30">
        <f>COUNTIF(RAW_DATA[[#This Row],[CONVERTED]],"&gt;0")</f>
        <v>0</v>
      </c>
      <c r="S116" s="30">
        <f>COUNTIFS(RAW_DATA[[#This Row],[AM/PM]],"AM",RAW_DATA[[#This Row],[CONVERTED]],"&gt;0")</f>
        <v>0</v>
      </c>
      <c r="T116" s="19">
        <f t="shared" si="24"/>
        <v>0</v>
      </c>
      <c r="U116" s="20" t="str">
        <f t="shared" si="22"/>
        <v>SINGLE</v>
      </c>
    </row>
    <row r="117" spans="1:21" x14ac:dyDescent="0.35">
      <c r="A117" s="21">
        <f t="shared" si="25"/>
        <v>45148</v>
      </c>
      <c r="B117" s="22" t="str">
        <f t="shared" si="23"/>
        <v>PM</v>
      </c>
      <c r="C117" s="23" t="str">
        <f t="shared" si="13"/>
        <v>August</v>
      </c>
      <c r="D117" s="13" t="str">
        <f t="shared" si="14"/>
        <v>THU</v>
      </c>
      <c r="E117" s="24">
        <v>0</v>
      </c>
      <c r="F117" s="24">
        <v>0</v>
      </c>
      <c r="G117" s="24">
        <v>0</v>
      </c>
      <c r="H117" s="24">
        <f t="shared" si="15"/>
        <v>0</v>
      </c>
      <c r="I117" s="24">
        <f t="shared" si="16"/>
        <v>0</v>
      </c>
      <c r="J117" s="24">
        <v>0</v>
      </c>
      <c r="K117" s="24">
        <f t="shared" si="17"/>
        <v>0</v>
      </c>
      <c r="L117" s="25">
        <v>0</v>
      </c>
      <c r="M117" s="25">
        <v>0</v>
      </c>
      <c r="N117" s="26">
        <f t="shared" si="18"/>
        <v>0</v>
      </c>
      <c r="O117" s="24">
        <f t="shared" si="19"/>
        <v>0</v>
      </c>
      <c r="P117" s="24">
        <f t="shared" si="20"/>
        <v>0</v>
      </c>
      <c r="Q117" s="29">
        <f t="shared" si="21"/>
        <v>0</v>
      </c>
      <c r="R117" s="30">
        <f>COUNTIF(RAW_DATA[[#This Row],[CONVERTED]],"&gt;0")</f>
        <v>0</v>
      </c>
      <c r="S117" s="30">
        <f>COUNTIFS(RAW_DATA[[#This Row],[AM/PM]],"AM",RAW_DATA[[#This Row],[CONVERTED]],"&gt;0")</f>
        <v>0</v>
      </c>
      <c r="T117" s="19">
        <f t="shared" si="24"/>
        <v>0</v>
      </c>
      <c r="U117" s="20" t="str">
        <f t="shared" si="22"/>
        <v>SINGLE</v>
      </c>
    </row>
    <row r="118" spans="1:21" x14ac:dyDescent="0.35">
      <c r="A118" s="21">
        <f t="shared" si="25"/>
        <v>45149</v>
      </c>
      <c r="B118" s="22" t="str">
        <f t="shared" si="23"/>
        <v>AM</v>
      </c>
      <c r="C118" s="23" t="str">
        <f t="shared" si="13"/>
        <v>August</v>
      </c>
      <c r="D118" s="13" t="str">
        <f t="shared" si="14"/>
        <v>FRI</v>
      </c>
      <c r="E118" s="24">
        <v>0</v>
      </c>
      <c r="F118" s="24">
        <v>0</v>
      </c>
      <c r="G118" s="24">
        <v>0</v>
      </c>
      <c r="H118" s="24">
        <f t="shared" si="15"/>
        <v>0</v>
      </c>
      <c r="I118" s="24">
        <f t="shared" si="16"/>
        <v>0</v>
      </c>
      <c r="J118" s="24">
        <v>0</v>
      </c>
      <c r="K118" s="24">
        <f t="shared" si="17"/>
        <v>0</v>
      </c>
      <c r="L118" s="25">
        <v>0</v>
      </c>
      <c r="M118" s="25">
        <v>0</v>
      </c>
      <c r="N118" s="26">
        <f t="shared" si="18"/>
        <v>0</v>
      </c>
      <c r="O118" s="24">
        <f t="shared" si="19"/>
        <v>0</v>
      </c>
      <c r="P118" s="24">
        <f t="shared" si="20"/>
        <v>0</v>
      </c>
      <c r="Q118" s="29">
        <f t="shared" si="21"/>
        <v>0</v>
      </c>
      <c r="R118" s="30">
        <f>COUNTIF(RAW_DATA[[#This Row],[CONVERTED]],"&gt;0")</f>
        <v>0</v>
      </c>
      <c r="S118" s="30">
        <f>COUNTIFS(RAW_DATA[[#This Row],[AM/PM]],"AM",RAW_DATA[[#This Row],[CONVERTED]],"&gt;0")</f>
        <v>0</v>
      </c>
      <c r="T118" s="19">
        <f t="shared" si="24"/>
        <v>0</v>
      </c>
      <c r="U118" s="20" t="str">
        <f t="shared" si="22"/>
        <v>SINGLE</v>
      </c>
    </row>
    <row r="119" spans="1:21" x14ac:dyDescent="0.35">
      <c r="A119" s="21">
        <f t="shared" si="25"/>
        <v>45149</v>
      </c>
      <c r="B119" s="22" t="str">
        <f t="shared" si="23"/>
        <v>PM</v>
      </c>
      <c r="C119" s="23" t="str">
        <f t="shared" si="13"/>
        <v>August</v>
      </c>
      <c r="D119" s="13" t="str">
        <f t="shared" si="14"/>
        <v>FRI</v>
      </c>
      <c r="E119" s="24">
        <v>1187</v>
      </c>
      <c r="F119" s="24">
        <v>209.3</v>
      </c>
      <c r="G119" s="24">
        <v>12</v>
      </c>
      <c r="H119" s="24">
        <f t="shared" si="15"/>
        <v>47.480000000000004</v>
      </c>
      <c r="I119" s="24">
        <f t="shared" si="16"/>
        <v>3.5162399999999998</v>
      </c>
      <c r="J119" s="24">
        <v>4.5</v>
      </c>
      <c r="K119" s="24">
        <f t="shared" si="17"/>
        <v>158.30376000000001</v>
      </c>
      <c r="L119" s="25">
        <v>7</v>
      </c>
      <c r="M119" s="25">
        <v>9</v>
      </c>
      <c r="N119" s="26">
        <f t="shared" si="18"/>
        <v>7.15</v>
      </c>
      <c r="O119" s="24">
        <f t="shared" si="19"/>
        <v>15.2295</v>
      </c>
      <c r="P119" s="24">
        <f t="shared" si="20"/>
        <v>178.03326000000001</v>
      </c>
      <c r="Q119" s="29">
        <f t="shared" si="21"/>
        <v>185.53326000000001</v>
      </c>
      <c r="R119" s="30">
        <f>COUNTIF(RAW_DATA[[#This Row],[CONVERTED]],"&gt;0")</f>
        <v>1</v>
      </c>
      <c r="S119" s="30">
        <f>COUNTIFS(RAW_DATA[[#This Row],[AM/PM]],"AM",RAW_DATA[[#This Row],[CONVERTED]],"&gt;0")</f>
        <v>0</v>
      </c>
      <c r="T119" s="19">
        <f t="shared" si="24"/>
        <v>0</v>
      </c>
      <c r="U119" s="20" t="str">
        <f t="shared" si="22"/>
        <v>SINGLE</v>
      </c>
    </row>
    <row r="120" spans="1:21" x14ac:dyDescent="0.35">
      <c r="A120" s="21">
        <f t="shared" si="25"/>
        <v>45150</v>
      </c>
      <c r="B120" s="22" t="str">
        <f t="shared" si="23"/>
        <v>AM</v>
      </c>
      <c r="C120" s="23" t="str">
        <f t="shared" si="13"/>
        <v>August</v>
      </c>
      <c r="D120" s="13" t="str">
        <f t="shared" si="14"/>
        <v>SAT</v>
      </c>
      <c r="E120" s="24">
        <v>0</v>
      </c>
      <c r="F120" s="24">
        <v>0</v>
      </c>
      <c r="G120" s="24">
        <v>0</v>
      </c>
      <c r="H120" s="24">
        <f t="shared" si="15"/>
        <v>0</v>
      </c>
      <c r="I120" s="24">
        <f t="shared" si="16"/>
        <v>0</v>
      </c>
      <c r="J120" s="24">
        <v>0</v>
      </c>
      <c r="K120" s="24">
        <f t="shared" si="17"/>
        <v>0</v>
      </c>
      <c r="L120" s="25">
        <v>0</v>
      </c>
      <c r="M120" s="25">
        <v>0</v>
      </c>
      <c r="N120" s="26">
        <f t="shared" si="18"/>
        <v>0</v>
      </c>
      <c r="O120" s="24">
        <f t="shared" si="19"/>
        <v>0</v>
      </c>
      <c r="P120" s="24">
        <f t="shared" si="20"/>
        <v>0</v>
      </c>
      <c r="Q120" s="29">
        <f t="shared" si="21"/>
        <v>0</v>
      </c>
      <c r="R120" s="30">
        <f>COUNTIF(RAW_DATA[[#This Row],[CONVERTED]],"&gt;0")</f>
        <v>0</v>
      </c>
      <c r="S120" s="30">
        <f>COUNTIFS(RAW_DATA[[#This Row],[AM/PM]],"AM",RAW_DATA[[#This Row],[CONVERTED]],"&gt;0")</f>
        <v>0</v>
      </c>
      <c r="T120" s="19">
        <f t="shared" si="24"/>
        <v>0</v>
      </c>
      <c r="U120" s="20" t="str">
        <f t="shared" si="22"/>
        <v>SINGLE</v>
      </c>
    </row>
    <row r="121" spans="1:21" x14ac:dyDescent="0.35">
      <c r="A121" s="21">
        <f t="shared" si="25"/>
        <v>45150</v>
      </c>
      <c r="B121" s="22" t="str">
        <f t="shared" si="23"/>
        <v>PM</v>
      </c>
      <c r="C121" s="23" t="str">
        <f t="shared" si="13"/>
        <v>August</v>
      </c>
      <c r="D121" s="13" t="str">
        <f t="shared" si="14"/>
        <v>SAT</v>
      </c>
      <c r="E121" s="24">
        <v>1928</v>
      </c>
      <c r="F121" s="24">
        <v>325.64</v>
      </c>
      <c r="G121" s="24">
        <v>49</v>
      </c>
      <c r="H121" s="24">
        <f t="shared" si="15"/>
        <v>77.12</v>
      </c>
      <c r="I121" s="24">
        <f t="shared" si="16"/>
        <v>5.4707519999999992</v>
      </c>
      <c r="J121" s="24">
        <v>7.7</v>
      </c>
      <c r="K121" s="24">
        <f t="shared" si="17"/>
        <v>243.04924799999998</v>
      </c>
      <c r="L121" s="25">
        <v>7</v>
      </c>
      <c r="M121" s="25">
        <v>35</v>
      </c>
      <c r="N121" s="26">
        <f t="shared" si="18"/>
        <v>7.583333333333333</v>
      </c>
      <c r="O121" s="24">
        <f t="shared" si="19"/>
        <v>16.1525</v>
      </c>
      <c r="P121" s="24">
        <f t="shared" si="20"/>
        <v>266.90174799999994</v>
      </c>
      <c r="Q121" s="29">
        <f t="shared" si="21"/>
        <v>308.20174799999995</v>
      </c>
      <c r="R121" s="30">
        <f>COUNTIF(RAW_DATA[[#This Row],[CONVERTED]],"&gt;0")</f>
        <v>1</v>
      </c>
      <c r="S121" s="30">
        <f>COUNTIFS(RAW_DATA[[#This Row],[AM/PM]],"AM",RAW_DATA[[#This Row],[CONVERTED]],"&gt;0")</f>
        <v>0</v>
      </c>
      <c r="T121" s="19">
        <f t="shared" si="24"/>
        <v>0</v>
      </c>
      <c r="U121" s="20" t="str">
        <f t="shared" si="22"/>
        <v>SINGLE</v>
      </c>
    </row>
    <row r="122" spans="1:21" x14ac:dyDescent="0.35">
      <c r="A122" s="21">
        <f t="shared" si="25"/>
        <v>45151</v>
      </c>
      <c r="B122" s="22" t="str">
        <f t="shared" si="23"/>
        <v>AM</v>
      </c>
      <c r="C122" s="23" t="str">
        <f t="shared" si="13"/>
        <v>August</v>
      </c>
      <c r="D122" s="13" t="str">
        <f t="shared" si="14"/>
        <v>SUN</v>
      </c>
      <c r="E122" s="24">
        <v>0</v>
      </c>
      <c r="F122" s="24">
        <v>0</v>
      </c>
      <c r="G122" s="24">
        <v>0</v>
      </c>
      <c r="H122" s="24">
        <f t="shared" si="15"/>
        <v>0</v>
      </c>
      <c r="I122" s="24">
        <f t="shared" si="16"/>
        <v>0</v>
      </c>
      <c r="J122" s="24">
        <v>0</v>
      </c>
      <c r="K122" s="24">
        <f t="shared" si="17"/>
        <v>0</v>
      </c>
      <c r="L122" s="25">
        <v>0</v>
      </c>
      <c r="M122" s="25">
        <v>0</v>
      </c>
      <c r="N122" s="26">
        <f t="shared" si="18"/>
        <v>0</v>
      </c>
      <c r="O122" s="24">
        <f t="shared" si="19"/>
        <v>0</v>
      </c>
      <c r="P122" s="24">
        <f t="shared" si="20"/>
        <v>0</v>
      </c>
      <c r="Q122" s="29">
        <f t="shared" si="21"/>
        <v>0</v>
      </c>
      <c r="R122" s="30">
        <f>COUNTIF(RAW_DATA[[#This Row],[CONVERTED]],"&gt;0")</f>
        <v>0</v>
      </c>
      <c r="S122" s="30">
        <f>COUNTIFS(RAW_DATA[[#This Row],[AM/PM]],"AM",RAW_DATA[[#This Row],[CONVERTED]],"&gt;0")</f>
        <v>0</v>
      </c>
      <c r="T122" s="19">
        <f t="shared" si="24"/>
        <v>0</v>
      </c>
      <c r="U122" s="20" t="str">
        <f t="shared" si="22"/>
        <v>SINGLE</v>
      </c>
    </row>
    <row r="123" spans="1:21" x14ac:dyDescent="0.35">
      <c r="A123" s="21">
        <f t="shared" si="25"/>
        <v>45151</v>
      </c>
      <c r="B123" s="22" t="str">
        <f t="shared" si="23"/>
        <v>PM</v>
      </c>
      <c r="C123" s="23" t="str">
        <f t="shared" si="13"/>
        <v>August</v>
      </c>
      <c r="D123" s="13" t="str">
        <f t="shared" si="14"/>
        <v>SUN</v>
      </c>
      <c r="E123" s="24">
        <v>0</v>
      </c>
      <c r="F123" s="24">
        <v>0</v>
      </c>
      <c r="G123" s="24">
        <v>0</v>
      </c>
      <c r="H123" s="24">
        <f t="shared" si="15"/>
        <v>0</v>
      </c>
      <c r="I123" s="24">
        <f t="shared" si="16"/>
        <v>0</v>
      </c>
      <c r="J123" s="24">
        <v>0</v>
      </c>
      <c r="K123" s="24">
        <f t="shared" si="17"/>
        <v>0</v>
      </c>
      <c r="L123" s="25">
        <v>0</v>
      </c>
      <c r="M123" s="25">
        <v>0</v>
      </c>
      <c r="N123" s="26">
        <f t="shared" si="18"/>
        <v>0</v>
      </c>
      <c r="O123" s="24">
        <f t="shared" si="19"/>
        <v>0</v>
      </c>
      <c r="P123" s="24">
        <f t="shared" si="20"/>
        <v>0</v>
      </c>
      <c r="Q123" s="29">
        <f t="shared" si="21"/>
        <v>0</v>
      </c>
      <c r="R123" s="30">
        <f>COUNTIF(RAW_DATA[[#This Row],[CONVERTED]],"&gt;0")</f>
        <v>0</v>
      </c>
      <c r="S123" s="30">
        <f>COUNTIFS(RAW_DATA[[#This Row],[AM/PM]],"AM",RAW_DATA[[#This Row],[CONVERTED]],"&gt;0")</f>
        <v>0</v>
      </c>
      <c r="T123" s="19">
        <f t="shared" si="24"/>
        <v>0</v>
      </c>
      <c r="U123" s="20" t="str">
        <f t="shared" si="22"/>
        <v>SINGLE</v>
      </c>
    </row>
    <row r="124" spans="1:21" x14ac:dyDescent="0.35">
      <c r="A124" s="21">
        <f t="shared" si="25"/>
        <v>45152</v>
      </c>
      <c r="B124" s="22" t="str">
        <f t="shared" si="23"/>
        <v>AM</v>
      </c>
      <c r="C124" s="23" t="str">
        <f t="shared" si="13"/>
        <v>August</v>
      </c>
      <c r="D124" s="13" t="str">
        <f t="shared" si="14"/>
        <v>MON</v>
      </c>
      <c r="E124" s="24">
        <v>646.5</v>
      </c>
      <c r="F124" s="24">
        <v>97.06</v>
      </c>
      <c r="G124" s="24">
        <v>40</v>
      </c>
      <c r="H124" s="24">
        <f t="shared" si="15"/>
        <v>25.86</v>
      </c>
      <c r="I124" s="24">
        <f t="shared" si="16"/>
        <v>1.6306079999999998</v>
      </c>
      <c r="J124" s="24">
        <v>18</v>
      </c>
      <c r="K124" s="24">
        <f t="shared" si="17"/>
        <v>69.569392000000008</v>
      </c>
      <c r="L124" s="25">
        <v>5</v>
      </c>
      <c r="M124" s="25">
        <v>23</v>
      </c>
      <c r="N124" s="26">
        <f t="shared" si="18"/>
        <v>5.3833333333333337</v>
      </c>
      <c r="O124" s="24">
        <f t="shared" si="19"/>
        <v>11.4665</v>
      </c>
      <c r="P124" s="24">
        <f t="shared" si="20"/>
        <v>99.035892000000004</v>
      </c>
      <c r="Q124" s="29">
        <f t="shared" si="21"/>
        <v>121.035892</v>
      </c>
      <c r="R124" s="30">
        <f>COUNTIF(RAW_DATA[[#This Row],[CONVERTED]],"&gt;0")</f>
        <v>1</v>
      </c>
      <c r="S124" s="30">
        <f>COUNTIFS(RAW_DATA[[#This Row],[AM/PM]],"AM",RAW_DATA[[#This Row],[CONVERTED]],"&gt;0")</f>
        <v>1</v>
      </c>
      <c r="T124" s="19">
        <f t="shared" si="24"/>
        <v>0</v>
      </c>
      <c r="U124" s="20" t="str">
        <f t="shared" si="22"/>
        <v>SINGLE</v>
      </c>
    </row>
    <row r="125" spans="1:21" x14ac:dyDescent="0.35">
      <c r="A125" s="21">
        <f t="shared" si="25"/>
        <v>45152</v>
      </c>
      <c r="B125" s="22" t="str">
        <f t="shared" si="23"/>
        <v>PM</v>
      </c>
      <c r="C125" s="23" t="str">
        <f t="shared" si="13"/>
        <v>August</v>
      </c>
      <c r="D125" s="13" t="str">
        <f t="shared" si="14"/>
        <v>MON</v>
      </c>
      <c r="E125" s="24">
        <v>0</v>
      </c>
      <c r="F125" s="24">
        <v>0</v>
      </c>
      <c r="G125" s="24">
        <v>0</v>
      </c>
      <c r="H125" s="24">
        <f t="shared" si="15"/>
        <v>0</v>
      </c>
      <c r="I125" s="24">
        <f t="shared" si="16"/>
        <v>0</v>
      </c>
      <c r="J125" s="24">
        <v>0</v>
      </c>
      <c r="K125" s="24">
        <f t="shared" si="17"/>
        <v>0</v>
      </c>
      <c r="L125" s="25">
        <v>0</v>
      </c>
      <c r="M125" s="25">
        <v>0</v>
      </c>
      <c r="N125" s="26">
        <f t="shared" si="18"/>
        <v>0</v>
      </c>
      <c r="O125" s="24">
        <f t="shared" si="19"/>
        <v>0</v>
      </c>
      <c r="P125" s="24">
        <f t="shared" si="20"/>
        <v>0</v>
      </c>
      <c r="Q125" s="29">
        <f t="shared" si="21"/>
        <v>0</v>
      </c>
      <c r="R125" s="30">
        <f>COUNTIF(RAW_DATA[[#This Row],[CONVERTED]],"&gt;0")</f>
        <v>0</v>
      </c>
      <c r="S125" s="30">
        <f>COUNTIFS(RAW_DATA[[#This Row],[AM/PM]],"AM",RAW_DATA[[#This Row],[CONVERTED]],"&gt;0")</f>
        <v>0</v>
      </c>
      <c r="T125" s="19">
        <f t="shared" si="24"/>
        <v>0</v>
      </c>
      <c r="U125" s="20" t="str">
        <f t="shared" si="22"/>
        <v>SINGLE</v>
      </c>
    </row>
    <row r="126" spans="1:21" x14ac:dyDescent="0.35">
      <c r="A126" s="21">
        <f t="shared" si="25"/>
        <v>45153</v>
      </c>
      <c r="B126" s="22" t="str">
        <f t="shared" si="23"/>
        <v>AM</v>
      </c>
      <c r="C126" s="23" t="str">
        <f t="shared" si="13"/>
        <v>August</v>
      </c>
      <c r="D126" s="13" t="str">
        <f t="shared" si="14"/>
        <v>TUE</v>
      </c>
      <c r="E126" s="24">
        <v>369</v>
      </c>
      <c r="F126" s="24">
        <v>35.29</v>
      </c>
      <c r="G126" s="24">
        <v>25</v>
      </c>
      <c r="H126" s="24">
        <f t="shared" si="15"/>
        <v>14.76</v>
      </c>
      <c r="I126" s="24">
        <f t="shared" si="16"/>
        <v>0.59287199999999995</v>
      </c>
      <c r="J126" s="24">
        <v>4.5</v>
      </c>
      <c r="K126" s="24">
        <f t="shared" si="17"/>
        <v>19.937128000000001</v>
      </c>
      <c r="L126" s="25">
        <v>3</v>
      </c>
      <c r="M126" s="25">
        <v>19</v>
      </c>
      <c r="N126" s="26">
        <f t="shared" si="18"/>
        <v>3.3166666666666669</v>
      </c>
      <c r="O126" s="24">
        <f t="shared" si="19"/>
        <v>7.0644999999999998</v>
      </c>
      <c r="P126" s="24">
        <f t="shared" si="20"/>
        <v>31.501628</v>
      </c>
      <c r="Q126" s="29">
        <f t="shared" si="21"/>
        <v>52.001628000000004</v>
      </c>
      <c r="R126" s="30">
        <f>COUNTIF(RAW_DATA[[#This Row],[CONVERTED]],"&gt;0")</f>
        <v>1</v>
      </c>
      <c r="S126" s="30">
        <f>COUNTIFS(RAW_DATA[[#This Row],[AM/PM]],"AM",RAW_DATA[[#This Row],[CONVERTED]],"&gt;0")</f>
        <v>1</v>
      </c>
      <c r="T126" s="19">
        <f t="shared" si="24"/>
        <v>0</v>
      </c>
      <c r="U126" s="20" t="str">
        <f t="shared" si="22"/>
        <v>DOUBLE</v>
      </c>
    </row>
    <row r="127" spans="1:21" x14ac:dyDescent="0.35">
      <c r="A127" s="21">
        <f t="shared" si="25"/>
        <v>45153</v>
      </c>
      <c r="B127" s="22" t="str">
        <f t="shared" si="23"/>
        <v>PM</v>
      </c>
      <c r="C127" s="23" t="str">
        <f t="shared" si="13"/>
        <v>August</v>
      </c>
      <c r="D127" s="13" t="str">
        <f t="shared" si="14"/>
        <v>TUE</v>
      </c>
      <c r="E127" s="24">
        <v>652.5</v>
      </c>
      <c r="F127" s="24">
        <v>119.27</v>
      </c>
      <c r="G127" s="24">
        <v>0</v>
      </c>
      <c r="H127" s="24">
        <f t="shared" si="15"/>
        <v>26.1</v>
      </c>
      <c r="I127" s="24">
        <f t="shared" si="16"/>
        <v>2.003736</v>
      </c>
      <c r="J127" s="24">
        <v>0</v>
      </c>
      <c r="K127" s="24">
        <f t="shared" si="17"/>
        <v>91.166263999999998</v>
      </c>
      <c r="L127" s="25">
        <v>4</v>
      </c>
      <c r="M127" s="25">
        <v>17</v>
      </c>
      <c r="N127" s="26">
        <f t="shared" si="18"/>
        <v>4.2833333333333332</v>
      </c>
      <c r="O127" s="24">
        <f t="shared" si="19"/>
        <v>9.1234999999999999</v>
      </c>
      <c r="P127" s="24">
        <f t="shared" si="20"/>
        <v>100.28976399999999</v>
      </c>
      <c r="Q127" s="29">
        <f t="shared" si="21"/>
        <v>100.28976399999999</v>
      </c>
      <c r="R127" s="30">
        <f>COUNTIF(RAW_DATA[[#This Row],[CONVERTED]],"&gt;0")</f>
        <v>1</v>
      </c>
      <c r="S127" s="30">
        <f>COUNTIFS(RAW_DATA[[#This Row],[AM/PM]],"AM",RAW_DATA[[#This Row],[CONVERTED]],"&gt;0")</f>
        <v>0</v>
      </c>
      <c r="T127" s="19">
        <f t="shared" si="24"/>
        <v>1</v>
      </c>
      <c r="U127" s="20" t="str">
        <f t="shared" si="22"/>
        <v>DOUBLE</v>
      </c>
    </row>
    <row r="128" spans="1:21" x14ac:dyDescent="0.35">
      <c r="A128" s="21">
        <f t="shared" si="25"/>
        <v>45154</v>
      </c>
      <c r="B128" s="22" t="str">
        <f t="shared" si="23"/>
        <v>AM</v>
      </c>
      <c r="C128" s="23" t="str">
        <f t="shared" si="13"/>
        <v>August</v>
      </c>
      <c r="D128" s="13" t="str">
        <f t="shared" si="14"/>
        <v>WED</v>
      </c>
      <c r="E128" s="24">
        <v>728.5</v>
      </c>
      <c r="F128" s="24">
        <v>134.19</v>
      </c>
      <c r="G128" s="24">
        <v>23</v>
      </c>
      <c r="H128" s="24">
        <f t="shared" si="15"/>
        <v>29.14</v>
      </c>
      <c r="I128" s="24">
        <f t="shared" si="16"/>
        <v>2.2543919999999997</v>
      </c>
      <c r="J128" s="24">
        <v>7.3</v>
      </c>
      <c r="K128" s="24">
        <f t="shared" si="17"/>
        <v>102.795608</v>
      </c>
      <c r="L128" s="25">
        <v>3</v>
      </c>
      <c r="M128" s="25">
        <v>46</v>
      </c>
      <c r="N128" s="26">
        <f t="shared" si="18"/>
        <v>3.7666666666666666</v>
      </c>
      <c r="O128" s="27">
        <f t="shared" si="19"/>
        <v>8.0229999999999997</v>
      </c>
      <c r="P128" s="27">
        <f t="shared" si="20"/>
        <v>118.11860799999999</v>
      </c>
      <c r="Q128" s="28">
        <f t="shared" si="21"/>
        <v>133.81860800000001</v>
      </c>
      <c r="R128" s="19">
        <f>COUNTIF(RAW_DATA[[#This Row],[CONVERTED]],"&gt;0")</f>
        <v>1</v>
      </c>
      <c r="S128" s="30">
        <f>COUNTIFS(RAW_DATA[[#This Row],[AM/PM]],"AM",RAW_DATA[[#This Row],[CONVERTED]],"&gt;0")</f>
        <v>1</v>
      </c>
      <c r="T128" s="19">
        <f t="shared" si="24"/>
        <v>0</v>
      </c>
      <c r="U128" s="20" t="str">
        <f t="shared" si="22"/>
        <v>DOUBLE</v>
      </c>
    </row>
    <row r="129" spans="1:21" x14ac:dyDescent="0.35">
      <c r="A129" s="21">
        <f t="shared" si="25"/>
        <v>45154</v>
      </c>
      <c r="B129" s="22" t="str">
        <f t="shared" si="23"/>
        <v>PM</v>
      </c>
      <c r="C129" s="23" t="str">
        <f t="shared" si="13"/>
        <v>August</v>
      </c>
      <c r="D129" s="13" t="str">
        <f t="shared" si="14"/>
        <v>WED</v>
      </c>
      <c r="E129" s="24">
        <v>1652</v>
      </c>
      <c r="F129" s="24">
        <v>315.24</v>
      </c>
      <c r="G129" s="24">
        <v>36</v>
      </c>
      <c r="H129" s="24">
        <f t="shared" si="15"/>
        <v>66.08</v>
      </c>
      <c r="I129" s="24">
        <f t="shared" si="16"/>
        <v>5.2960319999999994</v>
      </c>
      <c r="J129" s="24">
        <v>13</v>
      </c>
      <c r="K129" s="24">
        <f t="shared" si="17"/>
        <v>243.863968</v>
      </c>
      <c r="L129" s="25">
        <v>5</v>
      </c>
      <c r="M129" s="25">
        <v>57</v>
      </c>
      <c r="N129" s="26">
        <f t="shared" si="18"/>
        <v>5.95</v>
      </c>
      <c r="O129" s="24">
        <f t="shared" si="19"/>
        <v>12.673499999999999</v>
      </c>
      <c r="P129" s="24">
        <f t="shared" si="20"/>
        <v>269.53746799999999</v>
      </c>
      <c r="Q129" s="29">
        <f t="shared" si="21"/>
        <v>292.53746799999999</v>
      </c>
      <c r="R129" s="30">
        <f>COUNTIF(RAW_DATA[[#This Row],[CONVERTED]],"&gt;0")</f>
        <v>1</v>
      </c>
      <c r="S129" s="30">
        <f>COUNTIFS(RAW_DATA[[#This Row],[AM/PM]],"AM",RAW_DATA[[#This Row],[CONVERTED]],"&gt;0")</f>
        <v>0</v>
      </c>
      <c r="T129" s="19">
        <f t="shared" si="24"/>
        <v>1</v>
      </c>
      <c r="U129" s="20" t="str">
        <f t="shared" si="22"/>
        <v>DOUBLE</v>
      </c>
    </row>
    <row r="130" spans="1:21" x14ac:dyDescent="0.35">
      <c r="A130" s="21">
        <f t="shared" si="25"/>
        <v>45155</v>
      </c>
      <c r="B130" s="22" t="str">
        <f t="shared" si="23"/>
        <v>AM</v>
      </c>
      <c r="C130" s="23" t="str">
        <f t="shared" ref="C130:C193" si="26">TEXT(A130,"mmmm")</f>
        <v>August</v>
      </c>
      <c r="D130" s="13" t="str">
        <f t="shared" ref="D130:D193" si="27">CHOOSE(WEEKDAY(A130),"SUN","MON","TUE","WED","THU","FRI","SAT")</f>
        <v>THU</v>
      </c>
      <c r="E130" s="24">
        <v>0</v>
      </c>
      <c r="F130" s="24">
        <v>0</v>
      </c>
      <c r="G130" s="24">
        <v>0</v>
      </c>
      <c r="H130" s="24">
        <f t="shared" ref="H130:H193" si="28">E130*0.04</f>
        <v>0</v>
      </c>
      <c r="I130" s="24">
        <f t="shared" ref="I130:I193" si="29">F130*0.0168</f>
        <v>0</v>
      </c>
      <c r="J130" s="24">
        <v>0</v>
      </c>
      <c r="K130" s="24">
        <f t="shared" ref="K130:K193" si="30">F130-(H130+I130)</f>
        <v>0</v>
      </c>
      <c r="L130" s="25">
        <v>0</v>
      </c>
      <c r="M130" s="25">
        <v>0</v>
      </c>
      <c r="N130" s="26">
        <f t="shared" ref="N130:N193" si="31">((L130*60)+M130)/60</f>
        <v>0</v>
      </c>
      <c r="O130" s="24">
        <f t="shared" ref="O130:O193" si="32">N130*2.13</f>
        <v>0</v>
      </c>
      <c r="P130" s="24">
        <f t="shared" ref="P130:P193" si="33">K130+J130+O130</f>
        <v>0</v>
      </c>
      <c r="Q130" s="29">
        <f t="shared" ref="Q130:Q193" si="34">G130+K130+O130</f>
        <v>0</v>
      </c>
      <c r="R130" s="30">
        <f>COUNTIF(RAW_DATA[[#This Row],[CONVERTED]],"&gt;0")</f>
        <v>0</v>
      </c>
      <c r="S130" s="30">
        <f>COUNTIFS(RAW_DATA[[#This Row],[AM/PM]],"AM",RAW_DATA[[#This Row],[CONVERTED]],"&gt;0")</f>
        <v>0</v>
      </c>
      <c r="T130" s="19">
        <f t="shared" si="24"/>
        <v>0</v>
      </c>
      <c r="U130" s="20" t="str">
        <f t="shared" ref="U130:U193" si="35">IF(AND(S130=1,T131=1,B130="AM"),"DOUBLE",IF(AND(S129=1,N130&gt;0),"DOUBLE","SINGLE"))</f>
        <v>SINGLE</v>
      </c>
    </row>
    <row r="131" spans="1:21" x14ac:dyDescent="0.35">
      <c r="A131" s="21">
        <f t="shared" si="25"/>
        <v>45155</v>
      </c>
      <c r="B131" s="22" t="str">
        <f t="shared" ref="B131:B194" si="36">IF(B130="AM","PM","AM")</f>
        <v>PM</v>
      </c>
      <c r="C131" s="23" t="str">
        <f t="shared" si="26"/>
        <v>August</v>
      </c>
      <c r="D131" s="13" t="str">
        <f t="shared" si="27"/>
        <v>THU</v>
      </c>
      <c r="E131" s="24">
        <v>0</v>
      </c>
      <c r="F131" s="24">
        <v>0</v>
      </c>
      <c r="G131" s="24">
        <v>0</v>
      </c>
      <c r="H131" s="24">
        <f t="shared" si="28"/>
        <v>0</v>
      </c>
      <c r="I131" s="24">
        <f t="shared" si="29"/>
        <v>0</v>
      </c>
      <c r="J131" s="24">
        <v>0</v>
      </c>
      <c r="K131" s="24">
        <f t="shared" si="30"/>
        <v>0</v>
      </c>
      <c r="L131" s="25">
        <v>0</v>
      </c>
      <c r="M131" s="25">
        <v>0</v>
      </c>
      <c r="N131" s="26">
        <f t="shared" si="31"/>
        <v>0</v>
      </c>
      <c r="O131" s="24">
        <f t="shared" si="32"/>
        <v>0</v>
      </c>
      <c r="P131" s="24">
        <f t="shared" si="33"/>
        <v>0</v>
      </c>
      <c r="Q131" s="29">
        <f t="shared" si="34"/>
        <v>0</v>
      </c>
      <c r="R131" s="30">
        <f>COUNTIF(RAW_DATA[[#This Row],[CONVERTED]],"&gt;0")</f>
        <v>0</v>
      </c>
      <c r="S131" s="30">
        <f>COUNTIFS(RAW_DATA[[#This Row],[AM/PM]],"AM",RAW_DATA[[#This Row],[CONVERTED]],"&gt;0")</f>
        <v>0</v>
      </c>
      <c r="T131" s="19">
        <f t="shared" ref="T131:T194" si="37">IF(AND($S130=1,$N131&gt;0),1,0)</f>
        <v>0</v>
      </c>
      <c r="U131" s="20" t="str">
        <f t="shared" si="35"/>
        <v>SINGLE</v>
      </c>
    </row>
    <row r="132" spans="1:21" x14ac:dyDescent="0.35">
      <c r="A132" s="21">
        <f t="shared" ref="A132:A195" si="38">IF(B131 = "AM",A131,A131+1)</f>
        <v>45156</v>
      </c>
      <c r="B132" s="22" t="str">
        <f t="shared" si="36"/>
        <v>AM</v>
      </c>
      <c r="C132" s="23" t="str">
        <f t="shared" si="26"/>
        <v>August</v>
      </c>
      <c r="D132" s="13" t="str">
        <f t="shared" si="27"/>
        <v>FRI</v>
      </c>
      <c r="E132" s="24">
        <v>0</v>
      </c>
      <c r="F132" s="24">
        <v>0</v>
      </c>
      <c r="G132" s="24">
        <v>0</v>
      </c>
      <c r="H132" s="24">
        <f t="shared" si="28"/>
        <v>0</v>
      </c>
      <c r="I132" s="24">
        <f t="shared" si="29"/>
        <v>0</v>
      </c>
      <c r="J132" s="24">
        <v>0</v>
      </c>
      <c r="K132" s="24">
        <f t="shared" si="30"/>
        <v>0</v>
      </c>
      <c r="L132" s="25">
        <v>0</v>
      </c>
      <c r="M132" s="25">
        <v>0</v>
      </c>
      <c r="N132" s="26">
        <f t="shared" si="31"/>
        <v>0</v>
      </c>
      <c r="O132" s="24">
        <f t="shared" si="32"/>
        <v>0</v>
      </c>
      <c r="P132" s="24">
        <f t="shared" si="33"/>
        <v>0</v>
      </c>
      <c r="Q132" s="29">
        <f t="shared" si="34"/>
        <v>0</v>
      </c>
      <c r="R132" s="30">
        <f>COUNTIF(RAW_DATA[[#This Row],[CONVERTED]],"&gt;0")</f>
        <v>0</v>
      </c>
      <c r="S132" s="30">
        <f>COUNTIFS(RAW_DATA[[#This Row],[AM/PM]],"AM",RAW_DATA[[#This Row],[CONVERTED]],"&gt;0")</f>
        <v>0</v>
      </c>
      <c r="T132" s="19">
        <f t="shared" si="37"/>
        <v>0</v>
      </c>
      <c r="U132" s="20" t="str">
        <f t="shared" si="35"/>
        <v>SINGLE</v>
      </c>
    </row>
    <row r="133" spans="1:21" x14ac:dyDescent="0.35">
      <c r="A133" s="21">
        <f t="shared" si="38"/>
        <v>45156</v>
      </c>
      <c r="B133" s="22" t="str">
        <f t="shared" si="36"/>
        <v>PM</v>
      </c>
      <c r="C133" s="23" t="str">
        <f t="shared" si="26"/>
        <v>August</v>
      </c>
      <c r="D133" s="13" t="str">
        <f t="shared" si="27"/>
        <v>FRI</v>
      </c>
      <c r="E133" s="24">
        <v>1152.5</v>
      </c>
      <c r="F133" s="24">
        <v>218.77</v>
      </c>
      <c r="G133" s="24">
        <v>0</v>
      </c>
      <c r="H133" s="24">
        <f t="shared" si="28"/>
        <v>46.1</v>
      </c>
      <c r="I133" s="24">
        <f t="shared" si="29"/>
        <v>3.6753360000000002</v>
      </c>
      <c r="J133" s="24">
        <v>0</v>
      </c>
      <c r="K133" s="24">
        <f t="shared" si="30"/>
        <v>168.994664</v>
      </c>
      <c r="L133" s="25">
        <v>5</v>
      </c>
      <c r="M133" s="25">
        <v>10</v>
      </c>
      <c r="N133" s="26">
        <f t="shared" si="31"/>
        <v>5.166666666666667</v>
      </c>
      <c r="O133" s="24">
        <f t="shared" si="32"/>
        <v>11.005000000000001</v>
      </c>
      <c r="P133" s="24">
        <f t="shared" si="33"/>
        <v>179.999664</v>
      </c>
      <c r="Q133" s="29">
        <f t="shared" si="34"/>
        <v>179.999664</v>
      </c>
      <c r="R133" s="30">
        <f>COUNTIF(RAW_DATA[[#This Row],[CONVERTED]],"&gt;0")</f>
        <v>1</v>
      </c>
      <c r="S133" s="30">
        <f>COUNTIFS(RAW_DATA[[#This Row],[AM/PM]],"AM",RAW_DATA[[#This Row],[CONVERTED]],"&gt;0")</f>
        <v>0</v>
      </c>
      <c r="T133" s="19">
        <f t="shared" si="37"/>
        <v>0</v>
      </c>
      <c r="U133" s="20" t="str">
        <f t="shared" si="35"/>
        <v>SINGLE</v>
      </c>
    </row>
    <row r="134" spans="1:21" x14ac:dyDescent="0.35">
      <c r="A134" s="21">
        <f t="shared" si="38"/>
        <v>45157</v>
      </c>
      <c r="B134" s="22" t="str">
        <f t="shared" si="36"/>
        <v>AM</v>
      </c>
      <c r="C134" s="23" t="str">
        <f t="shared" si="26"/>
        <v>August</v>
      </c>
      <c r="D134" s="13" t="str">
        <f t="shared" si="27"/>
        <v>SAT</v>
      </c>
      <c r="E134" s="24">
        <v>0</v>
      </c>
      <c r="F134" s="24">
        <v>0</v>
      </c>
      <c r="G134" s="24">
        <v>0</v>
      </c>
      <c r="H134" s="24">
        <f t="shared" si="28"/>
        <v>0</v>
      </c>
      <c r="I134" s="24">
        <f t="shared" si="29"/>
        <v>0</v>
      </c>
      <c r="J134" s="24">
        <v>0</v>
      </c>
      <c r="K134" s="24">
        <f t="shared" si="30"/>
        <v>0</v>
      </c>
      <c r="L134" s="25">
        <v>0</v>
      </c>
      <c r="M134" s="25">
        <v>0</v>
      </c>
      <c r="N134" s="26">
        <f t="shared" si="31"/>
        <v>0</v>
      </c>
      <c r="O134" s="24">
        <f t="shared" si="32"/>
        <v>0</v>
      </c>
      <c r="P134" s="24">
        <f t="shared" si="33"/>
        <v>0</v>
      </c>
      <c r="Q134" s="29">
        <f t="shared" si="34"/>
        <v>0</v>
      </c>
      <c r="R134" s="30">
        <f>COUNTIF(RAW_DATA[[#This Row],[CONVERTED]],"&gt;0")</f>
        <v>0</v>
      </c>
      <c r="S134" s="30">
        <f>COUNTIFS(RAW_DATA[[#This Row],[AM/PM]],"AM",RAW_DATA[[#This Row],[CONVERTED]],"&gt;0")</f>
        <v>0</v>
      </c>
      <c r="T134" s="19">
        <f t="shared" si="37"/>
        <v>0</v>
      </c>
      <c r="U134" s="20" t="str">
        <f t="shared" si="35"/>
        <v>SINGLE</v>
      </c>
    </row>
    <row r="135" spans="1:21" x14ac:dyDescent="0.35">
      <c r="A135" s="21">
        <f t="shared" si="38"/>
        <v>45157</v>
      </c>
      <c r="B135" s="22" t="str">
        <f t="shared" si="36"/>
        <v>PM</v>
      </c>
      <c r="C135" s="23" t="str">
        <f t="shared" si="26"/>
        <v>August</v>
      </c>
      <c r="D135" s="13" t="str">
        <f t="shared" si="27"/>
        <v>SAT</v>
      </c>
      <c r="E135" s="24">
        <v>1761.5</v>
      </c>
      <c r="F135" s="24">
        <v>287.22000000000003</v>
      </c>
      <c r="G135" s="24">
        <v>91</v>
      </c>
      <c r="H135" s="24">
        <f t="shared" si="28"/>
        <v>70.460000000000008</v>
      </c>
      <c r="I135" s="24">
        <f t="shared" si="29"/>
        <v>4.8252959999999998</v>
      </c>
      <c r="J135" s="24">
        <v>11.5</v>
      </c>
      <c r="K135" s="24">
        <f t="shared" si="30"/>
        <v>211.93470400000001</v>
      </c>
      <c r="L135" s="25">
        <v>6</v>
      </c>
      <c r="M135" s="25">
        <v>28</v>
      </c>
      <c r="N135" s="26">
        <f t="shared" si="31"/>
        <v>6.4666666666666668</v>
      </c>
      <c r="O135" s="24">
        <f t="shared" si="32"/>
        <v>13.773999999999999</v>
      </c>
      <c r="P135" s="24">
        <f t="shared" si="33"/>
        <v>237.20870400000001</v>
      </c>
      <c r="Q135" s="29">
        <f t="shared" si="34"/>
        <v>316.70870400000001</v>
      </c>
      <c r="R135" s="30">
        <f>COUNTIF(RAW_DATA[[#This Row],[CONVERTED]],"&gt;0")</f>
        <v>1</v>
      </c>
      <c r="S135" s="30">
        <f>COUNTIFS(RAW_DATA[[#This Row],[AM/PM]],"AM",RAW_DATA[[#This Row],[CONVERTED]],"&gt;0")</f>
        <v>0</v>
      </c>
      <c r="T135" s="19">
        <f t="shared" si="37"/>
        <v>0</v>
      </c>
      <c r="U135" s="20" t="str">
        <f t="shared" si="35"/>
        <v>SINGLE</v>
      </c>
    </row>
    <row r="136" spans="1:21" x14ac:dyDescent="0.35">
      <c r="A136" s="21">
        <f t="shared" si="38"/>
        <v>45158</v>
      </c>
      <c r="B136" s="22" t="str">
        <f t="shared" si="36"/>
        <v>AM</v>
      </c>
      <c r="C136" s="23" t="str">
        <f t="shared" si="26"/>
        <v>August</v>
      </c>
      <c r="D136" s="13" t="str">
        <f t="shared" si="27"/>
        <v>SUN</v>
      </c>
      <c r="E136" s="24">
        <v>0</v>
      </c>
      <c r="F136" s="24">
        <v>0</v>
      </c>
      <c r="G136" s="24">
        <v>0</v>
      </c>
      <c r="H136" s="24">
        <f t="shared" si="28"/>
        <v>0</v>
      </c>
      <c r="I136" s="24">
        <f t="shared" si="29"/>
        <v>0</v>
      </c>
      <c r="J136" s="24">
        <v>0</v>
      </c>
      <c r="K136" s="24">
        <f t="shared" si="30"/>
        <v>0</v>
      </c>
      <c r="L136" s="25">
        <v>0</v>
      </c>
      <c r="M136" s="25">
        <v>0</v>
      </c>
      <c r="N136" s="26">
        <f t="shared" si="31"/>
        <v>0</v>
      </c>
      <c r="O136" s="24">
        <f t="shared" si="32"/>
        <v>0</v>
      </c>
      <c r="P136" s="24">
        <f t="shared" si="33"/>
        <v>0</v>
      </c>
      <c r="Q136" s="29">
        <f t="shared" si="34"/>
        <v>0</v>
      </c>
      <c r="R136" s="30">
        <f>COUNTIF(RAW_DATA[[#This Row],[CONVERTED]],"&gt;0")</f>
        <v>0</v>
      </c>
      <c r="S136" s="30">
        <f>COUNTIFS(RAW_DATA[[#This Row],[AM/PM]],"AM",RAW_DATA[[#This Row],[CONVERTED]],"&gt;0")</f>
        <v>0</v>
      </c>
      <c r="T136" s="19">
        <f t="shared" si="37"/>
        <v>0</v>
      </c>
      <c r="U136" s="20" t="str">
        <f t="shared" si="35"/>
        <v>SINGLE</v>
      </c>
    </row>
    <row r="137" spans="1:21" x14ac:dyDescent="0.35">
      <c r="A137" s="21">
        <f t="shared" si="38"/>
        <v>45158</v>
      </c>
      <c r="B137" s="22" t="str">
        <f t="shared" si="36"/>
        <v>PM</v>
      </c>
      <c r="C137" s="23" t="str">
        <f t="shared" si="26"/>
        <v>August</v>
      </c>
      <c r="D137" s="13" t="str">
        <f t="shared" si="27"/>
        <v>SUN</v>
      </c>
      <c r="E137" s="24">
        <v>0</v>
      </c>
      <c r="F137" s="24">
        <v>0</v>
      </c>
      <c r="G137" s="24">
        <v>0</v>
      </c>
      <c r="H137" s="24">
        <f t="shared" si="28"/>
        <v>0</v>
      </c>
      <c r="I137" s="24">
        <f t="shared" si="29"/>
        <v>0</v>
      </c>
      <c r="J137" s="24">
        <v>0</v>
      </c>
      <c r="K137" s="24">
        <f t="shared" si="30"/>
        <v>0</v>
      </c>
      <c r="L137" s="25">
        <v>0</v>
      </c>
      <c r="M137" s="25">
        <v>0</v>
      </c>
      <c r="N137" s="26">
        <f t="shared" si="31"/>
        <v>0</v>
      </c>
      <c r="O137" s="24">
        <f t="shared" si="32"/>
        <v>0</v>
      </c>
      <c r="P137" s="24">
        <f t="shared" si="33"/>
        <v>0</v>
      </c>
      <c r="Q137" s="29">
        <f t="shared" si="34"/>
        <v>0</v>
      </c>
      <c r="R137" s="30">
        <f>COUNTIF(RAW_DATA[[#This Row],[CONVERTED]],"&gt;0")</f>
        <v>0</v>
      </c>
      <c r="S137" s="30">
        <f>COUNTIFS(RAW_DATA[[#This Row],[AM/PM]],"AM",RAW_DATA[[#This Row],[CONVERTED]],"&gt;0")</f>
        <v>0</v>
      </c>
      <c r="T137" s="19">
        <f t="shared" si="37"/>
        <v>0</v>
      </c>
      <c r="U137" s="20" t="str">
        <f t="shared" si="35"/>
        <v>SINGLE</v>
      </c>
    </row>
    <row r="138" spans="1:21" x14ac:dyDescent="0.35">
      <c r="A138" s="21">
        <f t="shared" si="38"/>
        <v>45159</v>
      </c>
      <c r="B138" s="22" t="str">
        <f t="shared" si="36"/>
        <v>AM</v>
      </c>
      <c r="C138" s="23" t="str">
        <f t="shared" si="26"/>
        <v>August</v>
      </c>
      <c r="D138" s="13" t="str">
        <f t="shared" si="27"/>
        <v>MON</v>
      </c>
      <c r="E138" s="24">
        <v>910</v>
      </c>
      <c r="F138" s="24">
        <v>178.12</v>
      </c>
      <c r="G138" s="24">
        <v>0</v>
      </c>
      <c r="H138" s="24">
        <f t="shared" si="28"/>
        <v>36.4</v>
      </c>
      <c r="I138" s="24">
        <f t="shared" si="29"/>
        <v>2.992416</v>
      </c>
      <c r="J138" s="24">
        <v>0</v>
      </c>
      <c r="K138" s="24">
        <f t="shared" si="30"/>
        <v>138.72758400000001</v>
      </c>
      <c r="L138" s="25">
        <v>4</v>
      </c>
      <c r="M138" s="25">
        <v>47</v>
      </c>
      <c r="N138" s="26">
        <f t="shared" si="31"/>
        <v>4.7833333333333332</v>
      </c>
      <c r="O138" s="24">
        <f t="shared" si="32"/>
        <v>10.188499999999999</v>
      </c>
      <c r="P138" s="24">
        <f t="shared" si="33"/>
        <v>148.91608400000001</v>
      </c>
      <c r="Q138" s="29">
        <f t="shared" si="34"/>
        <v>148.91608400000001</v>
      </c>
      <c r="R138" s="30">
        <f>COUNTIF(RAW_DATA[[#This Row],[CONVERTED]],"&gt;0")</f>
        <v>1</v>
      </c>
      <c r="S138" s="30">
        <f>COUNTIFS(RAW_DATA[[#This Row],[AM/PM]],"AM",RAW_DATA[[#This Row],[CONVERTED]],"&gt;0")</f>
        <v>1</v>
      </c>
      <c r="T138" s="19">
        <f t="shared" si="37"/>
        <v>0</v>
      </c>
      <c r="U138" s="20" t="str">
        <f t="shared" si="35"/>
        <v>SINGLE</v>
      </c>
    </row>
    <row r="139" spans="1:21" x14ac:dyDescent="0.35">
      <c r="A139" s="21">
        <f t="shared" si="38"/>
        <v>45159</v>
      </c>
      <c r="B139" s="22" t="str">
        <f t="shared" si="36"/>
        <v>PM</v>
      </c>
      <c r="C139" s="23" t="str">
        <f t="shared" si="26"/>
        <v>August</v>
      </c>
      <c r="D139" s="13" t="str">
        <f t="shared" si="27"/>
        <v>MON</v>
      </c>
      <c r="E139" s="24">
        <v>0</v>
      </c>
      <c r="F139" s="24">
        <v>0</v>
      </c>
      <c r="G139" s="24">
        <v>0</v>
      </c>
      <c r="H139" s="24">
        <f t="shared" si="28"/>
        <v>0</v>
      </c>
      <c r="I139" s="24">
        <f t="shared" si="29"/>
        <v>0</v>
      </c>
      <c r="J139" s="24">
        <v>0</v>
      </c>
      <c r="K139" s="24">
        <f t="shared" si="30"/>
        <v>0</v>
      </c>
      <c r="L139" s="25">
        <v>0</v>
      </c>
      <c r="M139" s="25">
        <v>0</v>
      </c>
      <c r="N139" s="26">
        <f t="shared" si="31"/>
        <v>0</v>
      </c>
      <c r="O139" s="24">
        <f t="shared" si="32"/>
        <v>0</v>
      </c>
      <c r="P139" s="24">
        <f t="shared" si="33"/>
        <v>0</v>
      </c>
      <c r="Q139" s="29">
        <f t="shared" si="34"/>
        <v>0</v>
      </c>
      <c r="R139" s="30">
        <f>COUNTIF(RAW_DATA[[#This Row],[CONVERTED]],"&gt;0")</f>
        <v>0</v>
      </c>
      <c r="S139" s="30">
        <f>COUNTIFS(RAW_DATA[[#This Row],[AM/PM]],"AM",RAW_DATA[[#This Row],[CONVERTED]],"&gt;0")</f>
        <v>0</v>
      </c>
      <c r="T139" s="19">
        <f t="shared" si="37"/>
        <v>0</v>
      </c>
      <c r="U139" s="20" t="str">
        <f t="shared" si="35"/>
        <v>SINGLE</v>
      </c>
    </row>
    <row r="140" spans="1:21" x14ac:dyDescent="0.35">
      <c r="A140" s="21">
        <f t="shared" si="38"/>
        <v>45160</v>
      </c>
      <c r="B140" s="22" t="str">
        <f t="shared" si="36"/>
        <v>AM</v>
      </c>
      <c r="C140" s="23" t="str">
        <f t="shared" si="26"/>
        <v>August</v>
      </c>
      <c r="D140" s="13" t="str">
        <f t="shared" si="27"/>
        <v>TUE</v>
      </c>
      <c r="E140" s="24">
        <v>942</v>
      </c>
      <c r="F140" s="24">
        <v>182.94</v>
      </c>
      <c r="G140" s="24">
        <v>15</v>
      </c>
      <c r="H140" s="24">
        <f t="shared" si="28"/>
        <v>37.68</v>
      </c>
      <c r="I140" s="24">
        <f t="shared" si="29"/>
        <v>3.0733919999999997</v>
      </c>
      <c r="J140" s="24">
        <v>6</v>
      </c>
      <c r="K140" s="24">
        <f t="shared" si="30"/>
        <v>142.18660800000001</v>
      </c>
      <c r="L140" s="25">
        <v>5</v>
      </c>
      <c r="M140" s="25">
        <v>34</v>
      </c>
      <c r="N140" s="26">
        <f t="shared" si="31"/>
        <v>5.5666666666666664</v>
      </c>
      <c r="O140" s="24">
        <f t="shared" si="32"/>
        <v>11.856999999999999</v>
      </c>
      <c r="P140" s="24">
        <f t="shared" si="33"/>
        <v>160.04360800000001</v>
      </c>
      <c r="Q140" s="29">
        <f t="shared" si="34"/>
        <v>169.04360800000001</v>
      </c>
      <c r="R140" s="30">
        <f>COUNTIF(RAW_DATA[[#This Row],[CONVERTED]],"&gt;0")</f>
        <v>1</v>
      </c>
      <c r="S140" s="30">
        <f>COUNTIFS(RAW_DATA[[#This Row],[AM/PM]],"AM",RAW_DATA[[#This Row],[CONVERTED]],"&gt;0")</f>
        <v>1</v>
      </c>
      <c r="T140" s="19">
        <f t="shared" si="37"/>
        <v>0</v>
      </c>
      <c r="U140" s="20" t="str">
        <f t="shared" si="35"/>
        <v>DOUBLE</v>
      </c>
    </row>
    <row r="141" spans="1:21" x14ac:dyDescent="0.35">
      <c r="A141" s="21">
        <f t="shared" si="38"/>
        <v>45160</v>
      </c>
      <c r="B141" s="22" t="str">
        <f t="shared" si="36"/>
        <v>PM</v>
      </c>
      <c r="C141" s="23" t="str">
        <f t="shared" si="26"/>
        <v>August</v>
      </c>
      <c r="D141" s="13" t="str">
        <f t="shared" si="27"/>
        <v>TUE</v>
      </c>
      <c r="E141" s="24">
        <v>405</v>
      </c>
      <c r="F141" s="24">
        <v>74.3</v>
      </c>
      <c r="G141" s="24">
        <v>0</v>
      </c>
      <c r="H141" s="24">
        <f t="shared" si="28"/>
        <v>16.2</v>
      </c>
      <c r="I141" s="24">
        <f t="shared" si="29"/>
        <v>1.2482399999999998</v>
      </c>
      <c r="J141" s="24">
        <v>0</v>
      </c>
      <c r="K141" s="24">
        <f t="shared" si="30"/>
        <v>56.851759999999999</v>
      </c>
      <c r="L141" s="25">
        <v>3</v>
      </c>
      <c r="M141" s="25">
        <v>57</v>
      </c>
      <c r="N141" s="26">
        <f t="shared" si="31"/>
        <v>3.95</v>
      </c>
      <c r="O141" s="24">
        <f t="shared" si="32"/>
        <v>8.4134999999999991</v>
      </c>
      <c r="P141" s="24">
        <f t="shared" si="33"/>
        <v>65.265259999999998</v>
      </c>
      <c r="Q141" s="29">
        <f t="shared" si="34"/>
        <v>65.265259999999998</v>
      </c>
      <c r="R141" s="30">
        <f>COUNTIF(RAW_DATA[[#This Row],[CONVERTED]],"&gt;0")</f>
        <v>1</v>
      </c>
      <c r="S141" s="30">
        <f>COUNTIFS(RAW_DATA[[#This Row],[AM/PM]],"AM",RAW_DATA[[#This Row],[CONVERTED]],"&gt;0")</f>
        <v>0</v>
      </c>
      <c r="T141" s="19">
        <f t="shared" si="37"/>
        <v>1</v>
      </c>
      <c r="U141" s="20" t="str">
        <f t="shared" si="35"/>
        <v>DOUBLE</v>
      </c>
    </row>
    <row r="142" spans="1:21" x14ac:dyDescent="0.35">
      <c r="A142" s="21">
        <f t="shared" si="38"/>
        <v>45161</v>
      </c>
      <c r="B142" s="22" t="str">
        <f t="shared" si="36"/>
        <v>AM</v>
      </c>
      <c r="C142" s="23" t="str">
        <f t="shared" si="26"/>
        <v>August</v>
      </c>
      <c r="D142" s="13" t="str">
        <f t="shared" si="27"/>
        <v>WED</v>
      </c>
      <c r="E142" s="24">
        <v>524</v>
      </c>
      <c r="F142" s="24">
        <v>97.55</v>
      </c>
      <c r="G142" s="24">
        <v>0</v>
      </c>
      <c r="H142" s="24">
        <f t="shared" si="28"/>
        <v>20.96</v>
      </c>
      <c r="I142" s="24">
        <f t="shared" si="29"/>
        <v>1.6388399999999999</v>
      </c>
      <c r="J142" s="24">
        <v>0</v>
      </c>
      <c r="K142" s="24">
        <f t="shared" si="30"/>
        <v>74.951160000000002</v>
      </c>
      <c r="L142" s="25">
        <v>3</v>
      </c>
      <c r="M142" s="25">
        <v>27</v>
      </c>
      <c r="N142" s="26">
        <f t="shared" si="31"/>
        <v>3.45</v>
      </c>
      <c r="O142" s="27">
        <f t="shared" si="32"/>
        <v>7.3484999999999996</v>
      </c>
      <c r="P142" s="27">
        <f t="shared" si="33"/>
        <v>82.299660000000003</v>
      </c>
      <c r="Q142" s="28">
        <f t="shared" si="34"/>
        <v>82.299660000000003</v>
      </c>
      <c r="R142" s="19">
        <f>COUNTIF(RAW_DATA[[#This Row],[CONVERTED]],"&gt;0")</f>
        <v>1</v>
      </c>
      <c r="S142" s="30">
        <f>COUNTIFS(RAW_DATA[[#This Row],[AM/PM]],"AM",RAW_DATA[[#This Row],[CONVERTED]],"&gt;0")</f>
        <v>1</v>
      </c>
      <c r="T142" s="19">
        <f t="shared" si="37"/>
        <v>0</v>
      </c>
      <c r="U142" s="20" t="str">
        <f t="shared" si="35"/>
        <v>DOUBLE</v>
      </c>
    </row>
    <row r="143" spans="1:21" x14ac:dyDescent="0.35">
      <c r="A143" s="21">
        <f t="shared" si="38"/>
        <v>45161</v>
      </c>
      <c r="B143" s="22" t="str">
        <f t="shared" si="36"/>
        <v>PM</v>
      </c>
      <c r="C143" s="23" t="str">
        <f t="shared" si="26"/>
        <v>August</v>
      </c>
      <c r="D143" s="13" t="str">
        <f t="shared" si="27"/>
        <v>WED</v>
      </c>
      <c r="E143" s="24">
        <v>857.5</v>
      </c>
      <c r="F143" s="24">
        <v>142.1</v>
      </c>
      <c r="G143" s="24">
        <v>39</v>
      </c>
      <c r="H143" s="24">
        <f t="shared" si="28"/>
        <v>34.300000000000004</v>
      </c>
      <c r="I143" s="24">
        <f t="shared" si="29"/>
        <v>2.3872799999999996</v>
      </c>
      <c r="J143" s="24">
        <v>11.79</v>
      </c>
      <c r="K143" s="24">
        <f t="shared" si="30"/>
        <v>105.41271999999999</v>
      </c>
      <c r="L143" s="25">
        <v>3</v>
      </c>
      <c r="M143" s="25">
        <v>33</v>
      </c>
      <c r="N143" s="26">
        <f t="shared" si="31"/>
        <v>3.55</v>
      </c>
      <c r="O143" s="24">
        <f t="shared" si="32"/>
        <v>7.5614999999999997</v>
      </c>
      <c r="P143" s="24">
        <f t="shared" si="33"/>
        <v>124.76421999999999</v>
      </c>
      <c r="Q143" s="29">
        <f t="shared" si="34"/>
        <v>151.97421999999997</v>
      </c>
      <c r="R143" s="30">
        <f>COUNTIF(RAW_DATA[[#This Row],[CONVERTED]],"&gt;0")</f>
        <v>1</v>
      </c>
      <c r="S143" s="30">
        <f>COUNTIFS(RAW_DATA[[#This Row],[AM/PM]],"AM",RAW_DATA[[#This Row],[CONVERTED]],"&gt;0")</f>
        <v>0</v>
      </c>
      <c r="T143" s="19">
        <f t="shared" si="37"/>
        <v>1</v>
      </c>
      <c r="U143" s="20" t="str">
        <f t="shared" si="35"/>
        <v>DOUBLE</v>
      </c>
    </row>
    <row r="144" spans="1:21" x14ac:dyDescent="0.35">
      <c r="A144" s="21">
        <f t="shared" si="38"/>
        <v>45162</v>
      </c>
      <c r="B144" s="22" t="str">
        <f t="shared" si="36"/>
        <v>AM</v>
      </c>
      <c r="C144" s="23" t="str">
        <f t="shared" si="26"/>
        <v>August</v>
      </c>
      <c r="D144" s="13" t="str">
        <f t="shared" si="27"/>
        <v>THU</v>
      </c>
      <c r="E144" s="24">
        <v>0</v>
      </c>
      <c r="F144" s="24">
        <v>0</v>
      </c>
      <c r="G144" s="24">
        <v>0</v>
      </c>
      <c r="H144" s="24">
        <f t="shared" si="28"/>
        <v>0</v>
      </c>
      <c r="I144" s="24">
        <f t="shared" si="29"/>
        <v>0</v>
      </c>
      <c r="J144" s="24">
        <v>0</v>
      </c>
      <c r="K144" s="24">
        <f t="shared" si="30"/>
        <v>0</v>
      </c>
      <c r="L144" s="25">
        <v>0</v>
      </c>
      <c r="M144" s="25">
        <v>0</v>
      </c>
      <c r="N144" s="26">
        <f t="shared" si="31"/>
        <v>0</v>
      </c>
      <c r="O144" s="24">
        <f t="shared" si="32"/>
        <v>0</v>
      </c>
      <c r="P144" s="24">
        <f t="shared" si="33"/>
        <v>0</v>
      </c>
      <c r="Q144" s="29">
        <f t="shared" si="34"/>
        <v>0</v>
      </c>
      <c r="R144" s="30">
        <f>COUNTIF(RAW_DATA[[#This Row],[CONVERTED]],"&gt;0")</f>
        <v>0</v>
      </c>
      <c r="S144" s="30">
        <f>COUNTIFS(RAW_DATA[[#This Row],[AM/PM]],"AM",RAW_DATA[[#This Row],[CONVERTED]],"&gt;0")</f>
        <v>0</v>
      </c>
      <c r="T144" s="19">
        <f t="shared" si="37"/>
        <v>0</v>
      </c>
      <c r="U144" s="20" t="str">
        <f t="shared" si="35"/>
        <v>SINGLE</v>
      </c>
    </row>
    <row r="145" spans="1:21" x14ac:dyDescent="0.35">
      <c r="A145" s="21">
        <f t="shared" si="38"/>
        <v>45162</v>
      </c>
      <c r="B145" s="22" t="str">
        <f t="shared" si="36"/>
        <v>PM</v>
      </c>
      <c r="C145" s="23" t="str">
        <f t="shared" si="26"/>
        <v>August</v>
      </c>
      <c r="D145" s="13" t="str">
        <f t="shared" si="27"/>
        <v>THU</v>
      </c>
      <c r="E145" s="24">
        <v>0</v>
      </c>
      <c r="F145" s="24">
        <v>0</v>
      </c>
      <c r="G145" s="24">
        <v>0</v>
      </c>
      <c r="H145" s="24">
        <f t="shared" si="28"/>
        <v>0</v>
      </c>
      <c r="I145" s="24">
        <f t="shared" si="29"/>
        <v>0</v>
      </c>
      <c r="J145" s="24">
        <v>0</v>
      </c>
      <c r="K145" s="24">
        <f t="shared" si="30"/>
        <v>0</v>
      </c>
      <c r="L145" s="25">
        <v>0</v>
      </c>
      <c r="M145" s="25">
        <v>0</v>
      </c>
      <c r="N145" s="26">
        <f t="shared" si="31"/>
        <v>0</v>
      </c>
      <c r="O145" s="24">
        <f t="shared" si="32"/>
        <v>0</v>
      </c>
      <c r="P145" s="24">
        <f t="shared" si="33"/>
        <v>0</v>
      </c>
      <c r="Q145" s="29">
        <f t="shared" si="34"/>
        <v>0</v>
      </c>
      <c r="R145" s="30">
        <f>COUNTIF(RAW_DATA[[#This Row],[CONVERTED]],"&gt;0")</f>
        <v>0</v>
      </c>
      <c r="S145" s="30">
        <f>COUNTIFS(RAW_DATA[[#This Row],[AM/PM]],"AM",RAW_DATA[[#This Row],[CONVERTED]],"&gt;0")</f>
        <v>0</v>
      </c>
      <c r="T145" s="19">
        <f t="shared" si="37"/>
        <v>0</v>
      </c>
      <c r="U145" s="20" t="str">
        <f t="shared" si="35"/>
        <v>SINGLE</v>
      </c>
    </row>
    <row r="146" spans="1:21" x14ac:dyDescent="0.35">
      <c r="A146" s="21">
        <f t="shared" si="38"/>
        <v>45163</v>
      </c>
      <c r="B146" s="22" t="str">
        <f t="shared" si="36"/>
        <v>AM</v>
      </c>
      <c r="C146" s="23" t="str">
        <f t="shared" si="26"/>
        <v>August</v>
      </c>
      <c r="D146" s="13" t="str">
        <f t="shared" si="27"/>
        <v>FRI</v>
      </c>
      <c r="E146" s="24">
        <v>0</v>
      </c>
      <c r="F146" s="24">
        <v>0</v>
      </c>
      <c r="G146" s="24">
        <v>0</v>
      </c>
      <c r="H146" s="24">
        <f t="shared" si="28"/>
        <v>0</v>
      </c>
      <c r="I146" s="24">
        <f t="shared" si="29"/>
        <v>0</v>
      </c>
      <c r="J146" s="24">
        <v>0</v>
      </c>
      <c r="K146" s="24">
        <f t="shared" si="30"/>
        <v>0</v>
      </c>
      <c r="L146" s="25">
        <v>0</v>
      </c>
      <c r="M146" s="25">
        <v>0</v>
      </c>
      <c r="N146" s="26">
        <f t="shared" si="31"/>
        <v>0</v>
      </c>
      <c r="O146" s="24">
        <f t="shared" si="32"/>
        <v>0</v>
      </c>
      <c r="P146" s="24">
        <f t="shared" si="33"/>
        <v>0</v>
      </c>
      <c r="Q146" s="29">
        <f t="shared" si="34"/>
        <v>0</v>
      </c>
      <c r="R146" s="30">
        <f>COUNTIF(RAW_DATA[[#This Row],[CONVERTED]],"&gt;0")</f>
        <v>0</v>
      </c>
      <c r="S146" s="30">
        <f>COUNTIFS(RAW_DATA[[#This Row],[AM/PM]],"AM",RAW_DATA[[#This Row],[CONVERTED]],"&gt;0")</f>
        <v>0</v>
      </c>
      <c r="T146" s="19">
        <f t="shared" si="37"/>
        <v>0</v>
      </c>
      <c r="U146" s="20" t="str">
        <f t="shared" si="35"/>
        <v>SINGLE</v>
      </c>
    </row>
    <row r="147" spans="1:21" x14ac:dyDescent="0.35">
      <c r="A147" s="21">
        <f t="shared" si="38"/>
        <v>45163</v>
      </c>
      <c r="B147" s="22" t="str">
        <f t="shared" si="36"/>
        <v>PM</v>
      </c>
      <c r="C147" s="23" t="str">
        <f t="shared" si="26"/>
        <v>August</v>
      </c>
      <c r="D147" s="13" t="str">
        <f t="shared" si="27"/>
        <v>FRI</v>
      </c>
      <c r="E147" s="24">
        <v>1320.5</v>
      </c>
      <c r="F147" s="24">
        <v>261.67</v>
      </c>
      <c r="G147" s="24">
        <v>10</v>
      </c>
      <c r="H147" s="24">
        <f t="shared" si="28"/>
        <v>52.82</v>
      </c>
      <c r="I147" s="24">
        <f t="shared" si="29"/>
        <v>4.3960559999999997</v>
      </c>
      <c r="J147" s="24">
        <v>5.5</v>
      </c>
      <c r="K147" s="24">
        <f t="shared" si="30"/>
        <v>204.45394400000001</v>
      </c>
      <c r="L147" s="25">
        <v>5</v>
      </c>
      <c r="M147" s="25">
        <v>10</v>
      </c>
      <c r="N147" s="26">
        <f t="shared" si="31"/>
        <v>5.166666666666667</v>
      </c>
      <c r="O147" s="24">
        <f t="shared" si="32"/>
        <v>11.005000000000001</v>
      </c>
      <c r="P147" s="24">
        <f t="shared" si="33"/>
        <v>220.958944</v>
      </c>
      <c r="Q147" s="29">
        <f t="shared" si="34"/>
        <v>225.458944</v>
      </c>
      <c r="R147" s="30">
        <f>COUNTIF(RAW_DATA[[#This Row],[CONVERTED]],"&gt;0")</f>
        <v>1</v>
      </c>
      <c r="S147" s="30">
        <f>COUNTIFS(RAW_DATA[[#This Row],[AM/PM]],"AM",RAW_DATA[[#This Row],[CONVERTED]],"&gt;0")</f>
        <v>0</v>
      </c>
      <c r="T147" s="19">
        <f t="shared" si="37"/>
        <v>0</v>
      </c>
      <c r="U147" s="20" t="str">
        <f t="shared" si="35"/>
        <v>SINGLE</v>
      </c>
    </row>
    <row r="148" spans="1:21" x14ac:dyDescent="0.35">
      <c r="A148" s="21">
        <f t="shared" si="38"/>
        <v>45164</v>
      </c>
      <c r="B148" s="22" t="str">
        <f t="shared" si="36"/>
        <v>AM</v>
      </c>
      <c r="C148" s="23" t="str">
        <f t="shared" si="26"/>
        <v>August</v>
      </c>
      <c r="D148" s="13" t="str">
        <f t="shared" si="27"/>
        <v>SAT</v>
      </c>
      <c r="E148" s="24">
        <v>510</v>
      </c>
      <c r="F148" s="24">
        <v>91.16</v>
      </c>
      <c r="G148" s="24">
        <v>12</v>
      </c>
      <c r="H148" s="24">
        <f t="shared" si="28"/>
        <v>20.400000000000002</v>
      </c>
      <c r="I148" s="24">
        <f t="shared" si="29"/>
        <v>1.5314879999999997</v>
      </c>
      <c r="J148" s="24">
        <v>4.5</v>
      </c>
      <c r="K148" s="24">
        <f t="shared" si="30"/>
        <v>69.228511999999995</v>
      </c>
      <c r="L148" s="25">
        <v>4</v>
      </c>
      <c r="M148" s="25">
        <v>35</v>
      </c>
      <c r="N148" s="26">
        <f t="shared" si="31"/>
        <v>4.583333333333333</v>
      </c>
      <c r="O148" s="24">
        <f t="shared" si="32"/>
        <v>9.7624999999999993</v>
      </c>
      <c r="P148" s="24">
        <f t="shared" si="33"/>
        <v>83.491011999999998</v>
      </c>
      <c r="Q148" s="29">
        <f t="shared" si="34"/>
        <v>90.991011999999998</v>
      </c>
      <c r="R148" s="30">
        <f>COUNTIF(RAW_DATA[[#This Row],[CONVERTED]],"&gt;0")</f>
        <v>1</v>
      </c>
      <c r="S148" s="30">
        <f>COUNTIFS(RAW_DATA[[#This Row],[AM/PM]],"AM",RAW_DATA[[#This Row],[CONVERTED]],"&gt;0")</f>
        <v>1</v>
      </c>
      <c r="T148" s="19">
        <f t="shared" si="37"/>
        <v>0</v>
      </c>
      <c r="U148" s="20" t="str">
        <f t="shared" si="35"/>
        <v>DOUBLE</v>
      </c>
    </row>
    <row r="149" spans="1:21" x14ac:dyDescent="0.35">
      <c r="A149" s="21">
        <f t="shared" si="38"/>
        <v>45164</v>
      </c>
      <c r="B149" s="22" t="str">
        <f t="shared" si="36"/>
        <v>PM</v>
      </c>
      <c r="C149" s="23" t="str">
        <f t="shared" si="26"/>
        <v>August</v>
      </c>
      <c r="D149" s="13" t="str">
        <f t="shared" si="27"/>
        <v>SAT</v>
      </c>
      <c r="E149" s="24">
        <v>1345.5</v>
      </c>
      <c r="F149" s="24">
        <v>280.05</v>
      </c>
      <c r="G149" s="24">
        <v>0</v>
      </c>
      <c r="H149" s="24">
        <f t="shared" si="28"/>
        <v>53.82</v>
      </c>
      <c r="I149" s="24">
        <f t="shared" si="29"/>
        <v>4.7048399999999999</v>
      </c>
      <c r="J149" s="24">
        <v>0</v>
      </c>
      <c r="K149" s="24">
        <f t="shared" si="30"/>
        <v>221.52516000000003</v>
      </c>
      <c r="L149" s="25">
        <v>4</v>
      </c>
      <c r="M149" s="25">
        <v>59</v>
      </c>
      <c r="N149" s="26">
        <f t="shared" si="31"/>
        <v>4.9833333333333334</v>
      </c>
      <c r="O149" s="24">
        <f t="shared" si="32"/>
        <v>10.6145</v>
      </c>
      <c r="P149" s="24">
        <f t="shared" si="33"/>
        <v>232.13966000000002</v>
      </c>
      <c r="Q149" s="29">
        <f t="shared" si="34"/>
        <v>232.13966000000002</v>
      </c>
      <c r="R149" s="30">
        <f>COUNTIF(RAW_DATA[[#This Row],[CONVERTED]],"&gt;0")</f>
        <v>1</v>
      </c>
      <c r="S149" s="30">
        <f>COUNTIFS(RAW_DATA[[#This Row],[AM/PM]],"AM",RAW_DATA[[#This Row],[CONVERTED]],"&gt;0")</f>
        <v>0</v>
      </c>
      <c r="T149" s="19">
        <f t="shared" si="37"/>
        <v>1</v>
      </c>
      <c r="U149" s="20" t="str">
        <f t="shared" si="35"/>
        <v>DOUBLE</v>
      </c>
    </row>
    <row r="150" spans="1:21" x14ac:dyDescent="0.35">
      <c r="A150" s="21">
        <f t="shared" si="38"/>
        <v>45165</v>
      </c>
      <c r="B150" s="22" t="str">
        <f t="shared" si="36"/>
        <v>AM</v>
      </c>
      <c r="C150" s="23" t="str">
        <f t="shared" si="26"/>
        <v>August</v>
      </c>
      <c r="D150" s="13" t="str">
        <f t="shared" si="27"/>
        <v>SUN</v>
      </c>
      <c r="E150" s="24">
        <f>2059.5/2</f>
        <v>1029.75</v>
      </c>
      <c r="F150" s="24">
        <f>385.51/2</f>
        <v>192.755</v>
      </c>
      <c r="G150" s="24">
        <v>11</v>
      </c>
      <c r="H150" s="24">
        <f t="shared" si="28"/>
        <v>41.19</v>
      </c>
      <c r="I150" s="24">
        <f t="shared" si="29"/>
        <v>3.2382839999999997</v>
      </c>
      <c r="J150" s="24">
        <v>4.75</v>
      </c>
      <c r="K150" s="24">
        <f t="shared" si="30"/>
        <v>148.326716</v>
      </c>
      <c r="L150" s="25">
        <f>8/2</f>
        <v>4</v>
      </c>
      <c r="M150" s="25">
        <f>7/2</f>
        <v>3.5</v>
      </c>
      <c r="N150" s="26">
        <f t="shared" si="31"/>
        <v>4.0583333333333336</v>
      </c>
      <c r="O150" s="24">
        <f t="shared" si="32"/>
        <v>8.6442499999999995</v>
      </c>
      <c r="P150" s="24">
        <f t="shared" si="33"/>
        <v>161.720966</v>
      </c>
      <c r="Q150" s="29">
        <f t="shared" si="34"/>
        <v>167.970966</v>
      </c>
      <c r="R150" s="30">
        <f>COUNTIF(RAW_DATA[[#This Row],[CONVERTED]],"&gt;0")</f>
        <v>1</v>
      </c>
      <c r="S150" s="30">
        <f>COUNTIFS(RAW_DATA[[#This Row],[AM/PM]],"AM",RAW_DATA[[#This Row],[CONVERTED]],"&gt;0")</f>
        <v>1</v>
      </c>
      <c r="T150" s="19">
        <f t="shared" si="37"/>
        <v>0</v>
      </c>
      <c r="U150" s="20" t="str">
        <f t="shared" si="35"/>
        <v>DOUBLE</v>
      </c>
    </row>
    <row r="151" spans="1:21" x14ac:dyDescent="0.35">
      <c r="A151" s="21">
        <f t="shared" si="38"/>
        <v>45165</v>
      </c>
      <c r="B151" s="22" t="str">
        <f t="shared" si="36"/>
        <v>PM</v>
      </c>
      <c r="C151" s="23" t="str">
        <f t="shared" si="26"/>
        <v>August</v>
      </c>
      <c r="D151" s="13" t="str">
        <f t="shared" si="27"/>
        <v>SUN</v>
      </c>
      <c r="E151" s="24">
        <f>E150</f>
        <v>1029.75</v>
      </c>
      <c r="F151" s="24">
        <f>F150</f>
        <v>192.755</v>
      </c>
      <c r="G151" s="24">
        <v>0</v>
      </c>
      <c r="H151" s="24">
        <f t="shared" si="28"/>
        <v>41.19</v>
      </c>
      <c r="I151" s="24">
        <f t="shared" si="29"/>
        <v>3.2382839999999997</v>
      </c>
      <c r="J151" s="24">
        <v>0</v>
      </c>
      <c r="K151" s="24">
        <f t="shared" si="30"/>
        <v>148.326716</v>
      </c>
      <c r="L151" s="25">
        <f>L150</f>
        <v>4</v>
      </c>
      <c r="M151" s="25">
        <v>3</v>
      </c>
      <c r="N151" s="26">
        <f t="shared" si="31"/>
        <v>4.05</v>
      </c>
      <c r="O151" s="24">
        <f t="shared" si="32"/>
        <v>8.6265000000000001</v>
      </c>
      <c r="P151" s="24">
        <f t="shared" si="33"/>
        <v>156.953216</v>
      </c>
      <c r="Q151" s="29">
        <f t="shared" si="34"/>
        <v>156.953216</v>
      </c>
      <c r="R151" s="30">
        <f>COUNTIF(RAW_DATA[[#This Row],[CONVERTED]],"&gt;0")</f>
        <v>1</v>
      </c>
      <c r="S151" s="30">
        <f>COUNTIFS(RAW_DATA[[#This Row],[AM/PM]],"AM",RAW_DATA[[#This Row],[CONVERTED]],"&gt;0")</f>
        <v>0</v>
      </c>
      <c r="T151" s="19">
        <f t="shared" si="37"/>
        <v>1</v>
      </c>
      <c r="U151" s="20" t="str">
        <f t="shared" si="35"/>
        <v>DOUBLE</v>
      </c>
    </row>
    <row r="152" spans="1:21" x14ac:dyDescent="0.35">
      <c r="A152" s="21">
        <f t="shared" si="38"/>
        <v>45166</v>
      </c>
      <c r="B152" s="22" t="str">
        <f t="shared" si="36"/>
        <v>AM</v>
      </c>
      <c r="C152" s="23" t="str">
        <f t="shared" si="26"/>
        <v>August</v>
      </c>
      <c r="D152" s="13" t="str">
        <f t="shared" si="27"/>
        <v>MON</v>
      </c>
      <c r="E152" s="24">
        <v>281</v>
      </c>
      <c r="F152" s="24">
        <v>39.299999999999997</v>
      </c>
      <c r="G152" s="24">
        <v>19</v>
      </c>
      <c r="H152" s="24">
        <f t="shared" si="28"/>
        <v>11.24</v>
      </c>
      <c r="I152" s="24">
        <f t="shared" si="29"/>
        <v>0.66023999999999994</v>
      </c>
      <c r="J152" s="24">
        <v>6.5</v>
      </c>
      <c r="K152" s="24">
        <f t="shared" si="30"/>
        <v>27.399759999999997</v>
      </c>
      <c r="L152" s="25">
        <v>2</v>
      </c>
      <c r="M152" s="25">
        <v>59</v>
      </c>
      <c r="N152" s="26">
        <f t="shared" si="31"/>
        <v>2.9833333333333334</v>
      </c>
      <c r="O152" s="24">
        <f t="shared" si="32"/>
        <v>6.3544999999999998</v>
      </c>
      <c r="P152" s="24">
        <f t="shared" si="33"/>
        <v>40.254260000000002</v>
      </c>
      <c r="Q152" s="29">
        <f t="shared" si="34"/>
        <v>52.754260000000002</v>
      </c>
      <c r="R152" s="30">
        <f>COUNTIF(RAW_DATA[[#This Row],[CONVERTED]],"&gt;0")</f>
        <v>1</v>
      </c>
      <c r="S152" s="30">
        <f>COUNTIFS(RAW_DATA[[#This Row],[AM/PM]],"AM",RAW_DATA[[#This Row],[CONVERTED]],"&gt;0")</f>
        <v>1</v>
      </c>
      <c r="T152" s="19">
        <f t="shared" si="37"/>
        <v>0</v>
      </c>
      <c r="U152" s="20" t="str">
        <f t="shared" si="35"/>
        <v>DOUBLE</v>
      </c>
    </row>
    <row r="153" spans="1:21" x14ac:dyDescent="0.35">
      <c r="A153" s="21">
        <f t="shared" si="38"/>
        <v>45166</v>
      </c>
      <c r="B153" s="22" t="str">
        <f t="shared" si="36"/>
        <v>PM</v>
      </c>
      <c r="C153" s="23" t="str">
        <f t="shared" si="26"/>
        <v>August</v>
      </c>
      <c r="D153" s="13" t="str">
        <f t="shared" si="27"/>
        <v>MON</v>
      </c>
      <c r="E153" s="24">
        <v>131</v>
      </c>
      <c r="F153" s="24">
        <v>26.2</v>
      </c>
      <c r="G153" s="24">
        <v>0</v>
      </c>
      <c r="H153" s="24">
        <f t="shared" si="28"/>
        <v>5.24</v>
      </c>
      <c r="I153" s="24">
        <f t="shared" si="29"/>
        <v>0.44015999999999994</v>
      </c>
      <c r="J153" s="24">
        <v>0</v>
      </c>
      <c r="K153" s="24">
        <f t="shared" si="30"/>
        <v>20.519839999999999</v>
      </c>
      <c r="L153" s="25">
        <v>2</v>
      </c>
      <c r="M153" s="25">
        <v>30</v>
      </c>
      <c r="N153" s="26">
        <f t="shared" si="31"/>
        <v>2.5</v>
      </c>
      <c r="O153" s="24">
        <f t="shared" si="32"/>
        <v>5.3249999999999993</v>
      </c>
      <c r="P153" s="24">
        <f t="shared" si="33"/>
        <v>25.844839999999998</v>
      </c>
      <c r="Q153" s="29">
        <f t="shared" si="34"/>
        <v>25.844839999999998</v>
      </c>
      <c r="R153" s="30">
        <f>COUNTIF(RAW_DATA[[#This Row],[CONVERTED]],"&gt;0")</f>
        <v>1</v>
      </c>
      <c r="S153" s="30">
        <f>COUNTIFS(RAW_DATA[[#This Row],[AM/PM]],"AM",RAW_DATA[[#This Row],[CONVERTED]],"&gt;0")</f>
        <v>0</v>
      </c>
      <c r="T153" s="19">
        <f t="shared" si="37"/>
        <v>1</v>
      </c>
      <c r="U153" s="20" t="str">
        <f t="shared" si="35"/>
        <v>DOUBLE</v>
      </c>
    </row>
    <row r="154" spans="1:21" x14ac:dyDescent="0.35">
      <c r="A154" s="21">
        <f t="shared" si="38"/>
        <v>45167</v>
      </c>
      <c r="B154" s="22" t="str">
        <f t="shared" si="36"/>
        <v>AM</v>
      </c>
      <c r="C154" s="23" t="str">
        <f t="shared" si="26"/>
        <v>August</v>
      </c>
      <c r="D154" s="13" t="str">
        <f t="shared" si="27"/>
        <v>TUE</v>
      </c>
      <c r="E154" s="24">
        <v>0</v>
      </c>
      <c r="F154" s="24">
        <v>0</v>
      </c>
      <c r="G154" s="24">
        <v>0</v>
      </c>
      <c r="H154" s="24">
        <f t="shared" si="28"/>
        <v>0</v>
      </c>
      <c r="I154" s="24">
        <f t="shared" si="29"/>
        <v>0</v>
      </c>
      <c r="J154" s="24">
        <v>0</v>
      </c>
      <c r="K154" s="24">
        <f t="shared" si="30"/>
        <v>0</v>
      </c>
      <c r="L154" s="25">
        <v>0</v>
      </c>
      <c r="M154" s="25">
        <v>0</v>
      </c>
      <c r="N154" s="26">
        <f t="shared" si="31"/>
        <v>0</v>
      </c>
      <c r="O154" s="24">
        <f t="shared" si="32"/>
        <v>0</v>
      </c>
      <c r="P154" s="24">
        <f t="shared" si="33"/>
        <v>0</v>
      </c>
      <c r="Q154" s="29">
        <f t="shared" si="34"/>
        <v>0</v>
      </c>
      <c r="R154" s="30">
        <f>COUNTIF(RAW_DATA[[#This Row],[CONVERTED]],"&gt;0")</f>
        <v>0</v>
      </c>
      <c r="S154" s="30">
        <f>COUNTIFS(RAW_DATA[[#This Row],[AM/PM]],"AM",RAW_DATA[[#This Row],[CONVERTED]],"&gt;0")</f>
        <v>0</v>
      </c>
      <c r="T154" s="19">
        <f t="shared" si="37"/>
        <v>0</v>
      </c>
      <c r="U154" s="20" t="str">
        <f t="shared" si="35"/>
        <v>SINGLE</v>
      </c>
    </row>
    <row r="155" spans="1:21" x14ac:dyDescent="0.35">
      <c r="A155" s="21">
        <f t="shared" si="38"/>
        <v>45167</v>
      </c>
      <c r="B155" s="22" t="str">
        <f t="shared" si="36"/>
        <v>PM</v>
      </c>
      <c r="C155" s="23" t="str">
        <f t="shared" si="26"/>
        <v>August</v>
      </c>
      <c r="D155" s="13" t="str">
        <f t="shared" si="27"/>
        <v>TUE</v>
      </c>
      <c r="E155" s="24">
        <v>0</v>
      </c>
      <c r="F155" s="24">
        <v>0</v>
      </c>
      <c r="G155" s="24">
        <v>0</v>
      </c>
      <c r="H155" s="24">
        <f t="shared" si="28"/>
        <v>0</v>
      </c>
      <c r="I155" s="24">
        <f t="shared" si="29"/>
        <v>0</v>
      </c>
      <c r="J155" s="24">
        <v>0</v>
      </c>
      <c r="K155" s="24">
        <f t="shared" si="30"/>
        <v>0</v>
      </c>
      <c r="L155" s="25">
        <v>0</v>
      </c>
      <c r="M155" s="25">
        <v>0</v>
      </c>
      <c r="N155" s="26">
        <f t="shared" si="31"/>
        <v>0</v>
      </c>
      <c r="O155" s="24">
        <f t="shared" si="32"/>
        <v>0</v>
      </c>
      <c r="P155" s="24">
        <f t="shared" si="33"/>
        <v>0</v>
      </c>
      <c r="Q155" s="29">
        <f t="shared" si="34"/>
        <v>0</v>
      </c>
      <c r="R155" s="30">
        <f>COUNTIF(RAW_DATA[[#This Row],[CONVERTED]],"&gt;0")</f>
        <v>0</v>
      </c>
      <c r="S155" s="30">
        <f>COUNTIFS(RAW_DATA[[#This Row],[AM/PM]],"AM",RAW_DATA[[#This Row],[CONVERTED]],"&gt;0")</f>
        <v>0</v>
      </c>
      <c r="T155" s="19">
        <f t="shared" si="37"/>
        <v>0</v>
      </c>
      <c r="U155" s="20" t="str">
        <f t="shared" si="35"/>
        <v>SINGLE</v>
      </c>
    </row>
    <row r="156" spans="1:21" x14ac:dyDescent="0.35">
      <c r="A156" s="21">
        <f t="shared" si="38"/>
        <v>45168</v>
      </c>
      <c r="B156" s="22" t="str">
        <f t="shared" si="36"/>
        <v>AM</v>
      </c>
      <c r="C156" s="23" t="str">
        <f t="shared" si="26"/>
        <v>August</v>
      </c>
      <c r="D156" s="13" t="str">
        <f t="shared" si="27"/>
        <v>WED</v>
      </c>
      <c r="E156" s="24">
        <v>787</v>
      </c>
      <c r="F156" s="24">
        <v>120.1</v>
      </c>
      <c r="G156" s="24">
        <v>20</v>
      </c>
      <c r="H156" s="24">
        <f t="shared" si="28"/>
        <v>31.48</v>
      </c>
      <c r="I156" s="24">
        <f t="shared" si="29"/>
        <v>2.0176799999999999</v>
      </c>
      <c r="J156" s="24">
        <v>0</v>
      </c>
      <c r="K156" s="24">
        <f t="shared" si="30"/>
        <v>86.602319999999992</v>
      </c>
      <c r="L156" s="25">
        <v>3</v>
      </c>
      <c r="M156" s="25">
        <v>33</v>
      </c>
      <c r="N156" s="26">
        <f t="shared" si="31"/>
        <v>3.55</v>
      </c>
      <c r="O156" s="24">
        <f t="shared" si="32"/>
        <v>7.5614999999999997</v>
      </c>
      <c r="P156" s="24">
        <f t="shared" si="33"/>
        <v>94.163819999999987</v>
      </c>
      <c r="Q156" s="29">
        <f t="shared" si="34"/>
        <v>114.16381999999999</v>
      </c>
      <c r="R156" s="30">
        <f>COUNTIF(RAW_DATA[[#This Row],[CONVERTED]],"&gt;0")</f>
        <v>1</v>
      </c>
      <c r="S156" s="30">
        <f>COUNTIFS(RAW_DATA[[#This Row],[AM/PM]],"AM",RAW_DATA[[#This Row],[CONVERTED]],"&gt;0")</f>
        <v>1</v>
      </c>
      <c r="T156" s="19">
        <f t="shared" si="37"/>
        <v>0</v>
      </c>
      <c r="U156" s="20" t="str">
        <f t="shared" si="35"/>
        <v>DOUBLE</v>
      </c>
    </row>
    <row r="157" spans="1:21" x14ac:dyDescent="0.35">
      <c r="A157" s="21">
        <f t="shared" si="38"/>
        <v>45168</v>
      </c>
      <c r="B157" s="22" t="str">
        <f t="shared" si="36"/>
        <v>PM</v>
      </c>
      <c r="C157" s="23" t="str">
        <f t="shared" si="26"/>
        <v>August</v>
      </c>
      <c r="D157" s="13" t="str">
        <f t="shared" si="27"/>
        <v>WED</v>
      </c>
      <c r="E157" s="24">
        <v>954.5</v>
      </c>
      <c r="F157" s="24">
        <v>157.63999999999999</v>
      </c>
      <c r="G157" s="24">
        <v>0</v>
      </c>
      <c r="H157" s="24">
        <f t="shared" si="28"/>
        <v>38.18</v>
      </c>
      <c r="I157" s="24">
        <f t="shared" si="29"/>
        <v>2.6483519999999996</v>
      </c>
      <c r="J157" s="24">
        <v>0</v>
      </c>
      <c r="K157" s="24">
        <f t="shared" si="30"/>
        <v>116.81164799999999</v>
      </c>
      <c r="L157" s="25">
        <v>4</v>
      </c>
      <c r="M157" s="25">
        <v>27</v>
      </c>
      <c r="N157" s="26">
        <f t="shared" si="31"/>
        <v>4.45</v>
      </c>
      <c r="O157" s="24">
        <f t="shared" si="32"/>
        <v>9.4785000000000004</v>
      </c>
      <c r="P157" s="24">
        <f t="shared" si="33"/>
        <v>126.29014799999999</v>
      </c>
      <c r="Q157" s="29">
        <f t="shared" si="34"/>
        <v>126.29014799999999</v>
      </c>
      <c r="R157" s="30">
        <f>COUNTIF(RAW_DATA[[#This Row],[CONVERTED]],"&gt;0")</f>
        <v>1</v>
      </c>
      <c r="S157" s="30">
        <f>COUNTIFS(RAW_DATA[[#This Row],[AM/PM]],"AM",RAW_DATA[[#This Row],[CONVERTED]],"&gt;0")</f>
        <v>0</v>
      </c>
      <c r="T157" s="19">
        <f t="shared" si="37"/>
        <v>1</v>
      </c>
      <c r="U157" s="20" t="str">
        <f t="shared" si="35"/>
        <v>DOUBLE</v>
      </c>
    </row>
    <row r="158" spans="1:21" x14ac:dyDescent="0.35">
      <c r="A158" s="21">
        <f t="shared" si="38"/>
        <v>45169</v>
      </c>
      <c r="B158" s="22" t="str">
        <f t="shared" si="36"/>
        <v>AM</v>
      </c>
      <c r="C158" s="23" t="str">
        <f t="shared" si="26"/>
        <v>August</v>
      </c>
      <c r="D158" s="13" t="str">
        <f t="shared" si="27"/>
        <v>THU</v>
      </c>
      <c r="E158" s="24">
        <v>0</v>
      </c>
      <c r="F158" s="24">
        <v>0</v>
      </c>
      <c r="G158" s="24">
        <v>0</v>
      </c>
      <c r="H158" s="24">
        <f t="shared" si="28"/>
        <v>0</v>
      </c>
      <c r="I158" s="24">
        <f t="shared" si="29"/>
        <v>0</v>
      </c>
      <c r="J158" s="24">
        <v>0</v>
      </c>
      <c r="K158" s="24">
        <f t="shared" si="30"/>
        <v>0</v>
      </c>
      <c r="L158" s="25">
        <v>0</v>
      </c>
      <c r="M158" s="25">
        <v>0</v>
      </c>
      <c r="N158" s="26">
        <f t="shared" si="31"/>
        <v>0</v>
      </c>
      <c r="O158" s="24">
        <f t="shared" si="32"/>
        <v>0</v>
      </c>
      <c r="P158" s="24">
        <f t="shared" si="33"/>
        <v>0</v>
      </c>
      <c r="Q158" s="29">
        <f t="shared" si="34"/>
        <v>0</v>
      </c>
      <c r="R158" s="30">
        <f>COUNTIF(RAW_DATA[[#This Row],[CONVERTED]],"&gt;0")</f>
        <v>0</v>
      </c>
      <c r="S158" s="30">
        <f>COUNTIFS(RAW_DATA[[#This Row],[AM/PM]],"AM",RAW_DATA[[#This Row],[CONVERTED]],"&gt;0")</f>
        <v>0</v>
      </c>
      <c r="T158" s="19">
        <f t="shared" si="37"/>
        <v>0</v>
      </c>
      <c r="U158" s="20" t="str">
        <f t="shared" si="35"/>
        <v>SINGLE</v>
      </c>
    </row>
    <row r="159" spans="1:21" x14ac:dyDescent="0.35">
      <c r="A159" s="21">
        <f t="shared" si="38"/>
        <v>45169</v>
      </c>
      <c r="B159" s="22" t="str">
        <f t="shared" si="36"/>
        <v>PM</v>
      </c>
      <c r="C159" s="23" t="str">
        <f t="shared" si="26"/>
        <v>August</v>
      </c>
      <c r="D159" s="13" t="str">
        <f t="shared" si="27"/>
        <v>THU</v>
      </c>
      <c r="E159" s="24">
        <v>0</v>
      </c>
      <c r="F159" s="24">
        <v>0</v>
      </c>
      <c r="G159" s="24">
        <v>0</v>
      </c>
      <c r="H159" s="24">
        <f t="shared" si="28"/>
        <v>0</v>
      </c>
      <c r="I159" s="24">
        <f t="shared" si="29"/>
        <v>0</v>
      </c>
      <c r="J159" s="24">
        <v>0</v>
      </c>
      <c r="K159" s="24">
        <f t="shared" si="30"/>
        <v>0</v>
      </c>
      <c r="L159" s="25">
        <v>0</v>
      </c>
      <c r="M159" s="25">
        <v>0</v>
      </c>
      <c r="N159" s="26">
        <f t="shared" si="31"/>
        <v>0</v>
      </c>
      <c r="O159" s="24">
        <f t="shared" si="32"/>
        <v>0</v>
      </c>
      <c r="P159" s="24">
        <f t="shared" si="33"/>
        <v>0</v>
      </c>
      <c r="Q159" s="29">
        <f t="shared" si="34"/>
        <v>0</v>
      </c>
      <c r="R159" s="30">
        <f>COUNTIF(RAW_DATA[[#This Row],[CONVERTED]],"&gt;0")</f>
        <v>0</v>
      </c>
      <c r="S159" s="30">
        <f>COUNTIFS(RAW_DATA[[#This Row],[AM/PM]],"AM",RAW_DATA[[#This Row],[CONVERTED]],"&gt;0")</f>
        <v>0</v>
      </c>
      <c r="T159" s="19">
        <f t="shared" si="37"/>
        <v>0</v>
      </c>
      <c r="U159" s="20" t="str">
        <f t="shared" si="35"/>
        <v>SINGLE</v>
      </c>
    </row>
    <row r="160" spans="1:21" x14ac:dyDescent="0.35">
      <c r="A160" s="21">
        <f t="shared" si="38"/>
        <v>45170</v>
      </c>
      <c r="B160" s="22" t="str">
        <f t="shared" si="36"/>
        <v>AM</v>
      </c>
      <c r="C160" s="23" t="str">
        <f t="shared" si="26"/>
        <v>September</v>
      </c>
      <c r="D160" s="13" t="str">
        <f t="shared" si="27"/>
        <v>FRI</v>
      </c>
      <c r="E160" s="24">
        <v>0</v>
      </c>
      <c r="F160" s="24">
        <v>0</v>
      </c>
      <c r="G160" s="24">
        <v>0</v>
      </c>
      <c r="H160" s="24">
        <f t="shared" si="28"/>
        <v>0</v>
      </c>
      <c r="I160" s="24">
        <f t="shared" si="29"/>
        <v>0</v>
      </c>
      <c r="J160" s="24">
        <v>0</v>
      </c>
      <c r="K160" s="24">
        <f t="shared" si="30"/>
        <v>0</v>
      </c>
      <c r="L160" s="25">
        <v>0</v>
      </c>
      <c r="M160" s="25">
        <v>0</v>
      </c>
      <c r="N160" s="26">
        <f t="shared" si="31"/>
        <v>0</v>
      </c>
      <c r="O160" s="24">
        <f t="shared" si="32"/>
        <v>0</v>
      </c>
      <c r="P160" s="24">
        <f t="shared" si="33"/>
        <v>0</v>
      </c>
      <c r="Q160" s="29">
        <f t="shared" si="34"/>
        <v>0</v>
      </c>
      <c r="R160" s="30">
        <f>COUNTIF(RAW_DATA[[#This Row],[CONVERTED]],"&gt;0")</f>
        <v>0</v>
      </c>
      <c r="S160" s="30">
        <f>COUNTIFS(RAW_DATA[[#This Row],[AM/PM]],"AM",RAW_DATA[[#This Row],[CONVERTED]],"&gt;0")</f>
        <v>0</v>
      </c>
      <c r="T160" s="19">
        <f t="shared" si="37"/>
        <v>0</v>
      </c>
      <c r="U160" s="20" t="str">
        <f t="shared" si="35"/>
        <v>SINGLE</v>
      </c>
    </row>
    <row r="161" spans="1:21" x14ac:dyDescent="0.35">
      <c r="A161" s="21">
        <f t="shared" si="38"/>
        <v>45170</v>
      </c>
      <c r="B161" s="22" t="str">
        <f t="shared" si="36"/>
        <v>PM</v>
      </c>
      <c r="C161" s="23" t="str">
        <f t="shared" si="26"/>
        <v>September</v>
      </c>
      <c r="D161" s="13" t="str">
        <f t="shared" si="27"/>
        <v>FRI</v>
      </c>
      <c r="E161" s="24">
        <v>0</v>
      </c>
      <c r="F161" s="24">
        <v>0</v>
      </c>
      <c r="G161" s="24">
        <v>0</v>
      </c>
      <c r="H161" s="24">
        <f t="shared" si="28"/>
        <v>0</v>
      </c>
      <c r="I161" s="24">
        <f t="shared" si="29"/>
        <v>0</v>
      </c>
      <c r="J161" s="24">
        <v>0</v>
      </c>
      <c r="K161" s="24">
        <f t="shared" si="30"/>
        <v>0</v>
      </c>
      <c r="L161" s="25">
        <v>0</v>
      </c>
      <c r="M161" s="25">
        <v>0</v>
      </c>
      <c r="N161" s="26">
        <f t="shared" si="31"/>
        <v>0</v>
      </c>
      <c r="O161" s="24">
        <f t="shared" si="32"/>
        <v>0</v>
      </c>
      <c r="P161" s="24">
        <f t="shared" si="33"/>
        <v>0</v>
      </c>
      <c r="Q161" s="29">
        <f t="shared" si="34"/>
        <v>0</v>
      </c>
      <c r="R161" s="30">
        <f>COUNTIF(RAW_DATA[[#This Row],[CONVERTED]],"&gt;0")</f>
        <v>0</v>
      </c>
      <c r="S161" s="30">
        <f>COUNTIFS(RAW_DATA[[#This Row],[AM/PM]],"AM",RAW_DATA[[#This Row],[CONVERTED]],"&gt;0")</f>
        <v>0</v>
      </c>
      <c r="T161" s="19">
        <f t="shared" si="37"/>
        <v>0</v>
      </c>
      <c r="U161" s="20" t="str">
        <f t="shared" si="35"/>
        <v>SINGLE</v>
      </c>
    </row>
    <row r="162" spans="1:21" x14ac:dyDescent="0.35">
      <c r="A162" s="21">
        <f t="shared" si="38"/>
        <v>45171</v>
      </c>
      <c r="B162" s="22" t="str">
        <f t="shared" si="36"/>
        <v>AM</v>
      </c>
      <c r="C162" s="23" t="str">
        <f t="shared" si="26"/>
        <v>September</v>
      </c>
      <c r="D162" s="13" t="str">
        <f t="shared" si="27"/>
        <v>SAT</v>
      </c>
      <c r="E162" s="24">
        <v>0</v>
      </c>
      <c r="F162" s="24">
        <v>0</v>
      </c>
      <c r="G162" s="24">
        <v>0</v>
      </c>
      <c r="H162" s="24">
        <f t="shared" si="28"/>
        <v>0</v>
      </c>
      <c r="I162" s="24">
        <f t="shared" si="29"/>
        <v>0</v>
      </c>
      <c r="J162" s="24">
        <v>0</v>
      </c>
      <c r="K162" s="24">
        <f t="shared" si="30"/>
        <v>0</v>
      </c>
      <c r="L162" s="25">
        <v>0</v>
      </c>
      <c r="M162" s="25">
        <v>0</v>
      </c>
      <c r="N162" s="26">
        <f t="shared" si="31"/>
        <v>0</v>
      </c>
      <c r="O162" s="24">
        <f t="shared" si="32"/>
        <v>0</v>
      </c>
      <c r="P162" s="24">
        <f t="shared" si="33"/>
        <v>0</v>
      </c>
      <c r="Q162" s="29">
        <f t="shared" si="34"/>
        <v>0</v>
      </c>
      <c r="R162" s="30">
        <f>COUNTIF(RAW_DATA[[#This Row],[CONVERTED]],"&gt;0")</f>
        <v>0</v>
      </c>
      <c r="S162" s="30">
        <f>COUNTIFS(RAW_DATA[[#This Row],[AM/PM]],"AM",RAW_DATA[[#This Row],[CONVERTED]],"&gt;0")</f>
        <v>0</v>
      </c>
      <c r="T162" s="19">
        <f t="shared" si="37"/>
        <v>0</v>
      </c>
      <c r="U162" s="20" t="str">
        <f t="shared" si="35"/>
        <v>SINGLE</v>
      </c>
    </row>
    <row r="163" spans="1:21" x14ac:dyDescent="0.35">
      <c r="A163" s="21">
        <f t="shared" si="38"/>
        <v>45171</v>
      </c>
      <c r="B163" s="22" t="str">
        <f t="shared" si="36"/>
        <v>PM</v>
      </c>
      <c r="C163" s="23" t="str">
        <f t="shared" si="26"/>
        <v>September</v>
      </c>
      <c r="D163" s="13" t="str">
        <f t="shared" si="27"/>
        <v>SAT</v>
      </c>
      <c r="E163" s="24">
        <v>1714</v>
      </c>
      <c r="F163" s="24">
        <v>301.2</v>
      </c>
      <c r="G163" s="24">
        <v>75</v>
      </c>
      <c r="H163" s="24">
        <f t="shared" si="28"/>
        <v>68.56</v>
      </c>
      <c r="I163" s="24">
        <f t="shared" si="29"/>
        <v>5.0601599999999998</v>
      </c>
      <c r="J163" s="24">
        <v>20</v>
      </c>
      <c r="K163" s="24">
        <f t="shared" si="30"/>
        <v>227.57983999999999</v>
      </c>
      <c r="L163" s="25">
        <v>7</v>
      </c>
      <c r="M163" s="25">
        <v>24</v>
      </c>
      <c r="N163" s="26">
        <f t="shared" si="31"/>
        <v>7.4</v>
      </c>
      <c r="O163" s="24">
        <f t="shared" si="32"/>
        <v>15.762</v>
      </c>
      <c r="P163" s="24">
        <f t="shared" si="33"/>
        <v>263.34183999999999</v>
      </c>
      <c r="Q163" s="29">
        <f t="shared" si="34"/>
        <v>318.34183999999999</v>
      </c>
      <c r="R163" s="30">
        <f>COUNTIF(RAW_DATA[[#This Row],[CONVERTED]],"&gt;0")</f>
        <v>1</v>
      </c>
      <c r="S163" s="30">
        <f>COUNTIFS(RAW_DATA[[#This Row],[AM/PM]],"AM",RAW_DATA[[#This Row],[CONVERTED]],"&gt;0")</f>
        <v>0</v>
      </c>
      <c r="T163" s="19">
        <f t="shared" si="37"/>
        <v>0</v>
      </c>
      <c r="U163" s="20" t="str">
        <f t="shared" si="35"/>
        <v>SINGLE</v>
      </c>
    </row>
    <row r="164" spans="1:21" x14ac:dyDescent="0.35">
      <c r="A164" s="21">
        <f t="shared" si="38"/>
        <v>45172</v>
      </c>
      <c r="B164" s="22" t="str">
        <f t="shared" si="36"/>
        <v>AM</v>
      </c>
      <c r="C164" s="23" t="str">
        <f t="shared" si="26"/>
        <v>September</v>
      </c>
      <c r="D164" s="13" t="str">
        <f t="shared" si="27"/>
        <v>SUN</v>
      </c>
      <c r="E164" s="24">
        <v>0</v>
      </c>
      <c r="F164" s="24">
        <v>0</v>
      </c>
      <c r="G164" s="24">
        <v>0</v>
      </c>
      <c r="H164" s="24">
        <f t="shared" si="28"/>
        <v>0</v>
      </c>
      <c r="I164" s="24">
        <f t="shared" si="29"/>
        <v>0</v>
      </c>
      <c r="J164" s="24">
        <v>0</v>
      </c>
      <c r="K164" s="24">
        <f t="shared" si="30"/>
        <v>0</v>
      </c>
      <c r="L164" s="25">
        <v>0</v>
      </c>
      <c r="M164" s="25">
        <v>0</v>
      </c>
      <c r="N164" s="26">
        <f t="shared" si="31"/>
        <v>0</v>
      </c>
      <c r="O164" s="24">
        <f t="shared" si="32"/>
        <v>0</v>
      </c>
      <c r="P164" s="24">
        <f t="shared" si="33"/>
        <v>0</v>
      </c>
      <c r="Q164" s="29">
        <f t="shared" si="34"/>
        <v>0</v>
      </c>
      <c r="R164" s="30">
        <f>COUNTIF(RAW_DATA[[#This Row],[CONVERTED]],"&gt;0")</f>
        <v>0</v>
      </c>
      <c r="S164" s="30">
        <f>COUNTIFS(RAW_DATA[[#This Row],[AM/PM]],"AM",RAW_DATA[[#This Row],[CONVERTED]],"&gt;0")</f>
        <v>0</v>
      </c>
      <c r="T164" s="19">
        <f t="shared" si="37"/>
        <v>0</v>
      </c>
      <c r="U164" s="20" t="str">
        <f t="shared" si="35"/>
        <v>SINGLE</v>
      </c>
    </row>
    <row r="165" spans="1:21" x14ac:dyDescent="0.35">
      <c r="A165" s="21">
        <f t="shared" si="38"/>
        <v>45172</v>
      </c>
      <c r="B165" s="22" t="str">
        <f t="shared" si="36"/>
        <v>PM</v>
      </c>
      <c r="C165" s="23" t="str">
        <f t="shared" si="26"/>
        <v>September</v>
      </c>
      <c r="D165" s="13" t="str">
        <f t="shared" si="27"/>
        <v>SUN</v>
      </c>
      <c r="E165" s="24">
        <v>1227.5</v>
      </c>
      <c r="F165" s="24">
        <v>173.5</v>
      </c>
      <c r="G165" s="24">
        <v>60</v>
      </c>
      <c r="H165" s="24">
        <f t="shared" si="28"/>
        <v>49.1</v>
      </c>
      <c r="I165" s="24">
        <f t="shared" si="29"/>
        <v>2.9147999999999996</v>
      </c>
      <c r="J165" s="24">
        <v>9.5</v>
      </c>
      <c r="K165" s="24">
        <f t="shared" si="30"/>
        <v>121.48519999999999</v>
      </c>
      <c r="L165" s="25">
        <v>5</v>
      </c>
      <c r="M165" s="25">
        <v>15</v>
      </c>
      <c r="N165" s="26">
        <f t="shared" si="31"/>
        <v>5.25</v>
      </c>
      <c r="O165" s="24">
        <f t="shared" si="32"/>
        <v>11.182499999999999</v>
      </c>
      <c r="P165" s="24">
        <f t="shared" si="33"/>
        <v>142.1677</v>
      </c>
      <c r="Q165" s="29">
        <f t="shared" si="34"/>
        <v>192.6677</v>
      </c>
      <c r="R165" s="30">
        <f>COUNTIF(RAW_DATA[[#This Row],[CONVERTED]],"&gt;0")</f>
        <v>1</v>
      </c>
      <c r="S165" s="30">
        <f>COUNTIFS(RAW_DATA[[#This Row],[AM/PM]],"AM",RAW_DATA[[#This Row],[CONVERTED]],"&gt;0")</f>
        <v>0</v>
      </c>
      <c r="T165" s="19">
        <f t="shared" si="37"/>
        <v>0</v>
      </c>
      <c r="U165" s="20" t="str">
        <f t="shared" si="35"/>
        <v>SINGLE</v>
      </c>
    </row>
    <row r="166" spans="1:21" x14ac:dyDescent="0.35">
      <c r="A166" s="21">
        <f t="shared" si="38"/>
        <v>45173</v>
      </c>
      <c r="B166" s="22" t="str">
        <f t="shared" si="36"/>
        <v>AM</v>
      </c>
      <c r="C166" s="23" t="str">
        <f t="shared" si="26"/>
        <v>September</v>
      </c>
      <c r="D166" s="13" t="str">
        <f t="shared" si="27"/>
        <v>MON</v>
      </c>
      <c r="E166" s="24">
        <v>0</v>
      </c>
      <c r="F166" s="24">
        <v>0</v>
      </c>
      <c r="G166" s="24">
        <v>0</v>
      </c>
      <c r="H166" s="24">
        <f t="shared" si="28"/>
        <v>0</v>
      </c>
      <c r="I166" s="24">
        <f t="shared" si="29"/>
        <v>0</v>
      </c>
      <c r="J166" s="24">
        <v>0</v>
      </c>
      <c r="K166" s="24">
        <f t="shared" si="30"/>
        <v>0</v>
      </c>
      <c r="L166" s="25">
        <v>0</v>
      </c>
      <c r="M166" s="25">
        <v>0</v>
      </c>
      <c r="N166" s="26">
        <f t="shared" si="31"/>
        <v>0</v>
      </c>
      <c r="O166" s="24">
        <f t="shared" si="32"/>
        <v>0</v>
      </c>
      <c r="P166" s="24">
        <f t="shared" si="33"/>
        <v>0</v>
      </c>
      <c r="Q166" s="29">
        <f t="shared" si="34"/>
        <v>0</v>
      </c>
      <c r="R166" s="30">
        <f>COUNTIF(RAW_DATA[[#This Row],[CONVERTED]],"&gt;0")</f>
        <v>0</v>
      </c>
      <c r="S166" s="30">
        <f>COUNTIFS(RAW_DATA[[#This Row],[AM/PM]],"AM",RAW_DATA[[#This Row],[CONVERTED]],"&gt;0")</f>
        <v>0</v>
      </c>
      <c r="T166" s="19">
        <f t="shared" si="37"/>
        <v>0</v>
      </c>
      <c r="U166" s="20" t="str">
        <f t="shared" si="35"/>
        <v>SINGLE</v>
      </c>
    </row>
    <row r="167" spans="1:21" x14ac:dyDescent="0.35">
      <c r="A167" s="21">
        <f t="shared" si="38"/>
        <v>45173</v>
      </c>
      <c r="B167" s="22" t="str">
        <f t="shared" si="36"/>
        <v>PM</v>
      </c>
      <c r="C167" s="23" t="str">
        <f t="shared" si="26"/>
        <v>September</v>
      </c>
      <c r="D167" s="13" t="str">
        <f t="shared" si="27"/>
        <v>MON</v>
      </c>
      <c r="E167" s="24">
        <v>1301.5</v>
      </c>
      <c r="F167" s="24">
        <v>224.13</v>
      </c>
      <c r="G167" s="24">
        <v>15</v>
      </c>
      <c r="H167" s="24">
        <f t="shared" si="28"/>
        <v>52.06</v>
      </c>
      <c r="I167" s="24">
        <f t="shared" si="29"/>
        <v>3.7653839999999996</v>
      </c>
      <c r="J167" s="24">
        <v>0</v>
      </c>
      <c r="K167" s="24">
        <f t="shared" si="30"/>
        <v>168.30461600000001</v>
      </c>
      <c r="L167" s="25">
        <v>5</v>
      </c>
      <c r="M167" s="25">
        <v>56</v>
      </c>
      <c r="N167" s="26">
        <f t="shared" si="31"/>
        <v>5.9333333333333336</v>
      </c>
      <c r="O167" s="24">
        <f t="shared" si="32"/>
        <v>12.638</v>
      </c>
      <c r="P167" s="24">
        <f t="shared" si="33"/>
        <v>180.94261600000002</v>
      </c>
      <c r="Q167" s="29">
        <f t="shared" si="34"/>
        <v>195.94261600000002</v>
      </c>
      <c r="R167" s="30">
        <f>COUNTIF(RAW_DATA[[#This Row],[CONVERTED]],"&gt;0")</f>
        <v>1</v>
      </c>
      <c r="S167" s="30">
        <f>COUNTIFS(RAW_DATA[[#This Row],[AM/PM]],"AM",RAW_DATA[[#This Row],[CONVERTED]],"&gt;0")</f>
        <v>0</v>
      </c>
      <c r="T167" s="19">
        <f t="shared" si="37"/>
        <v>0</v>
      </c>
      <c r="U167" s="20" t="str">
        <f t="shared" si="35"/>
        <v>SINGLE</v>
      </c>
    </row>
    <row r="168" spans="1:21" x14ac:dyDescent="0.35">
      <c r="A168" s="21">
        <f t="shared" si="38"/>
        <v>45174</v>
      </c>
      <c r="B168" s="22" t="str">
        <f t="shared" si="36"/>
        <v>AM</v>
      </c>
      <c r="C168" s="23" t="str">
        <f t="shared" si="26"/>
        <v>September</v>
      </c>
      <c r="D168" s="13" t="str">
        <f t="shared" si="27"/>
        <v>TUE</v>
      </c>
      <c r="E168" s="24">
        <v>0</v>
      </c>
      <c r="F168" s="24">
        <v>0</v>
      </c>
      <c r="G168" s="24">
        <v>0</v>
      </c>
      <c r="H168" s="24">
        <f t="shared" si="28"/>
        <v>0</v>
      </c>
      <c r="I168" s="24">
        <f t="shared" si="29"/>
        <v>0</v>
      </c>
      <c r="J168" s="24">
        <v>0</v>
      </c>
      <c r="K168" s="24">
        <f t="shared" si="30"/>
        <v>0</v>
      </c>
      <c r="L168" s="25">
        <v>0</v>
      </c>
      <c r="M168" s="25">
        <v>0</v>
      </c>
      <c r="N168" s="26">
        <f t="shared" si="31"/>
        <v>0</v>
      </c>
      <c r="O168" s="24">
        <f t="shared" si="32"/>
        <v>0</v>
      </c>
      <c r="P168" s="24">
        <f t="shared" si="33"/>
        <v>0</v>
      </c>
      <c r="Q168" s="29">
        <f t="shared" si="34"/>
        <v>0</v>
      </c>
      <c r="R168" s="30">
        <f>COUNTIF(RAW_DATA[[#This Row],[CONVERTED]],"&gt;0")</f>
        <v>0</v>
      </c>
      <c r="S168" s="30">
        <f>COUNTIFS(RAW_DATA[[#This Row],[AM/PM]],"AM",RAW_DATA[[#This Row],[CONVERTED]],"&gt;0")</f>
        <v>0</v>
      </c>
      <c r="T168" s="19">
        <f t="shared" si="37"/>
        <v>0</v>
      </c>
      <c r="U168" s="20" t="str">
        <f t="shared" si="35"/>
        <v>SINGLE</v>
      </c>
    </row>
    <row r="169" spans="1:21" x14ac:dyDescent="0.35">
      <c r="A169" s="21">
        <f t="shared" si="38"/>
        <v>45174</v>
      </c>
      <c r="B169" s="22" t="str">
        <f t="shared" si="36"/>
        <v>PM</v>
      </c>
      <c r="C169" s="23" t="str">
        <f t="shared" si="26"/>
        <v>September</v>
      </c>
      <c r="D169" s="13" t="str">
        <f t="shared" si="27"/>
        <v>TUE</v>
      </c>
      <c r="E169" s="24">
        <v>950</v>
      </c>
      <c r="F169" s="24">
        <v>168.14</v>
      </c>
      <c r="G169" s="24">
        <v>9</v>
      </c>
      <c r="H169" s="24">
        <f t="shared" si="28"/>
        <v>38</v>
      </c>
      <c r="I169" s="24">
        <f t="shared" si="29"/>
        <v>2.8247519999999997</v>
      </c>
      <c r="J169" s="24">
        <v>7.2</v>
      </c>
      <c r="K169" s="24">
        <f t="shared" si="30"/>
        <v>127.315248</v>
      </c>
      <c r="L169" s="25">
        <v>6</v>
      </c>
      <c r="M169" s="25">
        <v>6</v>
      </c>
      <c r="N169" s="26">
        <f t="shared" si="31"/>
        <v>6.1</v>
      </c>
      <c r="O169" s="24">
        <f t="shared" si="32"/>
        <v>12.992999999999999</v>
      </c>
      <c r="P169" s="24">
        <f t="shared" si="33"/>
        <v>147.50824799999998</v>
      </c>
      <c r="Q169" s="29">
        <f t="shared" si="34"/>
        <v>149.30824799999999</v>
      </c>
      <c r="R169" s="30">
        <f>COUNTIF(RAW_DATA[[#This Row],[CONVERTED]],"&gt;0")</f>
        <v>1</v>
      </c>
      <c r="S169" s="30">
        <f>COUNTIFS(RAW_DATA[[#This Row],[AM/PM]],"AM",RAW_DATA[[#This Row],[CONVERTED]],"&gt;0")</f>
        <v>0</v>
      </c>
      <c r="T169" s="19">
        <f t="shared" si="37"/>
        <v>0</v>
      </c>
      <c r="U169" s="20" t="str">
        <f t="shared" si="35"/>
        <v>SINGLE</v>
      </c>
    </row>
    <row r="170" spans="1:21" x14ac:dyDescent="0.35">
      <c r="A170" s="21">
        <f t="shared" si="38"/>
        <v>45175</v>
      </c>
      <c r="B170" s="22" t="str">
        <f t="shared" si="36"/>
        <v>AM</v>
      </c>
      <c r="C170" s="23" t="str">
        <f t="shared" si="26"/>
        <v>September</v>
      </c>
      <c r="D170" s="13" t="str">
        <f t="shared" si="27"/>
        <v>WED</v>
      </c>
      <c r="E170" s="24">
        <v>223</v>
      </c>
      <c r="F170" s="24">
        <v>46.65</v>
      </c>
      <c r="G170" s="24">
        <v>0</v>
      </c>
      <c r="H170" s="24">
        <f t="shared" si="28"/>
        <v>8.92</v>
      </c>
      <c r="I170" s="24">
        <f t="shared" si="29"/>
        <v>0.78371999999999997</v>
      </c>
      <c r="J170" s="24">
        <v>0</v>
      </c>
      <c r="K170" s="24">
        <f t="shared" si="30"/>
        <v>36.946280000000002</v>
      </c>
      <c r="L170" s="25">
        <v>2</v>
      </c>
      <c r="M170" s="25">
        <v>40</v>
      </c>
      <c r="N170" s="26">
        <f t="shared" si="31"/>
        <v>2.6666666666666665</v>
      </c>
      <c r="O170" s="24">
        <f t="shared" si="32"/>
        <v>5.68</v>
      </c>
      <c r="P170" s="24">
        <f t="shared" si="33"/>
        <v>42.626280000000001</v>
      </c>
      <c r="Q170" s="29">
        <f t="shared" si="34"/>
        <v>42.626280000000001</v>
      </c>
      <c r="R170" s="30">
        <f>COUNTIF(RAW_DATA[[#This Row],[CONVERTED]],"&gt;0")</f>
        <v>1</v>
      </c>
      <c r="S170" s="30">
        <f>COUNTIFS(RAW_DATA[[#This Row],[AM/PM]],"AM",RAW_DATA[[#This Row],[CONVERTED]],"&gt;0")</f>
        <v>1</v>
      </c>
      <c r="T170" s="19">
        <f t="shared" si="37"/>
        <v>0</v>
      </c>
      <c r="U170" s="20" t="str">
        <f t="shared" si="35"/>
        <v>SINGLE</v>
      </c>
    </row>
    <row r="171" spans="1:21" x14ac:dyDescent="0.35">
      <c r="A171" s="21">
        <f t="shared" si="38"/>
        <v>45175</v>
      </c>
      <c r="B171" s="22" t="str">
        <f t="shared" si="36"/>
        <v>PM</v>
      </c>
      <c r="C171" s="23" t="str">
        <f t="shared" si="26"/>
        <v>September</v>
      </c>
      <c r="D171" s="13" t="str">
        <f t="shared" si="27"/>
        <v>WED</v>
      </c>
      <c r="E171" s="24">
        <v>0</v>
      </c>
      <c r="F171" s="24">
        <v>0</v>
      </c>
      <c r="G171" s="24">
        <v>0</v>
      </c>
      <c r="H171" s="24">
        <f t="shared" si="28"/>
        <v>0</v>
      </c>
      <c r="I171" s="24">
        <f t="shared" si="29"/>
        <v>0</v>
      </c>
      <c r="J171" s="24">
        <v>0</v>
      </c>
      <c r="K171" s="24">
        <f t="shared" si="30"/>
        <v>0</v>
      </c>
      <c r="L171" s="25">
        <v>0</v>
      </c>
      <c r="M171" s="25">
        <v>0</v>
      </c>
      <c r="N171" s="26">
        <f t="shared" si="31"/>
        <v>0</v>
      </c>
      <c r="O171" s="24">
        <f t="shared" si="32"/>
        <v>0</v>
      </c>
      <c r="P171" s="24">
        <f t="shared" si="33"/>
        <v>0</v>
      </c>
      <c r="Q171" s="29">
        <f t="shared" si="34"/>
        <v>0</v>
      </c>
      <c r="R171" s="30">
        <f>COUNTIF(RAW_DATA[[#This Row],[CONVERTED]],"&gt;0")</f>
        <v>0</v>
      </c>
      <c r="S171" s="30">
        <f>COUNTIFS(RAW_DATA[[#This Row],[AM/PM]],"AM",RAW_DATA[[#This Row],[CONVERTED]],"&gt;0")</f>
        <v>0</v>
      </c>
      <c r="T171" s="19">
        <f t="shared" si="37"/>
        <v>0</v>
      </c>
      <c r="U171" s="20" t="str">
        <f t="shared" si="35"/>
        <v>SINGLE</v>
      </c>
    </row>
    <row r="172" spans="1:21" x14ac:dyDescent="0.35">
      <c r="A172" s="21">
        <f t="shared" si="38"/>
        <v>45176</v>
      </c>
      <c r="B172" s="22" t="str">
        <f t="shared" si="36"/>
        <v>AM</v>
      </c>
      <c r="C172" s="23" t="str">
        <f t="shared" si="26"/>
        <v>September</v>
      </c>
      <c r="D172" s="13" t="str">
        <f t="shared" si="27"/>
        <v>THU</v>
      </c>
      <c r="E172" s="24">
        <v>0</v>
      </c>
      <c r="F172" s="24">
        <v>0</v>
      </c>
      <c r="G172" s="24">
        <v>0</v>
      </c>
      <c r="H172" s="24">
        <f t="shared" si="28"/>
        <v>0</v>
      </c>
      <c r="I172" s="24">
        <f t="shared" si="29"/>
        <v>0</v>
      </c>
      <c r="J172" s="24">
        <v>0</v>
      </c>
      <c r="K172" s="24">
        <f t="shared" si="30"/>
        <v>0</v>
      </c>
      <c r="L172" s="25">
        <v>0</v>
      </c>
      <c r="M172" s="25">
        <v>0</v>
      </c>
      <c r="N172" s="26">
        <f t="shared" si="31"/>
        <v>0</v>
      </c>
      <c r="O172" s="24">
        <f t="shared" si="32"/>
        <v>0</v>
      </c>
      <c r="P172" s="24">
        <f t="shared" si="33"/>
        <v>0</v>
      </c>
      <c r="Q172" s="29">
        <f t="shared" si="34"/>
        <v>0</v>
      </c>
      <c r="R172" s="30">
        <f>COUNTIF(RAW_DATA[[#This Row],[CONVERTED]],"&gt;0")</f>
        <v>0</v>
      </c>
      <c r="S172" s="30">
        <f>COUNTIFS(RAW_DATA[[#This Row],[AM/PM]],"AM",RAW_DATA[[#This Row],[CONVERTED]],"&gt;0")</f>
        <v>0</v>
      </c>
      <c r="T172" s="19">
        <f t="shared" si="37"/>
        <v>0</v>
      </c>
      <c r="U172" s="20" t="str">
        <f t="shared" si="35"/>
        <v>SINGLE</v>
      </c>
    </row>
    <row r="173" spans="1:21" x14ac:dyDescent="0.35">
      <c r="A173" s="21">
        <f t="shared" si="38"/>
        <v>45176</v>
      </c>
      <c r="B173" s="22" t="str">
        <f t="shared" si="36"/>
        <v>PM</v>
      </c>
      <c r="C173" s="23" t="str">
        <f t="shared" si="26"/>
        <v>September</v>
      </c>
      <c r="D173" s="13" t="str">
        <f t="shared" si="27"/>
        <v>THU</v>
      </c>
      <c r="E173" s="24">
        <v>0</v>
      </c>
      <c r="F173" s="24">
        <v>0</v>
      </c>
      <c r="G173" s="24">
        <v>0</v>
      </c>
      <c r="H173" s="24">
        <f t="shared" si="28"/>
        <v>0</v>
      </c>
      <c r="I173" s="24">
        <f t="shared" si="29"/>
        <v>0</v>
      </c>
      <c r="J173" s="24">
        <v>0</v>
      </c>
      <c r="K173" s="24">
        <f t="shared" si="30"/>
        <v>0</v>
      </c>
      <c r="L173" s="25">
        <v>0</v>
      </c>
      <c r="M173" s="25">
        <v>0</v>
      </c>
      <c r="N173" s="26">
        <f t="shared" si="31"/>
        <v>0</v>
      </c>
      <c r="O173" s="24">
        <f t="shared" si="32"/>
        <v>0</v>
      </c>
      <c r="P173" s="24">
        <f t="shared" si="33"/>
        <v>0</v>
      </c>
      <c r="Q173" s="29">
        <f t="shared" si="34"/>
        <v>0</v>
      </c>
      <c r="R173" s="30">
        <f>COUNTIF(RAW_DATA[[#This Row],[CONVERTED]],"&gt;0")</f>
        <v>0</v>
      </c>
      <c r="S173" s="30">
        <f>COUNTIFS(RAW_DATA[[#This Row],[AM/PM]],"AM",RAW_DATA[[#This Row],[CONVERTED]],"&gt;0")</f>
        <v>0</v>
      </c>
      <c r="T173" s="19">
        <f t="shared" si="37"/>
        <v>0</v>
      </c>
      <c r="U173" s="20" t="str">
        <f t="shared" si="35"/>
        <v>SINGLE</v>
      </c>
    </row>
    <row r="174" spans="1:21" x14ac:dyDescent="0.35">
      <c r="A174" s="21">
        <f t="shared" si="38"/>
        <v>45177</v>
      </c>
      <c r="B174" s="22" t="str">
        <f t="shared" si="36"/>
        <v>AM</v>
      </c>
      <c r="C174" s="23" t="str">
        <f t="shared" si="26"/>
        <v>September</v>
      </c>
      <c r="D174" s="13" t="str">
        <f t="shared" si="27"/>
        <v>FRI</v>
      </c>
      <c r="E174" s="24">
        <v>0</v>
      </c>
      <c r="F174" s="24">
        <v>0</v>
      </c>
      <c r="G174" s="24">
        <v>0</v>
      </c>
      <c r="H174" s="24">
        <f t="shared" si="28"/>
        <v>0</v>
      </c>
      <c r="I174" s="24">
        <f t="shared" si="29"/>
        <v>0</v>
      </c>
      <c r="J174" s="24">
        <v>0</v>
      </c>
      <c r="K174" s="24">
        <f t="shared" si="30"/>
        <v>0</v>
      </c>
      <c r="L174" s="25">
        <v>0</v>
      </c>
      <c r="M174" s="25">
        <v>0</v>
      </c>
      <c r="N174" s="26">
        <f t="shared" si="31"/>
        <v>0</v>
      </c>
      <c r="O174" s="24">
        <f t="shared" si="32"/>
        <v>0</v>
      </c>
      <c r="P174" s="24">
        <f t="shared" si="33"/>
        <v>0</v>
      </c>
      <c r="Q174" s="29">
        <f t="shared" si="34"/>
        <v>0</v>
      </c>
      <c r="R174" s="30">
        <f>COUNTIF(RAW_DATA[[#This Row],[CONVERTED]],"&gt;0")</f>
        <v>0</v>
      </c>
      <c r="S174" s="30">
        <f>COUNTIFS(RAW_DATA[[#This Row],[AM/PM]],"AM",RAW_DATA[[#This Row],[CONVERTED]],"&gt;0")</f>
        <v>0</v>
      </c>
      <c r="T174" s="19">
        <f t="shared" si="37"/>
        <v>0</v>
      </c>
      <c r="U174" s="20" t="str">
        <f t="shared" si="35"/>
        <v>SINGLE</v>
      </c>
    </row>
    <row r="175" spans="1:21" x14ac:dyDescent="0.35">
      <c r="A175" s="21">
        <f t="shared" si="38"/>
        <v>45177</v>
      </c>
      <c r="B175" s="22" t="str">
        <f t="shared" si="36"/>
        <v>PM</v>
      </c>
      <c r="C175" s="23" t="str">
        <f t="shared" si="26"/>
        <v>September</v>
      </c>
      <c r="D175" s="13" t="str">
        <f t="shared" si="27"/>
        <v>FRI</v>
      </c>
      <c r="E175" s="24">
        <v>1417</v>
      </c>
      <c r="F175" s="24">
        <v>245.95</v>
      </c>
      <c r="G175" s="24">
        <v>23</v>
      </c>
      <c r="H175" s="24">
        <f t="shared" si="28"/>
        <v>56.68</v>
      </c>
      <c r="I175" s="24">
        <f t="shared" si="29"/>
        <v>4.1319599999999994</v>
      </c>
      <c r="J175" s="24">
        <v>9.5</v>
      </c>
      <c r="K175" s="24">
        <f t="shared" si="30"/>
        <v>185.13803999999999</v>
      </c>
      <c r="L175" s="25">
        <v>5</v>
      </c>
      <c r="M175" s="25">
        <v>41</v>
      </c>
      <c r="N175" s="26">
        <f t="shared" si="31"/>
        <v>5.6833333333333336</v>
      </c>
      <c r="O175" s="24">
        <f t="shared" si="32"/>
        <v>12.105499999999999</v>
      </c>
      <c r="P175" s="24">
        <f t="shared" si="33"/>
        <v>206.74354</v>
      </c>
      <c r="Q175" s="29">
        <f t="shared" si="34"/>
        <v>220.24354</v>
      </c>
      <c r="R175" s="30">
        <f>COUNTIF(RAW_DATA[[#This Row],[CONVERTED]],"&gt;0")</f>
        <v>1</v>
      </c>
      <c r="S175" s="30">
        <f>COUNTIFS(RAW_DATA[[#This Row],[AM/PM]],"AM",RAW_DATA[[#This Row],[CONVERTED]],"&gt;0")</f>
        <v>0</v>
      </c>
      <c r="T175" s="19">
        <f t="shared" si="37"/>
        <v>0</v>
      </c>
      <c r="U175" s="20" t="str">
        <f t="shared" si="35"/>
        <v>SINGLE</v>
      </c>
    </row>
    <row r="176" spans="1:21" x14ac:dyDescent="0.35">
      <c r="A176" s="21">
        <f t="shared" si="38"/>
        <v>45178</v>
      </c>
      <c r="B176" s="22" t="str">
        <f t="shared" si="36"/>
        <v>AM</v>
      </c>
      <c r="C176" s="23" t="str">
        <f t="shared" si="26"/>
        <v>September</v>
      </c>
      <c r="D176" s="13" t="str">
        <f t="shared" si="27"/>
        <v>SAT</v>
      </c>
      <c r="E176" s="24">
        <v>589</v>
      </c>
      <c r="F176" s="24">
        <v>121.81</v>
      </c>
      <c r="G176" s="24">
        <v>0</v>
      </c>
      <c r="H176" s="24">
        <f t="shared" si="28"/>
        <v>23.56</v>
      </c>
      <c r="I176" s="24">
        <f t="shared" si="29"/>
        <v>2.046408</v>
      </c>
      <c r="J176" s="24">
        <v>0</v>
      </c>
      <c r="K176" s="24">
        <f t="shared" si="30"/>
        <v>96.203592</v>
      </c>
      <c r="L176" s="25">
        <v>4</v>
      </c>
      <c r="M176" s="25">
        <v>39</v>
      </c>
      <c r="N176" s="26">
        <f t="shared" si="31"/>
        <v>4.6500000000000004</v>
      </c>
      <c r="O176" s="24">
        <f t="shared" si="32"/>
        <v>9.9045000000000005</v>
      </c>
      <c r="P176" s="24">
        <f t="shared" si="33"/>
        <v>106.108092</v>
      </c>
      <c r="Q176" s="29">
        <f t="shared" si="34"/>
        <v>106.108092</v>
      </c>
      <c r="R176" s="30">
        <f>COUNTIF(RAW_DATA[[#This Row],[CONVERTED]],"&gt;0")</f>
        <v>1</v>
      </c>
      <c r="S176" s="30">
        <f>COUNTIFS(RAW_DATA[[#This Row],[AM/PM]],"AM",RAW_DATA[[#This Row],[CONVERTED]],"&gt;0")</f>
        <v>1</v>
      </c>
      <c r="T176" s="19">
        <f t="shared" si="37"/>
        <v>0</v>
      </c>
      <c r="U176" s="20" t="str">
        <f t="shared" si="35"/>
        <v>SINGLE</v>
      </c>
    </row>
    <row r="177" spans="1:21" x14ac:dyDescent="0.35">
      <c r="A177" s="21">
        <f t="shared" si="38"/>
        <v>45178</v>
      </c>
      <c r="B177" s="22" t="str">
        <f t="shared" si="36"/>
        <v>PM</v>
      </c>
      <c r="C177" s="23" t="str">
        <f t="shared" si="26"/>
        <v>September</v>
      </c>
      <c r="D177" s="13" t="str">
        <f t="shared" si="27"/>
        <v>SAT</v>
      </c>
      <c r="E177" s="24">
        <v>0</v>
      </c>
      <c r="F177" s="24">
        <v>0</v>
      </c>
      <c r="G177" s="24">
        <v>0</v>
      </c>
      <c r="H177" s="24">
        <f t="shared" si="28"/>
        <v>0</v>
      </c>
      <c r="I177" s="24">
        <f t="shared" si="29"/>
        <v>0</v>
      </c>
      <c r="J177" s="24">
        <v>0</v>
      </c>
      <c r="K177" s="24">
        <f t="shared" si="30"/>
        <v>0</v>
      </c>
      <c r="L177" s="25">
        <v>0</v>
      </c>
      <c r="M177" s="25">
        <v>0</v>
      </c>
      <c r="N177" s="26">
        <f t="shared" si="31"/>
        <v>0</v>
      </c>
      <c r="O177" s="24">
        <f t="shared" si="32"/>
        <v>0</v>
      </c>
      <c r="P177" s="24">
        <f t="shared" si="33"/>
        <v>0</v>
      </c>
      <c r="Q177" s="29">
        <f t="shared" si="34"/>
        <v>0</v>
      </c>
      <c r="R177" s="30">
        <f>COUNTIF(RAW_DATA[[#This Row],[CONVERTED]],"&gt;0")</f>
        <v>0</v>
      </c>
      <c r="S177" s="30">
        <f>COUNTIFS(RAW_DATA[[#This Row],[AM/PM]],"AM",RAW_DATA[[#This Row],[CONVERTED]],"&gt;0")</f>
        <v>0</v>
      </c>
      <c r="T177" s="19">
        <f t="shared" si="37"/>
        <v>0</v>
      </c>
      <c r="U177" s="20" t="str">
        <f t="shared" si="35"/>
        <v>SINGLE</v>
      </c>
    </row>
    <row r="178" spans="1:21" x14ac:dyDescent="0.35">
      <c r="A178" s="21">
        <f t="shared" si="38"/>
        <v>45179</v>
      </c>
      <c r="B178" s="22" t="str">
        <f t="shared" si="36"/>
        <v>AM</v>
      </c>
      <c r="C178" s="23" t="str">
        <f t="shared" si="26"/>
        <v>September</v>
      </c>
      <c r="D178" s="13" t="str">
        <f t="shared" si="27"/>
        <v>SUN</v>
      </c>
      <c r="E178" s="24">
        <f>1638.5/2</f>
        <v>819.25</v>
      </c>
      <c r="F178" s="24">
        <f>300.25/2</f>
        <v>150.125</v>
      </c>
      <c r="G178" s="24">
        <v>0</v>
      </c>
      <c r="H178" s="24">
        <f t="shared" si="28"/>
        <v>32.770000000000003</v>
      </c>
      <c r="I178" s="24">
        <f t="shared" si="29"/>
        <v>2.5221</v>
      </c>
      <c r="J178" s="24">
        <v>0</v>
      </c>
      <c r="K178" s="24">
        <f t="shared" si="30"/>
        <v>114.8329</v>
      </c>
      <c r="L178" s="25">
        <v>4</v>
      </c>
      <c r="M178" s="25">
        <v>10</v>
      </c>
      <c r="N178" s="26">
        <f t="shared" si="31"/>
        <v>4.166666666666667</v>
      </c>
      <c r="O178" s="24">
        <f t="shared" si="32"/>
        <v>8.875</v>
      </c>
      <c r="P178" s="24">
        <f t="shared" si="33"/>
        <v>123.7079</v>
      </c>
      <c r="Q178" s="29">
        <f t="shared" si="34"/>
        <v>123.7079</v>
      </c>
      <c r="R178" s="30">
        <f>COUNTIF(RAW_DATA[[#This Row],[CONVERTED]],"&gt;0")</f>
        <v>1</v>
      </c>
      <c r="S178" s="30">
        <f>COUNTIFS(RAW_DATA[[#This Row],[AM/PM]],"AM",RAW_DATA[[#This Row],[CONVERTED]],"&gt;0")</f>
        <v>1</v>
      </c>
      <c r="T178" s="19">
        <f t="shared" si="37"/>
        <v>0</v>
      </c>
      <c r="U178" s="20" t="str">
        <f t="shared" si="35"/>
        <v>DOUBLE</v>
      </c>
    </row>
    <row r="179" spans="1:21" x14ac:dyDescent="0.35">
      <c r="A179" s="21">
        <f t="shared" si="38"/>
        <v>45179</v>
      </c>
      <c r="B179" s="22" t="str">
        <f t="shared" si="36"/>
        <v>PM</v>
      </c>
      <c r="C179" s="23" t="str">
        <f t="shared" si="26"/>
        <v>September</v>
      </c>
      <c r="D179" s="13" t="str">
        <f t="shared" si="27"/>
        <v>SUN</v>
      </c>
      <c r="E179" s="24">
        <f>1638.5/2</f>
        <v>819.25</v>
      </c>
      <c r="F179" s="24">
        <f>300.25/2</f>
        <v>150.125</v>
      </c>
      <c r="G179" s="24">
        <v>0</v>
      </c>
      <c r="H179" s="24">
        <f t="shared" si="28"/>
        <v>32.770000000000003</v>
      </c>
      <c r="I179" s="24">
        <f t="shared" si="29"/>
        <v>2.5221</v>
      </c>
      <c r="J179" s="24">
        <v>0</v>
      </c>
      <c r="K179" s="24">
        <f t="shared" si="30"/>
        <v>114.8329</v>
      </c>
      <c r="L179" s="25">
        <v>4</v>
      </c>
      <c r="M179" s="25">
        <v>10</v>
      </c>
      <c r="N179" s="26">
        <f t="shared" si="31"/>
        <v>4.166666666666667</v>
      </c>
      <c r="O179" s="24">
        <f t="shared" si="32"/>
        <v>8.875</v>
      </c>
      <c r="P179" s="24">
        <f t="shared" si="33"/>
        <v>123.7079</v>
      </c>
      <c r="Q179" s="29">
        <f t="shared" si="34"/>
        <v>123.7079</v>
      </c>
      <c r="R179" s="30">
        <f>COUNTIF(RAW_DATA[[#This Row],[CONVERTED]],"&gt;0")</f>
        <v>1</v>
      </c>
      <c r="S179" s="30">
        <f>COUNTIFS(RAW_DATA[[#This Row],[AM/PM]],"AM",RAW_DATA[[#This Row],[CONVERTED]],"&gt;0")</f>
        <v>0</v>
      </c>
      <c r="T179" s="19">
        <f t="shared" si="37"/>
        <v>1</v>
      </c>
      <c r="U179" s="20" t="str">
        <f t="shared" si="35"/>
        <v>DOUBLE</v>
      </c>
    </row>
    <row r="180" spans="1:21" x14ac:dyDescent="0.35">
      <c r="A180" s="21">
        <f t="shared" si="38"/>
        <v>45180</v>
      </c>
      <c r="B180" s="22" t="str">
        <f t="shared" si="36"/>
        <v>AM</v>
      </c>
      <c r="C180" s="23" t="str">
        <f t="shared" si="26"/>
        <v>September</v>
      </c>
      <c r="D180" s="13" t="str">
        <f t="shared" si="27"/>
        <v>MON</v>
      </c>
      <c r="E180" s="24">
        <v>349</v>
      </c>
      <c r="F180" s="24">
        <v>55.5</v>
      </c>
      <c r="G180" s="24">
        <v>21</v>
      </c>
      <c r="H180" s="24">
        <f t="shared" si="28"/>
        <v>13.96</v>
      </c>
      <c r="I180" s="24">
        <f t="shared" si="29"/>
        <v>0.9323999999999999</v>
      </c>
      <c r="J180" s="24">
        <v>6</v>
      </c>
      <c r="K180" s="24">
        <f t="shared" si="30"/>
        <v>40.607599999999998</v>
      </c>
      <c r="L180" s="25">
        <v>3</v>
      </c>
      <c r="M180" s="25">
        <v>21</v>
      </c>
      <c r="N180" s="26">
        <f t="shared" si="31"/>
        <v>3.35</v>
      </c>
      <c r="O180" s="24">
        <f t="shared" si="32"/>
        <v>7.1354999999999995</v>
      </c>
      <c r="P180" s="24">
        <f t="shared" si="33"/>
        <v>53.743099999999998</v>
      </c>
      <c r="Q180" s="29">
        <f t="shared" si="34"/>
        <v>68.743099999999998</v>
      </c>
      <c r="R180" s="30">
        <f>COUNTIF(RAW_DATA[[#This Row],[CONVERTED]],"&gt;0")</f>
        <v>1</v>
      </c>
      <c r="S180" s="30">
        <f>COUNTIFS(RAW_DATA[[#This Row],[AM/PM]],"AM",RAW_DATA[[#This Row],[CONVERTED]],"&gt;0")</f>
        <v>1</v>
      </c>
      <c r="T180" s="19">
        <f t="shared" si="37"/>
        <v>0</v>
      </c>
      <c r="U180" s="20" t="str">
        <f t="shared" si="35"/>
        <v>DOUBLE</v>
      </c>
    </row>
    <row r="181" spans="1:21" x14ac:dyDescent="0.35">
      <c r="A181" s="21">
        <f t="shared" si="38"/>
        <v>45180</v>
      </c>
      <c r="B181" s="22" t="str">
        <f t="shared" si="36"/>
        <v>PM</v>
      </c>
      <c r="C181" s="23" t="str">
        <f t="shared" si="26"/>
        <v>September</v>
      </c>
      <c r="D181" s="13" t="str">
        <f t="shared" si="27"/>
        <v>MON</v>
      </c>
      <c r="E181" s="24">
        <v>430</v>
      </c>
      <c r="F181" s="24">
        <v>75.7</v>
      </c>
      <c r="G181" s="24">
        <v>11</v>
      </c>
      <c r="H181" s="24">
        <f t="shared" si="28"/>
        <v>17.2</v>
      </c>
      <c r="I181" s="24">
        <f t="shared" si="29"/>
        <v>1.27176</v>
      </c>
      <c r="J181" s="24">
        <v>4.2</v>
      </c>
      <c r="K181" s="24">
        <f t="shared" si="30"/>
        <v>57.22824</v>
      </c>
      <c r="L181" s="25">
        <v>3</v>
      </c>
      <c r="M181" s="25">
        <v>40</v>
      </c>
      <c r="N181" s="26">
        <f t="shared" si="31"/>
        <v>3.6666666666666665</v>
      </c>
      <c r="O181" s="24">
        <f t="shared" si="32"/>
        <v>7.81</v>
      </c>
      <c r="P181" s="24">
        <f t="shared" si="33"/>
        <v>69.238240000000005</v>
      </c>
      <c r="Q181" s="29">
        <f t="shared" si="34"/>
        <v>76.038240000000002</v>
      </c>
      <c r="R181" s="30">
        <f>COUNTIF(RAW_DATA[[#This Row],[CONVERTED]],"&gt;0")</f>
        <v>1</v>
      </c>
      <c r="S181" s="30">
        <f>COUNTIFS(RAW_DATA[[#This Row],[AM/PM]],"AM",RAW_DATA[[#This Row],[CONVERTED]],"&gt;0")</f>
        <v>0</v>
      </c>
      <c r="T181" s="19">
        <f t="shared" si="37"/>
        <v>1</v>
      </c>
      <c r="U181" s="20" t="str">
        <f t="shared" si="35"/>
        <v>DOUBLE</v>
      </c>
    </row>
    <row r="182" spans="1:21" x14ac:dyDescent="0.35">
      <c r="A182" s="21">
        <f t="shared" si="38"/>
        <v>45181</v>
      </c>
      <c r="B182" s="22" t="str">
        <f t="shared" si="36"/>
        <v>AM</v>
      </c>
      <c r="C182" s="23" t="str">
        <f t="shared" si="26"/>
        <v>September</v>
      </c>
      <c r="D182" s="13" t="str">
        <f t="shared" si="27"/>
        <v>TUE</v>
      </c>
      <c r="E182" s="24">
        <v>0</v>
      </c>
      <c r="F182" s="24">
        <v>0</v>
      </c>
      <c r="G182" s="24">
        <v>0</v>
      </c>
      <c r="H182" s="24">
        <f t="shared" si="28"/>
        <v>0</v>
      </c>
      <c r="I182" s="24">
        <f t="shared" si="29"/>
        <v>0</v>
      </c>
      <c r="J182" s="24">
        <v>0</v>
      </c>
      <c r="K182" s="24">
        <f t="shared" si="30"/>
        <v>0</v>
      </c>
      <c r="L182" s="25">
        <v>0</v>
      </c>
      <c r="M182" s="25">
        <v>0</v>
      </c>
      <c r="N182" s="26">
        <f t="shared" si="31"/>
        <v>0</v>
      </c>
      <c r="O182" s="24">
        <f t="shared" si="32"/>
        <v>0</v>
      </c>
      <c r="P182" s="24">
        <f t="shared" si="33"/>
        <v>0</v>
      </c>
      <c r="Q182" s="29">
        <f t="shared" si="34"/>
        <v>0</v>
      </c>
      <c r="R182" s="30">
        <f>COUNTIF(RAW_DATA[[#This Row],[CONVERTED]],"&gt;0")</f>
        <v>0</v>
      </c>
      <c r="S182" s="30">
        <f>COUNTIFS(RAW_DATA[[#This Row],[AM/PM]],"AM",RAW_DATA[[#This Row],[CONVERTED]],"&gt;0")</f>
        <v>0</v>
      </c>
      <c r="T182" s="19">
        <f t="shared" si="37"/>
        <v>0</v>
      </c>
      <c r="U182" s="20" t="str">
        <f t="shared" si="35"/>
        <v>SINGLE</v>
      </c>
    </row>
    <row r="183" spans="1:21" x14ac:dyDescent="0.35">
      <c r="A183" s="21">
        <f t="shared" si="38"/>
        <v>45181</v>
      </c>
      <c r="B183" s="22" t="str">
        <f t="shared" si="36"/>
        <v>PM</v>
      </c>
      <c r="C183" s="23" t="str">
        <f t="shared" si="26"/>
        <v>September</v>
      </c>
      <c r="D183" s="13" t="str">
        <f t="shared" si="27"/>
        <v>TUE</v>
      </c>
      <c r="E183" s="24">
        <v>0</v>
      </c>
      <c r="F183" s="24">
        <v>0</v>
      </c>
      <c r="G183" s="24">
        <v>0</v>
      </c>
      <c r="H183" s="24">
        <f t="shared" si="28"/>
        <v>0</v>
      </c>
      <c r="I183" s="24">
        <f t="shared" si="29"/>
        <v>0</v>
      </c>
      <c r="J183" s="24">
        <v>0</v>
      </c>
      <c r="K183" s="24">
        <f t="shared" si="30"/>
        <v>0</v>
      </c>
      <c r="L183" s="25">
        <v>0</v>
      </c>
      <c r="M183" s="25">
        <v>0</v>
      </c>
      <c r="N183" s="26">
        <f t="shared" si="31"/>
        <v>0</v>
      </c>
      <c r="O183" s="24">
        <f t="shared" si="32"/>
        <v>0</v>
      </c>
      <c r="P183" s="24">
        <f t="shared" si="33"/>
        <v>0</v>
      </c>
      <c r="Q183" s="29">
        <f t="shared" si="34"/>
        <v>0</v>
      </c>
      <c r="R183" s="30">
        <f>COUNTIF(RAW_DATA[[#This Row],[CONVERTED]],"&gt;0")</f>
        <v>0</v>
      </c>
      <c r="S183" s="30">
        <f>COUNTIFS(RAW_DATA[[#This Row],[AM/PM]],"AM",RAW_DATA[[#This Row],[CONVERTED]],"&gt;0")</f>
        <v>0</v>
      </c>
      <c r="T183" s="19">
        <f t="shared" si="37"/>
        <v>0</v>
      </c>
      <c r="U183" s="20" t="str">
        <f t="shared" si="35"/>
        <v>SINGLE</v>
      </c>
    </row>
    <row r="184" spans="1:21" x14ac:dyDescent="0.35">
      <c r="A184" s="21">
        <f t="shared" si="38"/>
        <v>45182</v>
      </c>
      <c r="B184" s="22" t="str">
        <f t="shared" si="36"/>
        <v>AM</v>
      </c>
      <c r="C184" s="23" t="str">
        <f t="shared" si="26"/>
        <v>September</v>
      </c>
      <c r="D184" s="13" t="str">
        <f t="shared" si="27"/>
        <v>WED</v>
      </c>
      <c r="E184" s="24">
        <v>731</v>
      </c>
      <c r="F184" s="24">
        <v>130.46</v>
      </c>
      <c r="G184" s="24">
        <v>0</v>
      </c>
      <c r="H184" s="24">
        <f t="shared" si="28"/>
        <v>29.240000000000002</v>
      </c>
      <c r="I184" s="24">
        <f t="shared" si="29"/>
        <v>2.1917279999999999</v>
      </c>
      <c r="J184" s="24">
        <v>0</v>
      </c>
      <c r="K184" s="24">
        <f t="shared" si="30"/>
        <v>99.028272000000001</v>
      </c>
      <c r="L184" s="25">
        <v>4</v>
      </c>
      <c r="M184" s="25">
        <v>26</v>
      </c>
      <c r="N184" s="26">
        <f t="shared" si="31"/>
        <v>4.4333333333333336</v>
      </c>
      <c r="O184" s="24">
        <f t="shared" si="32"/>
        <v>9.4429999999999996</v>
      </c>
      <c r="P184" s="24">
        <f t="shared" si="33"/>
        <v>108.471272</v>
      </c>
      <c r="Q184" s="29">
        <f t="shared" si="34"/>
        <v>108.471272</v>
      </c>
      <c r="R184" s="30">
        <f>COUNTIF(RAW_DATA[[#This Row],[CONVERTED]],"&gt;0")</f>
        <v>1</v>
      </c>
      <c r="S184" s="30">
        <f>COUNTIFS(RAW_DATA[[#This Row],[AM/PM]],"AM",RAW_DATA[[#This Row],[CONVERTED]],"&gt;0")</f>
        <v>1</v>
      </c>
      <c r="T184" s="19">
        <f t="shared" si="37"/>
        <v>0</v>
      </c>
      <c r="U184" s="20" t="str">
        <f t="shared" si="35"/>
        <v>SINGLE</v>
      </c>
    </row>
    <row r="185" spans="1:21" x14ac:dyDescent="0.35">
      <c r="A185" s="21">
        <f t="shared" si="38"/>
        <v>45182</v>
      </c>
      <c r="B185" s="22" t="str">
        <f t="shared" si="36"/>
        <v>PM</v>
      </c>
      <c r="C185" s="23" t="str">
        <f t="shared" si="26"/>
        <v>September</v>
      </c>
      <c r="D185" s="13" t="str">
        <f t="shared" si="27"/>
        <v>WED</v>
      </c>
      <c r="E185" s="24">
        <v>0</v>
      </c>
      <c r="F185" s="24">
        <v>0</v>
      </c>
      <c r="G185" s="24">
        <v>0</v>
      </c>
      <c r="H185" s="24">
        <f t="shared" si="28"/>
        <v>0</v>
      </c>
      <c r="I185" s="24">
        <f t="shared" si="29"/>
        <v>0</v>
      </c>
      <c r="J185" s="24">
        <v>0</v>
      </c>
      <c r="K185" s="24">
        <f t="shared" si="30"/>
        <v>0</v>
      </c>
      <c r="L185" s="25">
        <v>0</v>
      </c>
      <c r="M185" s="25">
        <v>0</v>
      </c>
      <c r="N185" s="26">
        <f t="shared" si="31"/>
        <v>0</v>
      </c>
      <c r="O185" s="24">
        <f t="shared" si="32"/>
        <v>0</v>
      </c>
      <c r="P185" s="24">
        <f t="shared" si="33"/>
        <v>0</v>
      </c>
      <c r="Q185" s="29">
        <f t="shared" si="34"/>
        <v>0</v>
      </c>
      <c r="R185" s="30">
        <f>COUNTIF(RAW_DATA[[#This Row],[CONVERTED]],"&gt;0")</f>
        <v>0</v>
      </c>
      <c r="S185" s="30">
        <f>COUNTIFS(RAW_DATA[[#This Row],[AM/PM]],"AM",RAW_DATA[[#This Row],[CONVERTED]],"&gt;0")</f>
        <v>0</v>
      </c>
      <c r="T185" s="19">
        <f t="shared" si="37"/>
        <v>0</v>
      </c>
      <c r="U185" s="20" t="str">
        <f t="shared" si="35"/>
        <v>SINGLE</v>
      </c>
    </row>
    <row r="186" spans="1:21" x14ac:dyDescent="0.35">
      <c r="A186" s="21">
        <f t="shared" si="38"/>
        <v>45183</v>
      </c>
      <c r="B186" s="22" t="str">
        <f t="shared" si="36"/>
        <v>AM</v>
      </c>
      <c r="C186" s="23" t="str">
        <f t="shared" si="26"/>
        <v>September</v>
      </c>
      <c r="D186" s="13" t="str">
        <f t="shared" si="27"/>
        <v>THU</v>
      </c>
      <c r="E186" s="24">
        <v>0</v>
      </c>
      <c r="F186" s="24">
        <v>0</v>
      </c>
      <c r="G186" s="24">
        <v>0</v>
      </c>
      <c r="H186" s="24">
        <f t="shared" si="28"/>
        <v>0</v>
      </c>
      <c r="I186" s="24">
        <f t="shared" si="29"/>
        <v>0</v>
      </c>
      <c r="J186" s="24">
        <v>0</v>
      </c>
      <c r="K186" s="24">
        <f t="shared" si="30"/>
        <v>0</v>
      </c>
      <c r="L186" s="25">
        <v>0</v>
      </c>
      <c r="M186" s="25">
        <v>0</v>
      </c>
      <c r="N186" s="26">
        <f t="shared" si="31"/>
        <v>0</v>
      </c>
      <c r="O186" s="24">
        <f t="shared" si="32"/>
        <v>0</v>
      </c>
      <c r="P186" s="24">
        <f t="shared" si="33"/>
        <v>0</v>
      </c>
      <c r="Q186" s="29">
        <f t="shared" si="34"/>
        <v>0</v>
      </c>
      <c r="R186" s="30">
        <f>COUNTIF(RAW_DATA[[#This Row],[CONVERTED]],"&gt;0")</f>
        <v>0</v>
      </c>
      <c r="S186" s="30">
        <f>COUNTIFS(RAW_DATA[[#This Row],[AM/PM]],"AM",RAW_DATA[[#This Row],[CONVERTED]],"&gt;0")</f>
        <v>0</v>
      </c>
      <c r="T186" s="19">
        <f t="shared" si="37"/>
        <v>0</v>
      </c>
      <c r="U186" s="20" t="str">
        <f t="shared" si="35"/>
        <v>SINGLE</v>
      </c>
    </row>
    <row r="187" spans="1:21" x14ac:dyDescent="0.35">
      <c r="A187" s="21">
        <f t="shared" si="38"/>
        <v>45183</v>
      </c>
      <c r="B187" s="22" t="str">
        <f t="shared" si="36"/>
        <v>PM</v>
      </c>
      <c r="C187" s="23" t="str">
        <f t="shared" si="26"/>
        <v>September</v>
      </c>
      <c r="D187" s="13" t="str">
        <f t="shared" si="27"/>
        <v>THU</v>
      </c>
      <c r="E187" s="24">
        <v>0</v>
      </c>
      <c r="F187" s="24">
        <v>0</v>
      </c>
      <c r="G187" s="24">
        <v>0</v>
      </c>
      <c r="H187" s="24">
        <f t="shared" si="28"/>
        <v>0</v>
      </c>
      <c r="I187" s="24">
        <f t="shared" si="29"/>
        <v>0</v>
      </c>
      <c r="J187" s="24">
        <v>0</v>
      </c>
      <c r="K187" s="24">
        <f t="shared" si="30"/>
        <v>0</v>
      </c>
      <c r="L187" s="25">
        <v>0</v>
      </c>
      <c r="M187" s="25">
        <v>0</v>
      </c>
      <c r="N187" s="26">
        <f t="shared" si="31"/>
        <v>0</v>
      </c>
      <c r="O187" s="24">
        <f t="shared" si="32"/>
        <v>0</v>
      </c>
      <c r="P187" s="24">
        <f t="shared" si="33"/>
        <v>0</v>
      </c>
      <c r="Q187" s="29">
        <f t="shared" si="34"/>
        <v>0</v>
      </c>
      <c r="R187" s="30">
        <f>COUNTIF(RAW_DATA[[#This Row],[CONVERTED]],"&gt;0")</f>
        <v>0</v>
      </c>
      <c r="S187" s="30">
        <f>COUNTIFS(RAW_DATA[[#This Row],[AM/PM]],"AM",RAW_DATA[[#This Row],[CONVERTED]],"&gt;0")</f>
        <v>0</v>
      </c>
      <c r="T187" s="19">
        <f t="shared" si="37"/>
        <v>0</v>
      </c>
      <c r="U187" s="20" t="str">
        <f t="shared" si="35"/>
        <v>SINGLE</v>
      </c>
    </row>
    <row r="188" spans="1:21" x14ac:dyDescent="0.35">
      <c r="A188" s="21">
        <f t="shared" si="38"/>
        <v>45184</v>
      </c>
      <c r="B188" s="22" t="str">
        <f t="shared" si="36"/>
        <v>AM</v>
      </c>
      <c r="C188" s="23" t="str">
        <f t="shared" si="26"/>
        <v>September</v>
      </c>
      <c r="D188" s="13" t="str">
        <f t="shared" si="27"/>
        <v>FRI</v>
      </c>
      <c r="E188" s="24">
        <v>649.5</v>
      </c>
      <c r="F188" s="24">
        <v>130.25</v>
      </c>
      <c r="G188" s="24">
        <v>0</v>
      </c>
      <c r="H188" s="24">
        <f t="shared" si="28"/>
        <v>25.98</v>
      </c>
      <c r="I188" s="24">
        <f t="shared" si="29"/>
        <v>2.1881999999999997</v>
      </c>
      <c r="J188" s="24">
        <v>0</v>
      </c>
      <c r="K188" s="24">
        <f t="shared" si="30"/>
        <v>102.0818</v>
      </c>
      <c r="L188" s="25">
        <v>3</v>
      </c>
      <c r="M188" s="25">
        <v>38</v>
      </c>
      <c r="N188" s="26">
        <f t="shared" si="31"/>
        <v>3.6333333333333333</v>
      </c>
      <c r="O188" s="24">
        <f t="shared" si="32"/>
        <v>7.7389999999999999</v>
      </c>
      <c r="P188" s="24">
        <f t="shared" si="33"/>
        <v>109.82080000000001</v>
      </c>
      <c r="Q188" s="29">
        <f t="shared" si="34"/>
        <v>109.82080000000001</v>
      </c>
      <c r="R188" s="30">
        <f>COUNTIF(RAW_DATA[[#This Row],[CONVERTED]],"&gt;0")</f>
        <v>1</v>
      </c>
      <c r="S188" s="30">
        <f>COUNTIFS(RAW_DATA[[#This Row],[AM/PM]],"AM",RAW_DATA[[#This Row],[CONVERTED]],"&gt;0")</f>
        <v>1</v>
      </c>
      <c r="T188" s="19">
        <f t="shared" si="37"/>
        <v>0</v>
      </c>
      <c r="U188" s="20" t="str">
        <f t="shared" si="35"/>
        <v>DOUBLE</v>
      </c>
    </row>
    <row r="189" spans="1:21" x14ac:dyDescent="0.35">
      <c r="A189" s="21">
        <f t="shared" si="38"/>
        <v>45184</v>
      </c>
      <c r="B189" s="22" t="str">
        <f t="shared" si="36"/>
        <v>PM</v>
      </c>
      <c r="C189" s="23" t="str">
        <f t="shared" si="26"/>
        <v>September</v>
      </c>
      <c r="D189" s="13" t="str">
        <f t="shared" si="27"/>
        <v>FRI</v>
      </c>
      <c r="E189" s="24">
        <v>862.5</v>
      </c>
      <c r="F189" s="24">
        <v>156.68</v>
      </c>
      <c r="G189" s="24">
        <v>0</v>
      </c>
      <c r="H189" s="24">
        <f t="shared" si="28"/>
        <v>34.5</v>
      </c>
      <c r="I189" s="24">
        <f t="shared" si="29"/>
        <v>2.6322239999999999</v>
      </c>
      <c r="J189" s="24">
        <v>0</v>
      </c>
      <c r="K189" s="24">
        <f t="shared" si="30"/>
        <v>119.547776</v>
      </c>
      <c r="L189" s="25">
        <v>4</v>
      </c>
      <c r="M189" s="25">
        <v>29</v>
      </c>
      <c r="N189" s="26">
        <f t="shared" si="31"/>
        <v>4.4833333333333334</v>
      </c>
      <c r="O189" s="24">
        <f t="shared" si="32"/>
        <v>9.5495000000000001</v>
      </c>
      <c r="P189" s="24">
        <f t="shared" si="33"/>
        <v>129.09727599999999</v>
      </c>
      <c r="Q189" s="29">
        <f t="shared" si="34"/>
        <v>129.09727599999999</v>
      </c>
      <c r="R189" s="30">
        <f>COUNTIF(RAW_DATA[[#This Row],[CONVERTED]],"&gt;0")</f>
        <v>1</v>
      </c>
      <c r="S189" s="30">
        <f>COUNTIFS(RAW_DATA[[#This Row],[AM/PM]],"AM",RAW_DATA[[#This Row],[CONVERTED]],"&gt;0")</f>
        <v>0</v>
      </c>
      <c r="T189" s="19">
        <f t="shared" si="37"/>
        <v>1</v>
      </c>
      <c r="U189" s="20" t="str">
        <f t="shared" si="35"/>
        <v>DOUBLE</v>
      </c>
    </row>
    <row r="190" spans="1:21" x14ac:dyDescent="0.35">
      <c r="A190" s="21">
        <f t="shared" si="38"/>
        <v>45185</v>
      </c>
      <c r="B190" s="22" t="str">
        <f t="shared" si="36"/>
        <v>AM</v>
      </c>
      <c r="C190" s="23" t="str">
        <f t="shared" si="26"/>
        <v>September</v>
      </c>
      <c r="D190" s="13" t="str">
        <f t="shared" si="27"/>
        <v>SAT</v>
      </c>
      <c r="E190" s="24">
        <v>1203</v>
      </c>
      <c r="F190" s="24">
        <v>185.76</v>
      </c>
      <c r="G190" s="24">
        <v>55</v>
      </c>
      <c r="H190" s="24">
        <f t="shared" si="28"/>
        <v>48.120000000000005</v>
      </c>
      <c r="I190" s="24">
        <f t="shared" si="29"/>
        <v>3.1207679999999995</v>
      </c>
      <c r="J190" s="24">
        <v>13.5</v>
      </c>
      <c r="K190" s="24">
        <f t="shared" si="30"/>
        <v>134.51923199999999</v>
      </c>
      <c r="L190" s="25">
        <v>5</v>
      </c>
      <c r="M190" s="25">
        <v>40</v>
      </c>
      <c r="N190" s="26">
        <f t="shared" si="31"/>
        <v>5.666666666666667</v>
      </c>
      <c r="O190" s="24">
        <f t="shared" si="32"/>
        <v>12.07</v>
      </c>
      <c r="P190" s="24">
        <f t="shared" si="33"/>
        <v>160.08923199999998</v>
      </c>
      <c r="Q190" s="29">
        <f t="shared" si="34"/>
        <v>201.58923199999998</v>
      </c>
      <c r="R190" s="30">
        <f>COUNTIF(RAW_DATA[[#This Row],[CONVERTED]],"&gt;0")</f>
        <v>1</v>
      </c>
      <c r="S190" s="30">
        <f>COUNTIFS(RAW_DATA[[#This Row],[AM/PM]],"AM",RAW_DATA[[#This Row],[CONVERTED]],"&gt;0")</f>
        <v>1</v>
      </c>
      <c r="T190" s="19">
        <f t="shared" si="37"/>
        <v>0</v>
      </c>
      <c r="U190" s="20" t="str">
        <f t="shared" si="35"/>
        <v>SINGLE</v>
      </c>
    </row>
    <row r="191" spans="1:21" x14ac:dyDescent="0.35">
      <c r="A191" s="21">
        <f t="shared" si="38"/>
        <v>45185</v>
      </c>
      <c r="B191" s="22" t="str">
        <f t="shared" si="36"/>
        <v>PM</v>
      </c>
      <c r="C191" s="23" t="str">
        <f t="shared" si="26"/>
        <v>September</v>
      </c>
      <c r="D191" s="13" t="str">
        <f t="shared" si="27"/>
        <v>SAT</v>
      </c>
      <c r="E191" s="24">
        <v>0</v>
      </c>
      <c r="F191" s="24">
        <v>0</v>
      </c>
      <c r="G191" s="24">
        <v>0</v>
      </c>
      <c r="H191" s="24">
        <f t="shared" si="28"/>
        <v>0</v>
      </c>
      <c r="I191" s="24">
        <f t="shared" si="29"/>
        <v>0</v>
      </c>
      <c r="J191" s="24">
        <v>0</v>
      </c>
      <c r="K191" s="24">
        <f t="shared" si="30"/>
        <v>0</v>
      </c>
      <c r="L191" s="25">
        <v>0</v>
      </c>
      <c r="M191" s="25">
        <v>0</v>
      </c>
      <c r="N191" s="26">
        <f t="shared" si="31"/>
        <v>0</v>
      </c>
      <c r="O191" s="24">
        <f t="shared" si="32"/>
        <v>0</v>
      </c>
      <c r="P191" s="24">
        <f t="shared" si="33"/>
        <v>0</v>
      </c>
      <c r="Q191" s="29">
        <f t="shared" si="34"/>
        <v>0</v>
      </c>
      <c r="R191" s="30">
        <f>COUNTIF(RAW_DATA[[#This Row],[CONVERTED]],"&gt;0")</f>
        <v>0</v>
      </c>
      <c r="S191" s="30">
        <f>COUNTIFS(RAW_DATA[[#This Row],[AM/PM]],"AM",RAW_DATA[[#This Row],[CONVERTED]],"&gt;0")</f>
        <v>0</v>
      </c>
      <c r="T191" s="19">
        <f t="shared" si="37"/>
        <v>0</v>
      </c>
      <c r="U191" s="20" t="str">
        <f t="shared" si="35"/>
        <v>SINGLE</v>
      </c>
    </row>
    <row r="192" spans="1:21" x14ac:dyDescent="0.35">
      <c r="A192" s="21">
        <f t="shared" si="38"/>
        <v>45186</v>
      </c>
      <c r="B192" s="22" t="str">
        <f t="shared" si="36"/>
        <v>AM</v>
      </c>
      <c r="C192" s="23" t="str">
        <f t="shared" si="26"/>
        <v>September</v>
      </c>
      <c r="D192" s="13" t="str">
        <f t="shared" si="27"/>
        <v>SUN</v>
      </c>
      <c r="E192" s="24">
        <f>2036/2</f>
        <v>1018</v>
      </c>
      <c r="F192" s="24">
        <f>394.65/2</f>
        <v>197.32499999999999</v>
      </c>
      <c r="G192" s="24">
        <v>0</v>
      </c>
      <c r="H192" s="24">
        <f t="shared" si="28"/>
        <v>40.72</v>
      </c>
      <c r="I192" s="24">
        <f t="shared" si="29"/>
        <v>3.3150599999999995</v>
      </c>
      <c r="J192" s="24">
        <v>0</v>
      </c>
      <c r="K192" s="24">
        <f t="shared" si="30"/>
        <v>153.28994</v>
      </c>
      <c r="L192" s="25">
        <f>7/2</f>
        <v>3.5</v>
      </c>
      <c r="M192" s="25">
        <v>34</v>
      </c>
      <c r="N192" s="26">
        <f t="shared" si="31"/>
        <v>4.0666666666666664</v>
      </c>
      <c r="O192" s="24">
        <f t="shared" si="32"/>
        <v>8.661999999999999</v>
      </c>
      <c r="P192" s="24">
        <f t="shared" si="33"/>
        <v>161.95194000000001</v>
      </c>
      <c r="Q192" s="29">
        <f t="shared" si="34"/>
        <v>161.95194000000001</v>
      </c>
      <c r="R192" s="30">
        <f>COUNTIF(RAW_DATA[[#This Row],[CONVERTED]],"&gt;0")</f>
        <v>1</v>
      </c>
      <c r="S192" s="30">
        <f>COUNTIFS(RAW_DATA[[#This Row],[AM/PM]],"AM",RAW_DATA[[#This Row],[CONVERTED]],"&gt;0")</f>
        <v>1</v>
      </c>
      <c r="T192" s="19">
        <f t="shared" si="37"/>
        <v>0</v>
      </c>
      <c r="U192" s="20" t="str">
        <f t="shared" si="35"/>
        <v>DOUBLE</v>
      </c>
    </row>
    <row r="193" spans="1:21" x14ac:dyDescent="0.35">
      <c r="A193" s="21">
        <f t="shared" si="38"/>
        <v>45186</v>
      </c>
      <c r="B193" s="22" t="str">
        <f t="shared" si="36"/>
        <v>PM</v>
      </c>
      <c r="C193" s="23" t="str">
        <f t="shared" si="26"/>
        <v>September</v>
      </c>
      <c r="D193" s="13" t="str">
        <f t="shared" si="27"/>
        <v>SUN</v>
      </c>
      <c r="E193" s="24">
        <f>2036/2</f>
        <v>1018</v>
      </c>
      <c r="F193" s="24">
        <f>394.65/2</f>
        <v>197.32499999999999</v>
      </c>
      <c r="G193" s="24">
        <v>0</v>
      </c>
      <c r="H193" s="24">
        <f t="shared" si="28"/>
        <v>40.72</v>
      </c>
      <c r="I193" s="24">
        <f t="shared" si="29"/>
        <v>3.3150599999999995</v>
      </c>
      <c r="J193" s="24">
        <v>0</v>
      </c>
      <c r="K193" s="24">
        <f t="shared" si="30"/>
        <v>153.28994</v>
      </c>
      <c r="L193" s="25">
        <v>3</v>
      </c>
      <c r="M193" s="25">
        <v>0</v>
      </c>
      <c r="N193" s="26">
        <f t="shared" si="31"/>
        <v>3</v>
      </c>
      <c r="O193" s="24">
        <f t="shared" si="32"/>
        <v>6.39</v>
      </c>
      <c r="P193" s="24">
        <f t="shared" si="33"/>
        <v>159.67993999999999</v>
      </c>
      <c r="Q193" s="29">
        <f t="shared" si="34"/>
        <v>159.67993999999999</v>
      </c>
      <c r="R193" s="30">
        <f>COUNTIF(RAW_DATA[[#This Row],[CONVERTED]],"&gt;0")</f>
        <v>1</v>
      </c>
      <c r="S193" s="30">
        <f>COUNTIFS(RAW_DATA[[#This Row],[AM/PM]],"AM",RAW_DATA[[#This Row],[CONVERTED]],"&gt;0")</f>
        <v>0</v>
      </c>
      <c r="T193" s="19">
        <f t="shared" si="37"/>
        <v>1</v>
      </c>
      <c r="U193" s="20" t="str">
        <f t="shared" si="35"/>
        <v>DOUBLE</v>
      </c>
    </row>
    <row r="194" spans="1:21" x14ac:dyDescent="0.35">
      <c r="A194" s="21">
        <f t="shared" si="38"/>
        <v>45187</v>
      </c>
      <c r="B194" s="22" t="str">
        <f t="shared" si="36"/>
        <v>AM</v>
      </c>
      <c r="C194" s="23" t="str">
        <f t="shared" ref="C194:C257" si="39">TEXT(A194,"mmmm")</f>
        <v>September</v>
      </c>
      <c r="D194" s="13" t="str">
        <f t="shared" ref="D194:D257" si="40">CHOOSE(WEEKDAY(A194),"SUN","MON","TUE","WED","THU","FRI","SAT")</f>
        <v>MON</v>
      </c>
      <c r="E194" s="24">
        <v>309</v>
      </c>
      <c r="F194" s="24">
        <v>63.7</v>
      </c>
      <c r="G194" s="24">
        <v>0</v>
      </c>
      <c r="H194" s="24">
        <f t="shared" ref="H194:H257" si="41">E194*0.04</f>
        <v>12.36</v>
      </c>
      <c r="I194" s="24">
        <f t="shared" ref="I194:I257" si="42">F194*0.0168</f>
        <v>1.07016</v>
      </c>
      <c r="J194" s="24">
        <v>0</v>
      </c>
      <c r="K194" s="24">
        <f t="shared" ref="K194:K257" si="43">F194-(H194+I194)</f>
        <v>50.269840000000002</v>
      </c>
      <c r="L194" s="25">
        <v>3</v>
      </c>
      <c r="M194" s="25">
        <v>44</v>
      </c>
      <c r="N194" s="26">
        <f t="shared" ref="N194:N239" si="44">((L194*60)+M194)/60</f>
        <v>3.7333333333333334</v>
      </c>
      <c r="O194" s="24">
        <f t="shared" ref="O194:O257" si="45">N194*2.13</f>
        <v>7.952</v>
      </c>
      <c r="P194" s="24">
        <f t="shared" ref="P194:P257" si="46">K194+J194+O194</f>
        <v>58.22184</v>
      </c>
      <c r="Q194" s="29">
        <f t="shared" ref="Q194:Q257" si="47">G194+K194+O194</f>
        <v>58.22184</v>
      </c>
      <c r="R194" s="30">
        <f>COUNTIF(RAW_DATA[[#This Row],[CONVERTED]],"&gt;0")</f>
        <v>1</v>
      </c>
      <c r="S194" s="30">
        <f>COUNTIFS(RAW_DATA[[#This Row],[AM/PM]],"AM",RAW_DATA[[#This Row],[CONVERTED]],"&gt;0")</f>
        <v>1</v>
      </c>
      <c r="T194" s="19">
        <f t="shared" si="37"/>
        <v>0</v>
      </c>
      <c r="U194" s="20" t="str">
        <f t="shared" ref="U194:U257" si="48">IF(AND(S194=1,T195=1,B194="AM"),"DOUBLE",IF(AND(S193=1,N194&gt;0),"DOUBLE","SINGLE"))</f>
        <v>DOUBLE</v>
      </c>
    </row>
    <row r="195" spans="1:21" x14ac:dyDescent="0.35">
      <c r="A195" s="21">
        <f t="shared" si="38"/>
        <v>45187</v>
      </c>
      <c r="B195" s="22" t="str">
        <f t="shared" ref="B195:B258" si="49">IF(B194="AM","PM","AM")</f>
        <v>PM</v>
      </c>
      <c r="C195" s="23" t="str">
        <f t="shared" si="39"/>
        <v>September</v>
      </c>
      <c r="D195" s="13" t="str">
        <f t="shared" si="40"/>
        <v>MON</v>
      </c>
      <c r="E195" s="24">
        <v>498</v>
      </c>
      <c r="F195" s="24">
        <v>97.92</v>
      </c>
      <c r="G195" s="24">
        <v>0</v>
      </c>
      <c r="H195" s="24">
        <f t="shared" si="41"/>
        <v>19.920000000000002</v>
      </c>
      <c r="I195" s="24">
        <f t="shared" si="42"/>
        <v>1.6450559999999999</v>
      </c>
      <c r="J195" s="24">
        <v>0</v>
      </c>
      <c r="K195" s="24">
        <f t="shared" si="43"/>
        <v>76.354944000000003</v>
      </c>
      <c r="L195" s="25">
        <v>4</v>
      </c>
      <c r="M195" s="25">
        <v>6</v>
      </c>
      <c r="N195" s="26">
        <f t="shared" si="44"/>
        <v>4.0999999999999996</v>
      </c>
      <c r="O195" s="24">
        <f t="shared" si="45"/>
        <v>8.7329999999999988</v>
      </c>
      <c r="P195" s="24">
        <f t="shared" si="46"/>
        <v>85.087944000000007</v>
      </c>
      <c r="Q195" s="29">
        <f t="shared" si="47"/>
        <v>85.087944000000007</v>
      </c>
      <c r="R195" s="30">
        <f>COUNTIF(RAW_DATA[[#This Row],[CONVERTED]],"&gt;0")</f>
        <v>1</v>
      </c>
      <c r="S195" s="30">
        <f>COUNTIFS(RAW_DATA[[#This Row],[AM/PM]],"AM",RAW_DATA[[#This Row],[CONVERTED]],"&gt;0")</f>
        <v>0</v>
      </c>
      <c r="T195" s="19">
        <f t="shared" ref="T195:T258" si="50">IF(AND($S194=1,$N195&gt;0),1,0)</f>
        <v>1</v>
      </c>
      <c r="U195" s="20" t="str">
        <f t="shared" si="48"/>
        <v>DOUBLE</v>
      </c>
    </row>
    <row r="196" spans="1:21" x14ac:dyDescent="0.35">
      <c r="A196" s="21">
        <f t="shared" ref="A196:A259" si="51">IF(B195 = "AM",A195,A195+1)</f>
        <v>45188</v>
      </c>
      <c r="B196" s="22" t="str">
        <f t="shared" si="49"/>
        <v>AM</v>
      </c>
      <c r="C196" s="23" t="str">
        <f t="shared" si="39"/>
        <v>September</v>
      </c>
      <c r="D196" s="13" t="str">
        <f t="shared" si="40"/>
        <v>TUE</v>
      </c>
      <c r="E196" s="24">
        <v>0</v>
      </c>
      <c r="F196" s="24">
        <v>0</v>
      </c>
      <c r="G196" s="24">
        <v>0</v>
      </c>
      <c r="H196" s="24">
        <f t="shared" si="41"/>
        <v>0</v>
      </c>
      <c r="I196" s="24">
        <f t="shared" si="42"/>
        <v>0</v>
      </c>
      <c r="J196" s="24">
        <v>0</v>
      </c>
      <c r="K196" s="24">
        <f t="shared" si="43"/>
        <v>0</v>
      </c>
      <c r="L196" s="25">
        <v>0</v>
      </c>
      <c r="M196" s="25">
        <v>0</v>
      </c>
      <c r="N196" s="26">
        <f t="shared" si="44"/>
        <v>0</v>
      </c>
      <c r="O196" s="24">
        <f t="shared" si="45"/>
        <v>0</v>
      </c>
      <c r="P196" s="24">
        <f t="shared" si="46"/>
        <v>0</v>
      </c>
      <c r="Q196" s="29">
        <f t="shared" si="47"/>
        <v>0</v>
      </c>
      <c r="R196" s="30">
        <f>COUNTIF(RAW_DATA[[#This Row],[CONVERTED]],"&gt;0")</f>
        <v>0</v>
      </c>
      <c r="S196" s="30">
        <f>COUNTIFS(RAW_DATA[[#This Row],[AM/PM]],"AM",RAW_DATA[[#This Row],[CONVERTED]],"&gt;0")</f>
        <v>0</v>
      </c>
      <c r="T196" s="19">
        <f t="shared" si="50"/>
        <v>0</v>
      </c>
      <c r="U196" s="20" t="str">
        <f t="shared" si="48"/>
        <v>SINGLE</v>
      </c>
    </row>
    <row r="197" spans="1:21" x14ac:dyDescent="0.35">
      <c r="A197" s="21">
        <f t="shared" si="51"/>
        <v>45188</v>
      </c>
      <c r="B197" s="22" t="str">
        <f t="shared" si="49"/>
        <v>PM</v>
      </c>
      <c r="C197" s="23" t="str">
        <f t="shared" si="39"/>
        <v>September</v>
      </c>
      <c r="D197" s="13" t="str">
        <f t="shared" si="40"/>
        <v>TUE</v>
      </c>
      <c r="E197" s="24">
        <v>0</v>
      </c>
      <c r="F197" s="24">
        <v>0</v>
      </c>
      <c r="G197" s="24">
        <v>0</v>
      </c>
      <c r="H197" s="24">
        <f t="shared" si="41"/>
        <v>0</v>
      </c>
      <c r="I197" s="24">
        <f t="shared" si="42"/>
        <v>0</v>
      </c>
      <c r="J197" s="24">
        <v>0</v>
      </c>
      <c r="K197" s="24">
        <f t="shared" si="43"/>
        <v>0</v>
      </c>
      <c r="L197" s="25">
        <v>0</v>
      </c>
      <c r="M197" s="25">
        <v>0</v>
      </c>
      <c r="N197" s="26">
        <f t="shared" si="44"/>
        <v>0</v>
      </c>
      <c r="O197" s="24">
        <f t="shared" si="45"/>
        <v>0</v>
      </c>
      <c r="P197" s="24">
        <f t="shared" si="46"/>
        <v>0</v>
      </c>
      <c r="Q197" s="29">
        <f t="shared" si="47"/>
        <v>0</v>
      </c>
      <c r="R197" s="30">
        <f>COUNTIF(RAW_DATA[[#This Row],[CONVERTED]],"&gt;0")</f>
        <v>0</v>
      </c>
      <c r="S197" s="30">
        <f>COUNTIFS(RAW_DATA[[#This Row],[AM/PM]],"AM",RAW_DATA[[#This Row],[CONVERTED]],"&gt;0")</f>
        <v>0</v>
      </c>
      <c r="T197" s="19">
        <f t="shared" si="50"/>
        <v>0</v>
      </c>
      <c r="U197" s="20" t="str">
        <f t="shared" si="48"/>
        <v>SINGLE</v>
      </c>
    </row>
    <row r="198" spans="1:21" x14ac:dyDescent="0.35">
      <c r="A198" s="21">
        <f t="shared" si="51"/>
        <v>45189</v>
      </c>
      <c r="B198" s="22" t="str">
        <f t="shared" si="49"/>
        <v>AM</v>
      </c>
      <c r="C198" s="23" t="str">
        <f t="shared" si="39"/>
        <v>September</v>
      </c>
      <c r="D198" s="13" t="str">
        <f t="shared" si="40"/>
        <v>WED</v>
      </c>
      <c r="E198" s="24">
        <v>0</v>
      </c>
      <c r="F198" s="24">
        <v>0</v>
      </c>
      <c r="G198" s="24">
        <v>0</v>
      </c>
      <c r="H198" s="24">
        <f t="shared" si="41"/>
        <v>0</v>
      </c>
      <c r="I198" s="24">
        <f t="shared" si="42"/>
        <v>0</v>
      </c>
      <c r="J198" s="24">
        <v>0</v>
      </c>
      <c r="K198" s="24">
        <f t="shared" si="43"/>
        <v>0</v>
      </c>
      <c r="L198" s="25">
        <v>0</v>
      </c>
      <c r="M198" s="25">
        <v>0</v>
      </c>
      <c r="N198" s="26">
        <f t="shared" si="44"/>
        <v>0</v>
      </c>
      <c r="O198" s="24">
        <f t="shared" si="45"/>
        <v>0</v>
      </c>
      <c r="P198" s="24">
        <f t="shared" si="46"/>
        <v>0</v>
      </c>
      <c r="Q198" s="29">
        <f t="shared" si="47"/>
        <v>0</v>
      </c>
      <c r="R198" s="30">
        <f>COUNTIF(RAW_DATA[[#This Row],[CONVERTED]],"&gt;0")</f>
        <v>0</v>
      </c>
      <c r="S198" s="30">
        <f>COUNTIFS(RAW_DATA[[#This Row],[AM/PM]],"AM",RAW_DATA[[#This Row],[CONVERTED]],"&gt;0")</f>
        <v>0</v>
      </c>
      <c r="T198" s="19">
        <f t="shared" si="50"/>
        <v>0</v>
      </c>
      <c r="U198" s="20" t="str">
        <f t="shared" si="48"/>
        <v>SINGLE</v>
      </c>
    </row>
    <row r="199" spans="1:21" x14ac:dyDescent="0.35">
      <c r="A199" s="21">
        <f t="shared" si="51"/>
        <v>45189</v>
      </c>
      <c r="B199" s="22" t="str">
        <f t="shared" si="49"/>
        <v>PM</v>
      </c>
      <c r="C199" s="23" t="str">
        <f t="shared" si="39"/>
        <v>September</v>
      </c>
      <c r="D199" s="13" t="str">
        <f t="shared" si="40"/>
        <v>WED</v>
      </c>
      <c r="E199" s="24">
        <v>0</v>
      </c>
      <c r="F199" s="24">
        <v>0</v>
      </c>
      <c r="G199" s="24">
        <v>0</v>
      </c>
      <c r="H199" s="24">
        <f t="shared" si="41"/>
        <v>0</v>
      </c>
      <c r="I199" s="24">
        <f t="shared" si="42"/>
        <v>0</v>
      </c>
      <c r="J199" s="24">
        <v>0</v>
      </c>
      <c r="K199" s="24">
        <f t="shared" si="43"/>
        <v>0</v>
      </c>
      <c r="L199" s="25">
        <v>0</v>
      </c>
      <c r="M199" s="25">
        <v>0</v>
      </c>
      <c r="N199" s="26">
        <f t="shared" si="44"/>
        <v>0</v>
      </c>
      <c r="O199" s="24">
        <f t="shared" si="45"/>
        <v>0</v>
      </c>
      <c r="P199" s="24">
        <f t="shared" si="46"/>
        <v>0</v>
      </c>
      <c r="Q199" s="29">
        <f t="shared" si="47"/>
        <v>0</v>
      </c>
      <c r="R199" s="30">
        <f>COUNTIF(RAW_DATA[[#This Row],[CONVERTED]],"&gt;0")</f>
        <v>0</v>
      </c>
      <c r="S199" s="30">
        <f>COUNTIFS(RAW_DATA[[#This Row],[AM/PM]],"AM",RAW_DATA[[#This Row],[CONVERTED]],"&gt;0")</f>
        <v>0</v>
      </c>
      <c r="T199" s="19">
        <f t="shared" si="50"/>
        <v>0</v>
      </c>
      <c r="U199" s="20" t="str">
        <f t="shared" si="48"/>
        <v>SINGLE</v>
      </c>
    </row>
    <row r="200" spans="1:21" x14ac:dyDescent="0.35">
      <c r="A200" s="21">
        <f t="shared" si="51"/>
        <v>45190</v>
      </c>
      <c r="B200" s="22" t="str">
        <f t="shared" si="49"/>
        <v>AM</v>
      </c>
      <c r="C200" s="23" t="str">
        <f t="shared" si="39"/>
        <v>September</v>
      </c>
      <c r="D200" s="13" t="str">
        <f t="shared" si="40"/>
        <v>THU</v>
      </c>
      <c r="E200" s="24">
        <v>0</v>
      </c>
      <c r="F200" s="24">
        <v>0</v>
      </c>
      <c r="G200" s="24">
        <v>0</v>
      </c>
      <c r="H200" s="24">
        <f t="shared" si="41"/>
        <v>0</v>
      </c>
      <c r="I200" s="24">
        <f t="shared" si="42"/>
        <v>0</v>
      </c>
      <c r="J200" s="24">
        <v>0</v>
      </c>
      <c r="K200" s="24">
        <f t="shared" si="43"/>
        <v>0</v>
      </c>
      <c r="L200" s="25">
        <v>0</v>
      </c>
      <c r="M200" s="25">
        <v>0</v>
      </c>
      <c r="N200" s="26">
        <f t="shared" si="44"/>
        <v>0</v>
      </c>
      <c r="O200" s="24">
        <f t="shared" si="45"/>
        <v>0</v>
      </c>
      <c r="P200" s="24">
        <f t="shared" si="46"/>
        <v>0</v>
      </c>
      <c r="Q200" s="29">
        <f t="shared" si="47"/>
        <v>0</v>
      </c>
      <c r="R200" s="30">
        <f>COUNTIF(RAW_DATA[[#This Row],[CONVERTED]],"&gt;0")</f>
        <v>0</v>
      </c>
      <c r="S200" s="30">
        <f>COUNTIFS(RAW_DATA[[#This Row],[AM/PM]],"AM",RAW_DATA[[#This Row],[CONVERTED]],"&gt;0")</f>
        <v>0</v>
      </c>
      <c r="T200" s="19">
        <f t="shared" si="50"/>
        <v>0</v>
      </c>
      <c r="U200" s="20" t="str">
        <f t="shared" si="48"/>
        <v>SINGLE</v>
      </c>
    </row>
    <row r="201" spans="1:21" x14ac:dyDescent="0.35">
      <c r="A201" s="21">
        <f t="shared" si="51"/>
        <v>45190</v>
      </c>
      <c r="B201" s="22" t="str">
        <f t="shared" si="49"/>
        <v>PM</v>
      </c>
      <c r="C201" s="23" t="str">
        <f t="shared" si="39"/>
        <v>September</v>
      </c>
      <c r="D201" s="13" t="str">
        <f t="shared" si="40"/>
        <v>THU</v>
      </c>
      <c r="E201" s="24">
        <v>0</v>
      </c>
      <c r="F201" s="24">
        <v>0</v>
      </c>
      <c r="G201" s="24">
        <v>0</v>
      </c>
      <c r="H201" s="24">
        <f t="shared" si="41"/>
        <v>0</v>
      </c>
      <c r="I201" s="24">
        <f t="shared" si="42"/>
        <v>0</v>
      </c>
      <c r="J201" s="24">
        <v>0</v>
      </c>
      <c r="K201" s="24">
        <f t="shared" si="43"/>
        <v>0</v>
      </c>
      <c r="L201" s="25">
        <v>0</v>
      </c>
      <c r="M201" s="25">
        <v>0</v>
      </c>
      <c r="N201" s="26">
        <f t="shared" si="44"/>
        <v>0</v>
      </c>
      <c r="O201" s="24">
        <f t="shared" si="45"/>
        <v>0</v>
      </c>
      <c r="P201" s="24">
        <f t="shared" si="46"/>
        <v>0</v>
      </c>
      <c r="Q201" s="29">
        <f t="shared" si="47"/>
        <v>0</v>
      </c>
      <c r="R201" s="30">
        <f>COUNTIF(RAW_DATA[[#This Row],[CONVERTED]],"&gt;0")</f>
        <v>0</v>
      </c>
      <c r="S201" s="30">
        <f>COUNTIFS(RAW_DATA[[#This Row],[AM/PM]],"AM",RAW_DATA[[#This Row],[CONVERTED]],"&gt;0")</f>
        <v>0</v>
      </c>
      <c r="T201" s="19">
        <f t="shared" si="50"/>
        <v>0</v>
      </c>
      <c r="U201" s="20" t="str">
        <f t="shared" si="48"/>
        <v>SINGLE</v>
      </c>
    </row>
    <row r="202" spans="1:21" x14ac:dyDescent="0.35">
      <c r="A202" s="21">
        <f t="shared" si="51"/>
        <v>45191</v>
      </c>
      <c r="B202" s="22" t="str">
        <f t="shared" si="49"/>
        <v>AM</v>
      </c>
      <c r="C202" s="23" t="str">
        <f t="shared" si="39"/>
        <v>September</v>
      </c>
      <c r="D202" s="13" t="str">
        <f t="shared" si="40"/>
        <v>FRI</v>
      </c>
      <c r="E202" s="24">
        <v>0</v>
      </c>
      <c r="F202" s="24">
        <v>0</v>
      </c>
      <c r="G202" s="24">
        <v>0</v>
      </c>
      <c r="H202" s="24">
        <f t="shared" si="41"/>
        <v>0</v>
      </c>
      <c r="I202" s="24">
        <f t="shared" si="42"/>
        <v>0</v>
      </c>
      <c r="J202" s="24">
        <v>0</v>
      </c>
      <c r="K202" s="24">
        <f t="shared" si="43"/>
        <v>0</v>
      </c>
      <c r="L202" s="25">
        <v>0</v>
      </c>
      <c r="M202" s="25">
        <v>0</v>
      </c>
      <c r="N202" s="26">
        <f t="shared" si="44"/>
        <v>0</v>
      </c>
      <c r="O202" s="24">
        <f t="shared" si="45"/>
        <v>0</v>
      </c>
      <c r="P202" s="24">
        <f t="shared" si="46"/>
        <v>0</v>
      </c>
      <c r="Q202" s="29">
        <f t="shared" si="47"/>
        <v>0</v>
      </c>
      <c r="R202" s="30">
        <f>COUNTIF(RAW_DATA[[#This Row],[CONVERTED]],"&gt;0")</f>
        <v>0</v>
      </c>
      <c r="S202" s="30">
        <f>COUNTIFS(RAW_DATA[[#This Row],[AM/PM]],"AM",RAW_DATA[[#This Row],[CONVERTED]],"&gt;0")</f>
        <v>0</v>
      </c>
      <c r="T202" s="19">
        <f t="shared" si="50"/>
        <v>0</v>
      </c>
      <c r="U202" s="20" t="str">
        <f t="shared" si="48"/>
        <v>SINGLE</v>
      </c>
    </row>
    <row r="203" spans="1:21" x14ac:dyDescent="0.35">
      <c r="A203" s="21">
        <f t="shared" si="51"/>
        <v>45191</v>
      </c>
      <c r="B203" s="22" t="str">
        <f t="shared" si="49"/>
        <v>PM</v>
      </c>
      <c r="C203" s="23" t="str">
        <f t="shared" si="39"/>
        <v>September</v>
      </c>
      <c r="D203" s="13" t="str">
        <f t="shared" si="40"/>
        <v>FRI</v>
      </c>
      <c r="E203" s="24">
        <v>0</v>
      </c>
      <c r="F203" s="24">
        <v>0</v>
      </c>
      <c r="G203" s="24">
        <v>0</v>
      </c>
      <c r="H203" s="24">
        <f t="shared" si="41"/>
        <v>0</v>
      </c>
      <c r="I203" s="24">
        <f t="shared" si="42"/>
        <v>0</v>
      </c>
      <c r="J203" s="24">
        <v>0</v>
      </c>
      <c r="K203" s="24">
        <f t="shared" si="43"/>
        <v>0</v>
      </c>
      <c r="L203" s="25">
        <v>0</v>
      </c>
      <c r="M203" s="25">
        <v>0</v>
      </c>
      <c r="N203" s="26">
        <f t="shared" si="44"/>
        <v>0</v>
      </c>
      <c r="O203" s="24">
        <f t="shared" si="45"/>
        <v>0</v>
      </c>
      <c r="P203" s="24">
        <f t="shared" si="46"/>
        <v>0</v>
      </c>
      <c r="Q203" s="29">
        <f t="shared" si="47"/>
        <v>0</v>
      </c>
      <c r="R203" s="30">
        <f>COUNTIF(RAW_DATA[[#This Row],[CONVERTED]],"&gt;0")</f>
        <v>0</v>
      </c>
      <c r="S203" s="30">
        <f>COUNTIFS(RAW_DATA[[#This Row],[AM/PM]],"AM",RAW_DATA[[#This Row],[CONVERTED]],"&gt;0")</f>
        <v>0</v>
      </c>
      <c r="T203" s="19">
        <f t="shared" si="50"/>
        <v>0</v>
      </c>
      <c r="U203" s="20" t="str">
        <f t="shared" si="48"/>
        <v>SINGLE</v>
      </c>
    </row>
    <row r="204" spans="1:21" x14ac:dyDescent="0.35">
      <c r="A204" s="21">
        <f t="shared" si="51"/>
        <v>45192</v>
      </c>
      <c r="B204" s="22" t="str">
        <f t="shared" si="49"/>
        <v>AM</v>
      </c>
      <c r="C204" s="23" t="str">
        <f t="shared" si="39"/>
        <v>September</v>
      </c>
      <c r="D204" s="13" t="str">
        <f t="shared" si="40"/>
        <v>SAT</v>
      </c>
      <c r="E204" s="24">
        <v>933</v>
      </c>
      <c r="F204" s="24">
        <v>185.18</v>
      </c>
      <c r="G204" s="24">
        <v>0</v>
      </c>
      <c r="H204" s="24">
        <f t="shared" si="41"/>
        <v>37.32</v>
      </c>
      <c r="I204" s="24">
        <f t="shared" si="42"/>
        <v>3.111024</v>
      </c>
      <c r="J204" s="24">
        <v>0</v>
      </c>
      <c r="K204" s="24">
        <f t="shared" si="43"/>
        <v>144.748976</v>
      </c>
      <c r="L204" s="25">
        <v>5</v>
      </c>
      <c r="M204" s="25">
        <v>40</v>
      </c>
      <c r="N204" s="26">
        <f t="shared" si="44"/>
        <v>5.666666666666667</v>
      </c>
      <c r="O204" s="24">
        <f t="shared" si="45"/>
        <v>12.07</v>
      </c>
      <c r="P204" s="24">
        <f t="shared" si="46"/>
        <v>156.81897599999999</v>
      </c>
      <c r="Q204" s="29">
        <f t="shared" si="47"/>
        <v>156.81897599999999</v>
      </c>
      <c r="R204" s="30">
        <f>COUNTIF(RAW_DATA[[#This Row],[CONVERTED]],"&gt;0")</f>
        <v>1</v>
      </c>
      <c r="S204" s="30">
        <f>COUNTIFS(RAW_DATA[[#This Row],[AM/PM]],"AM",RAW_DATA[[#This Row],[CONVERTED]],"&gt;0")</f>
        <v>1</v>
      </c>
      <c r="T204" s="19">
        <f t="shared" si="50"/>
        <v>0</v>
      </c>
      <c r="U204" s="20" t="str">
        <f t="shared" si="48"/>
        <v>SINGLE</v>
      </c>
    </row>
    <row r="205" spans="1:21" x14ac:dyDescent="0.35">
      <c r="A205" s="21">
        <f t="shared" si="51"/>
        <v>45192</v>
      </c>
      <c r="B205" s="22" t="str">
        <f t="shared" si="49"/>
        <v>PM</v>
      </c>
      <c r="C205" s="23" t="str">
        <f t="shared" si="39"/>
        <v>September</v>
      </c>
      <c r="D205" s="13" t="str">
        <f t="shared" si="40"/>
        <v>SAT</v>
      </c>
      <c r="E205" s="24">
        <v>0</v>
      </c>
      <c r="F205" s="24">
        <v>0</v>
      </c>
      <c r="G205" s="24">
        <v>0</v>
      </c>
      <c r="H205" s="24">
        <f t="shared" si="41"/>
        <v>0</v>
      </c>
      <c r="I205" s="24">
        <f t="shared" si="42"/>
        <v>0</v>
      </c>
      <c r="J205" s="24">
        <v>0</v>
      </c>
      <c r="K205" s="24">
        <f t="shared" si="43"/>
        <v>0</v>
      </c>
      <c r="L205" s="25">
        <v>0</v>
      </c>
      <c r="M205" s="25">
        <v>0</v>
      </c>
      <c r="N205" s="26">
        <f t="shared" si="44"/>
        <v>0</v>
      </c>
      <c r="O205" s="24">
        <f t="shared" si="45"/>
        <v>0</v>
      </c>
      <c r="P205" s="24">
        <f t="shared" si="46"/>
        <v>0</v>
      </c>
      <c r="Q205" s="29">
        <f t="shared" si="47"/>
        <v>0</v>
      </c>
      <c r="R205" s="30">
        <f>COUNTIF(RAW_DATA[[#This Row],[CONVERTED]],"&gt;0")</f>
        <v>0</v>
      </c>
      <c r="S205" s="30">
        <f>COUNTIFS(RAW_DATA[[#This Row],[AM/PM]],"AM",RAW_DATA[[#This Row],[CONVERTED]],"&gt;0")</f>
        <v>0</v>
      </c>
      <c r="T205" s="19">
        <f t="shared" si="50"/>
        <v>0</v>
      </c>
      <c r="U205" s="20" t="str">
        <f t="shared" si="48"/>
        <v>SINGLE</v>
      </c>
    </row>
    <row r="206" spans="1:21" x14ac:dyDescent="0.35">
      <c r="A206" s="21">
        <f t="shared" si="51"/>
        <v>45193</v>
      </c>
      <c r="B206" s="22" t="str">
        <f t="shared" si="49"/>
        <v>AM</v>
      </c>
      <c r="C206" s="23" t="str">
        <f t="shared" si="39"/>
        <v>September</v>
      </c>
      <c r="D206" s="13" t="str">
        <f t="shared" si="40"/>
        <v>SUN</v>
      </c>
      <c r="E206" s="24">
        <f>1862/2</f>
        <v>931</v>
      </c>
      <c r="F206" s="24">
        <f>353.1/2</f>
        <v>176.55</v>
      </c>
      <c r="G206" s="24">
        <f>85/2</f>
        <v>42.5</v>
      </c>
      <c r="H206" s="24">
        <f t="shared" si="41"/>
        <v>37.24</v>
      </c>
      <c r="I206" s="24">
        <f t="shared" si="42"/>
        <v>2.96604</v>
      </c>
      <c r="J206" s="24">
        <f>30/2</f>
        <v>15</v>
      </c>
      <c r="K206" s="24">
        <f t="shared" si="43"/>
        <v>136.34396000000001</v>
      </c>
      <c r="L206" s="25">
        <f>8/2</f>
        <v>4</v>
      </c>
      <c r="M206" s="25">
        <f>2/2</f>
        <v>1</v>
      </c>
      <c r="N206" s="26">
        <f t="shared" si="44"/>
        <v>4.0166666666666666</v>
      </c>
      <c r="O206" s="24">
        <f t="shared" si="45"/>
        <v>8.5555000000000003</v>
      </c>
      <c r="P206" s="24">
        <f t="shared" si="46"/>
        <v>159.89946</v>
      </c>
      <c r="Q206" s="29">
        <f t="shared" si="47"/>
        <v>187.39946</v>
      </c>
      <c r="R206" s="30">
        <f>COUNTIF(RAW_DATA[[#This Row],[CONVERTED]],"&gt;0")</f>
        <v>1</v>
      </c>
      <c r="S206" s="30">
        <f>COUNTIFS(RAW_DATA[[#This Row],[AM/PM]],"AM",RAW_DATA[[#This Row],[CONVERTED]],"&gt;0")</f>
        <v>1</v>
      </c>
      <c r="T206" s="19">
        <f t="shared" si="50"/>
        <v>0</v>
      </c>
      <c r="U206" s="20" t="str">
        <f t="shared" si="48"/>
        <v>DOUBLE</v>
      </c>
    </row>
    <row r="207" spans="1:21" x14ac:dyDescent="0.35">
      <c r="A207" s="21">
        <f t="shared" si="51"/>
        <v>45193</v>
      </c>
      <c r="B207" s="22" t="str">
        <f t="shared" si="49"/>
        <v>PM</v>
      </c>
      <c r="C207" s="23" t="str">
        <f t="shared" si="39"/>
        <v>September</v>
      </c>
      <c r="D207" s="13" t="str">
        <f t="shared" si="40"/>
        <v>SUN</v>
      </c>
      <c r="E207" s="24">
        <f>1862/2</f>
        <v>931</v>
      </c>
      <c r="F207" s="24">
        <f>353.1/2</f>
        <v>176.55</v>
      </c>
      <c r="G207" s="24">
        <f>85/2</f>
        <v>42.5</v>
      </c>
      <c r="H207" s="24">
        <f t="shared" si="41"/>
        <v>37.24</v>
      </c>
      <c r="I207" s="24">
        <f t="shared" si="42"/>
        <v>2.96604</v>
      </c>
      <c r="J207" s="24">
        <f>30/2</f>
        <v>15</v>
      </c>
      <c r="K207" s="24">
        <f t="shared" si="43"/>
        <v>136.34396000000001</v>
      </c>
      <c r="L207" s="25">
        <f>8/2</f>
        <v>4</v>
      </c>
      <c r="M207" s="25">
        <f>2/2</f>
        <v>1</v>
      </c>
      <c r="N207" s="26">
        <f t="shared" si="44"/>
        <v>4.0166666666666666</v>
      </c>
      <c r="O207" s="24">
        <f t="shared" si="45"/>
        <v>8.5555000000000003</v>
      </c>
      <c r="P207" s="24">
        <f t="shared" si="46"/>
        <v>159.89946</v>
      </c>
      <c r="Q207" s="29">
        <f t="shared" si="47"/>
        <v>187.39946</v>
      </c>
      <c r="R207" s="30">
        <f>COUNTIF(RAW_DATA[[#This Row],[CONVERTED]],"&gt;0")</f>
        <v>1</v>
      </c>
      <c r="S207" s="30">
        <f>COUNTIFS(RAW_DATA[[#This Row],[AM/PM]],"AM",RAW_DATA[[#This Row],[CONVERTED]],"&gt;0")</f>
        <v>0</v>
      </c>
      <c r="T207" s="19">
        <f t="shared" si="50"/>
        <v>1</v>
      </c>
      <c r="U207" s="20" t="str">
        <f t="shared" si="48"/>
        <v>DOUBLE</v>
      </c>
    </row>
    <row r="208" spans="1:21" x14ac:dyDescent="0.35">
      <c r="A208" s="21">
        <f t="shared" si="51"/>
        <v>45194</v>
      </c>
      <c r="B208" s="22" t="str">
        <f t="shared" si="49"/>
        <v>AM</v>
      </c>
      <c r="C208" s="23" t="str">
        <f t="shared" si="39"/>
        <v>September</v>
      </c>
      <c r="D208" s="13" t="str">
        <f t="shared" si="40"/>
        <v>MON</v>
      </c>
      <c r="E208" s="24">
        <v>0</v>
      </c>
      <c r="F208" s="24">
        <v>0</v>
      </c>
      <c r="G208" s="24">
        <v>0</v>
      </c>
      <c r="H208" s="24">
        <f t="shared" si="41"/>
        <v>0</v>
      </c>
      <c r="I208" s="24">
        <f t="shared" si="42"/>
        <v>0</v>
      </c>
      <c r="J208" s="24">
        <v>0</v>
      </c>
      <c r="K208" s="24">
        <f t="shared" si="43"/>
        <v>0</v>
      </c>
      <c r="L208" s="25">
        <v>0</v>
      </c>
      <c r="M208" s="25">
        <v>0</v>
      </c>
      <c r="N208" s="26">
        <f t="shared" si="44"/>
        <v>0</v>
      </c>
      <c r="O208" s="24">
        <f t="shared" si="45"/>
        <v>0</v>
      </c>
      <c r="P208" s="24">
        <f t="shared" si="46"/>
        <v>0</v>
      </c>
      <c r="Q208" s="29">
        <f t="shared" si="47"/>
        <v>0</v>
      </c>
      <c r="R208" s="30">
        <f>COUNTIF(RAW_DATA[[#This Row],[CONVERTED]],"&gt;0")</f>
        <v>0</v>
      </c>
      <c r="S208" s="30">
        <f>COUNTIFS(RAW_DATA[[#This Row],[AM/PM]],"AM",RAW_DATA[[#This Row],[CONVERTED]],"&gt;0")</f>
        <v>0</v>
      </c>
      <c r="T208" s="19">
        <f t="shared" si="50"/>
        <v>0</v>
      </c>
      <c r="U208" s="20" t="str">
        <f t="shared" si="48"/>
        <v>SINGLE</v>
      </c>
    </row>
    <row r="209" spans="1:21" x14ac:dyDescent="0.35">
      <c r="A209" s="21">
        <f t="shared" si="51"/>
        <v>45194</v>
      </c>
      <c r="B209" s="22" t="str">
        <f t="shared" si="49"/>
        <v>PM</v>
      </c>
      <c r="C209" s="23" t="str">
        <f t="shared" si="39"/>
        <v>September</v>
      </c>
      <c r="D209" s="13" t="str">
        <f t="shared" si="40"/>
        <v>MON</v>
      </c>
      <c r="E209" s="24">
        <v>1011.5</v>
      </c>
      <c r="F209" s="24">
        <v>183.15</v>
      </c>
      <c r="G209" s="24">
        <v>16</v>
      </c>
      <c r="H209" s="24">
        <f t="shared" si="41"/>
        <v>40.46</v>
      </c>
      <c r="I209" s="24">
        <f t="shared" si="42"/>
        <v>3.0769199999999999</v>
      </c>
      <c r="J209" s="24">
        <v>6</v>
      </c>
      <c r="K209" s="24">
        <f t="shared" si="43"/>
        <v>139.61308</v>
      </c>
      <c r="L209" s="25">
        <v>5</v>
      </c>
      <c r="M209" s="25">
        <v>17</v>
      </c>
      <c r="N209" s="26">
        <f t="shared" si="44"/>
        <v>5.2833333333333332</v>
      </c>
      <c r="O209" s="24">
        <f t="shared" si="45"/>
        <v>11.253499999999999</v>
      </c>
      <c r="P209" s="24">
        <f t="shared" si="46"/>
        <v>156.86658</v>
      </c>
      <c r="Q209" s="29">
        <f t="shared" si="47"/>
        <v>166.86658</v>
      </c>
      <c r="R209" s="30">
        <f>COUNTIF(RAW_DATA[[#This Row],[CONVERTED]],"&gt;0")</f>
        <v>1</v>
      </c>
      <c r="S209" s="30">
        <f>COUNTIFS(RAW_DATA[[#This Row],[AM/PM]],"AM",RAW_DATA[[#This Row],[CONVERTED]],"&gt;0")</f>
        <v>0</v>
      </c>
      <c r="T209" s="19">
        <f t="shared" si="50"/>
        <v>0</v>
      </c>
      <c r="U209" s="20" t="str">
        <f t="shared" si="48"/>
        <v>SINGLE</v>
      </c>
    </row>
    <row r="210" spans="1:21" x14ac:dyDescent="0.35">
      <c r="A210" s="21">
        <f t="shared" si="51"/>
        <v>45195</v>
      </c>
      <c r="B210" s="22" t="str">
        <f t="shared" si="49"/>
        <v>AM</v>
      </c>
      <c r="C210" s="23" t="str">
        <f t="shared" si="39"/>
        <v>September</v>
      </c>
      <c r="D210" s="13" t="str">
        <f t="shared" si="40"/>
        <v>TUE</v>
      </c>
      <c r="E210" s="24">
        <v>0</v>
      </c>
      <c r="F210" s="24">
        <v>0</v>
      </c>
      <c r="G210" s="24">
        <v>0</v>
      </c>
      <c r="H210" s="24">
        <f t="shared" si="41"/>
        <v>0</v>
      </c>
      <c r="I210" s="24">
        <f t="shared" si="42"/>
        <v>0</v>
      </c>
      <c r="J210" s="24">
        <v>0</v>
      </c>
      <c r="K210" s="24">
        <f t="shared" si="43"/>
        <v>0</v>
      </c>
      <c r="L210" s="25">
        <v>0</v>
      </c>
      <c r="M210" s="25">
        <v>0</v>
      </c>
      <c r="N210" s="26">
        <f t="shared" si="44"/>
        <v>0</v>
      </c>
      <c r="O210" s="24">
        <f t="shared" si="45"/>
        <v>0</v>
      </c>
      <c r="P210" s="24">
        <f t="shared" si="46"/>
        <v>0</v>
      </c>
      <c r="Q210" s="29">
        <f t="shared" si="47"/>
        <v>0</v>
      </c>
      <c r="R210" s="30">
        <f>COUNTIF(RAW_DATA[[#This Row],[CONVERTED]],"&gt;0")</f>
        <v>0</v>
      </c>
      <c r="S210" s="30">
        <f>COUNTIFS(RAW_DATA[[#This Row],[AM/PM]],"AM",RAW_DATA[[#This Row],[CONVERTED]],"&gt;0")</f>
        <v>0</v>
      </c>
      <c r="T210" s="19">
        <f t="shared" si="50"/>
        <v>0</v>
      </c>
      <c r="U210" s="20" t="str">
        <f t="shared" si="48"/>
        <v>SINGLE</v>
      </c>
    </row>
    <row r="211" spans="1:21" x14ac:dyDescent="0.35">
      <c r="A211" s="21">
        <f t="shared" si="51"/>
        <v>45195</v>
      </c>
      <c r="B211" s="22" t="str">
        <f t="shared" si="49"/>
        <v>PM</v>
      </c>
      <c r="C211" s="23" t="str">
        <f t="shared" si="39"/>
        <v>September</v>
      </c>
      <c r="D211" s="13" t="str">
        <f t="shared" si="40"/>
        <v>TUE</v>
      </c>
      <c r="E211" s="24">
        <v>0</v>
      </c>
      <c r="F211" s="24">
        <v>0</v>
      </c>
      <c r="G211" s="24">
        <v>0</v>
      </c>
      <c r="H211" s="24">
        <f t="shared" si="41"/>
        <v>0</v>
      </c>
      <c r="I211" s="24">
        <f t="shared" si="42"/>
        <v>0</v>
      </c>
      <c r="J211" s="24">
        <v>0</v>
      </c>
      <c r="K211" s="24">
        <f t="shared" si="43"/>
        <v>0</v>
      </c>
      <c r="L211" s="25">
        <v>0</v>
      </c>
      <c r="M211" s="25">
        <v>0</v>
      </c>
      <c r="N211" s="26">
        <f t="shared" si="44"/>
        <v>0</v>
      </c>
      <c r="O211" s="24">
        <f t="shared" si="45"/>
        <v>0</v>
      </c>
      <c r="P211" s="24">
        <f t="shared" si="46"/>
        <v>0</v>
      </c>
      <c r="Q211" s="29">
        <f t="shared" si="47"/>
        <v>0</v>
      </c>
      <c r="R211" s="30">
        <f>COUNTIF(RAW_DATA[[#This Row],[CONVERTED]],"&gt;0")</f>
        <v>0</v>
      </c>
      <c r="S211" s="30">
        <f>COUNTIFS(RAW_DATA[[#This Row],[AM/PM]],"AM",RAW_DATA[[#This Row],[CONVERTED]],"&gt;0")</f>
        <v>0</v>
      </c>
      <c r="T211" s="19">
        <f t="shared" si="50"/>
        <v>0</v>
      </c>
      <c r="U211" s="20" t="str">
        <f t="shared" si="48"/>
        <v>SINGLE</v>
      </c>
    </row>
    <row r="212" spans="1:21" x14ac:dyDescent="0.35">
      <c r="A212" s="21">
        <f t="shared" si="51"/>
        <v>45196</v>
      </c>
      <c r="B212" s="22" t="str">
        <f t="shared" si="49"/>
        <v>AM</v>
      </c>
      <c r="C212" s="23" t="str">
        <f t="shared" si="39"/>
        <v>September</v>
      </c>
      <c r="D212" s="13" t="str">
        <f t="shared" si="40"/>
        <v>WED</v>
      </c>
      <c r="E212" s="24">
        <v>0</v>
      </c>
      <c r="F212" s="24">
        <v>0</v>
      </c>
      <c r="G212" s="24">
        <v>0</v>
      </c>
      <c r="H212" s="24">
        <f t="shared" si="41"/>
        <v>0</v>
      </c>
      <c r="I212" s="24">
        <f t="shared" si="42"/>
        <v>0</v>
      </c>
      <c r="J212" s="24">
        <v>0</v>
      </c>
      <c r="K212" s="24">
        <f t="shared" si="43"/>
        <v>0</v>
      </c>
      <c r="L212" s="25">
        <v>0</v>
      </c>
      <c r="M212" s="25">
        <v>0</v>
      </c>
      <c r="N212" s="26">
        <f t="shared" si="44"/>
        <v>0</v>
      </c>
      <c r="O212" s="24">
        <f t="shared" si="45"/>
        <v>0</v>
      </c>
      <c r="P212" s="24">
        <f t="shared" si="46"/>
        <v>0</v>
      </c>
      <c r="Q212" s="29">
        <f t="shared" si="47"/>
        <v>0</v>
      </c>
      <c r="R212" s="30">
        <f>COUNTIF(RAW_DATA[[#This Row],[CONVERTED]],"&gt;0")</f>
        <v>0</v>
      </c>
      <c r="S212" s="30">
        <f>COUNTIFS(RAW_DATA[[#This Row],[AM/PM]],"AM",RAW_DATA[[#This Row],[CONVERTED]],"&gt;0")</f>
        <v>0</v>
      </c>
      <c r="T212" s="19">
        <f t="shared" si="50"/>
        <v>0</v>
      </c>
      <c r="U212" s="20" t="str">
        <f t="shared" si="48"/>
        <v>SINGLE</v>
      </c>
    </row>
    <row r="213" spans="1:21" x14ac:dyDescent="0.35">
      <c r="A213" s="21">
        <f t="shared" si="51"/>
        <v>45196</v>
      </c>
      <c r="B213" s="22" t="str">
        <f t="shared" si="49"/>
        <v>PM</v>
      </c>
      <c r="C213" s="23" t="str">
        <f t="shared" si="39"/>
        <v>September</v>
      </c>
      <c r="D213" s="13" t="str">
        <f t="shared" si="40"/>
        <v>WED</v>
      </c>
      <c r="E213" s="24">
        <v>648</v>
      </c>
      <c r="F213" s="24">
        <v>120.11</v>
      </c>
      <c r="G213" s="24">
        <v>0</v>
      </c>
      <c r="H213" s="24">
        <f t="shared" si="41"/>
        <v>25.92</v>
      </c>
      <c r="I213" s="24">
        <f t="shared" si="42"/>
        <v>2.0178479999999999</v>
      </c>
      <c r="J213" s="24">
        <v>0</v>
      </c>
      <c r="K213" s="24">
        <f t="shared" si="43"/>
        <v>92.172151999999997</v>
      </c>
      <c r="L213" s="25">
        <v>4</v>
      </c>
      <c r="M213" s="25">
        <v>44</v>
      </c>
      <c r="N213" s="26">
        <f t="shared" si="44"/>
        <v>4.7333333333333334</v>
      </c>
      <c r="O213" s="24">
        <f t="shared" si="45"/>
        <v>10.081999999999999</v>
      </c>
      <c r="P213" s="24">
        <f t="shared" si="46"/>
        <v>102.25415199999999</v>
      </c>
      <c r="Q213" s="29">
        <f t="shared" si="47"/>
        <v>102.25415199999999</v>
      </c>
      <c r="R213" s="30">
        <f>COUNTIF(RAW_DATA[[#This Row],[CONVERTED]],"&gt;0")</f>
        <v>1</v>
      </c>
      <c r="S213" s="30">
        <f>COUNTIFS(RAW_DATA[[#This Row],[AM/PM]],"AM",RAW_DATA[[#This Row],[CONVERTED]],"&gt;0")</f>
        <v>0</v>
      </c>
      <c r="T213" s="19">
        <f t="shared" si="50"/>
        <v>0</v>
      </c>
      <c r="U213" s="20" t="str">
        <f t="shared" si="48"/>
        <v>SINGLE</v>
      </c>
    </row>
    <row r="214" spans="1:21" x14ac:dyDescent="0.35">
      <c r="A214" s="21">
        <f t="shared" si="51"/>
        <v>45197</v>
      </c>
      <c r="B214" s="22" t="str">
        <f t="shared" si="49"/>
        <v>AM</v>
      </c>
      <c r="C214" s="23" t="str">
        <f t="shared" si="39"/>
        <v>September</v>
      </c>
      <c r="D214" s="13" t="str">
        <f t="shared" si="40"/>
        <v>THU</v>
      </c>
      <c r="E214" s="24">
        <v>0</v>
      </c>
      <c r="F214" s="24">
        <v>0</v>
      </c>
      <c r="G214" s="24">
        <v>0</v>
      </c>
      <c r="H214" s="24">
        <f t="shared" si="41"/>
        <v>0</v>
      </c>
      <c r="I214" s="24">
        <f t="shared" si="42"/>
        <v>0</v>
      </c>
      <c r="J214" s="24">
        <v>0</v>
      </c>
      <c r="K214" s="24">
        <f t="shared" si="43"/>
        <v>0</v>
      </c>
      <c r="L214" s="25">
        <v>0</v>
      </c>
      <c r="M214" s="25">
        <v>0</v>
      </c>
      <c r="N214" s="26">
        <f t="shared" si="44"/>
        <v>0</v>
      </c>
      <c r="O214" s="24">
        <f t="shared" si="45"/>
        <v>0</v>
      </c>
      <c r="P214" s="24">
        <f t="shared" si="46"/>
        <v>0</v>
      </c>
      <c r="Q214" s="29">
        <f t="shared" si="47"/>
        <v>0</v>
      </c>
      <c r="R214" s="30">
        <f>COUNTIF(RAW_DATA[[#This Row],[CONVERTED]],"&gt;0")</f>
        <v>0</v>
      </c>
      <c r="S214" s="30">
        <f>COUNTIFS(RAW_DATA[[#This Row],[AM/PM]],"AM",RAW_DATA[[#This Row],[CONVERTED]],"&gt;0")</f>
        <v>0</v>
      </c>
      <c r="T214" s="19">
        <f t="shared" si="50"/>
        <v>0</v>
      </c>
      <c r="U214" s="20" t="str">
        <f t="shared" si="48"/>
        <v>SINGLE</v>
      </c>
    </row>
    <row r="215" spans="1:21" x14ac:dyDescent="0.35">
      <c r="A215" s="21">
        <f t="shared" si="51"/>
        <v>45197</v>
      </c>
      <c r="B215" s="22" t="str">
        <f t="shared" si="49"/>
        <v>PM</v>
      </c>
      <c r="C215" s="23" t="str">
        <f t="shared" si="39"/>
        <v>September</v>
      </c>
      <c r="D215" s="13" t="str">
        <f t="shared" si="40"/>
        <v>THU</v>
      </c>
      <c r="E215" s="24">
        <v>0</v>
      </c>
      <c r="F215" s="24">
        <v>0</v>
      </c>
      <c r="G215" s="24">
        <v>0</v>
      </c>
      <c r="H215" s="24">
        <f t="shared" si="41"/>
        <v>0</v>
      </c>
      <c r="I215" s="24">
        <f t="shared" si="42"/>
        <v>0</v>
      </c>
      <c r="J215" s="24">
        <v>0</v>
      </c>
      <c r="K215" s="24">
        <f t="shared" si="43"/>
        <v>0</v>
      </c>
      <c r="L215" s="25">
        <v>0</v>
      </c>
      <c r="M215" s="25">
        <v>0</v>
      </c>
      <c r="N215" s="26">
        <f t="shared" si="44"/>
        <v>0</v>
      </c>
      <c r="O215" s="24">
        <f t="shared" si="45"/>
        <v>0</v>
      </c>
      <c r="P215" s="24">
        <f t="shared" si="46"/>
        <v>0</v>
      </c>
      <c r="Q215" s="29">
        <f t="shared" si="47"/>
        <v>0</v>
      </c>
      <c r="R215" s="30">
        <f>COUNTIF(RAW_DATA[[#This Row],[CONVERTED]],"&gt;0")</f>
        <v>0</v>
      </c>
      <c r="S215" s="30">
        <f>COUNTIFS(RAW_DATA[[#This Row],[AM/PM]],"AM",RAW_DATA[[#This Row],[CONVERTED]],"&gt;0")</f>
        <v>0</v>
      </c>
      <c r="T215" s="19">
        <f t="shared" si="50"/>
        <v>0</v>
      </c>
      <c r="U215" s="20" t="str">
        <f t="shared" si="48"/>
        <v>SINGLE</v>
      </c>
    </row>
    <row r="216" spans="1:21" x14ac:dyDescent="0.35">
      <c r="A216" s="21">
        <f t="shared" si="51"/>
        <v>45198</v>
      </c>
      <c r="B216" s="22" t="str">
        <f t="shared" si="49"/>
        <v>AM</v>
      </c>
      <c r="C216" s="23" t="str">
        <f t="shared" si="39"/>
        <v>September</v>
      </c>
      <c r="D216" s="13" t="str">
        <f t="shared" si="40"/>
        <v>FRI</v>
      </c>
      <c r="E216" s="24">
        <v>0</v>
      </c>
      <c r="F216" s="24">
        <v>0</v>
      </c>
      <c r="G216" s="24">
        <v>0</v>
      </c>
      <c r="H216" s="24">
        <f t="shared" si="41"/>
        <v>0</v>
      </c>
      <c r="I216" s="24">
        <f t="shared" si="42"/>
        <v>0</v>
      </c>
      <c r="J216" s="24">
        <v>0</v>
      </c>
      <c r="K216" s="24">
        <f t="shared" si="43"/>
        <v>0</v>
      </c>
      <c r="L216" s="25">
        <v>0</v>
      </c>
      <c r="M216" s="25">
        <v>0</v>
      </c>
      <c r="N216" s="26">
        <f t="shared" si="44"/>
        <v>0</v>
      </c>
      <c r="O216" s="24">
        <f t="shared" si="45"/>
        <v>0</v>
      </c>
      <c r="P216" s="24">
        <f t="shared" si="46"/>
        <v>0</v>
      </c>
      <c r="Q216" s="29">
        <f t="shared" si="47"/>
        <v>0</v>
      </c>
      <c r="R216" s="30">
        <f>COUNTIF(RAW_DATA[[#This Row],[CONVERTED]],"&gt;0")</f>
        <v>0</v>
      </c>
      <c r="S216" s="30">
        <f>COUNTIFS(RAW_DATA[[#This Row],[AM/PM]],"AM",RAW_DATA[[#This Row],[CONVERTED]],"&gt;0")</f>
        <v>0</v>
      </c>
      <c r="T216" s="19">
        <f t="shared" si="50"/>
        <v>0</v>
      </c>
      <c r="U216" s="20" t="str">
        <f t="shared" si="48"/>
        <v>SINGLE</v>
      </c>
    </row>
    <row r="217" spans="1:21" x14ac:dyDescent="0.35">
      <c r="A217" s="21">
        <f t="shared" si="51"/>
        <v>45198</v>
      </c>
      <c r="B217" s="22" t="str">
        <f t="shared" si="49"/>
        <v>PM</v>
      </c>
      <c r="C217" s="23" t="str">
        <f t="shared" si="39"/>
        <v>September</v>
      </c>
      <c r="D217" s="13" t="str">
        <f t="shared" si="40"/>
        <v>FRI</v>
      </c>
      <c r="E217" s="24">
        <v>848</v>
      </c>
      <c r="F217" s="24">
        <v>160.91999999999999</v>
      </c>
      <c r="G217" s="24">
        <v>0</v>
      </c>
      <c r="H217" s="24">
        <f t="shared" si="41"/>
        <v>33.92</v>
      </c>
      <c r="I217" s="24">
        <f t="shared" si="42"/>
        <v>2.7034559999999996</v>
      </c>
      <c r="J217" s="24">
        <v>0</v>
      </c>
      <c r="K217" s="24">
        <f t="shared" si="43"/>
        <v>124.29654399999998</v>
      </c>
      <c r="L217" s="25">
        <v>5</v>
      </c>
      <c r="M217" s="25">
        <v>14</v>
      </c>
      <c r="N217" s="26">
        <f t="shared" si="44"/>
        <v>5.2333333333333334</v>
      </c>
      <c r="O217" s="24">
        <f t="shared" si="45"/>
        <v>11.147</v>
      </c>
      <c r="P217" s="24">
        <f t="shared" si="46"/>
        <v>135.44354399999997</v>
      </c>
      <c r="Q217" s="29">
        <f t="shared" si="47"/>
        <v>135.44354399999997</v>
      </c>
      <c r="R217" s="30">
        <f>COUNTIF(RAW_DATA[[#This Row],[CONVERTED]],"&gt;0")</f>
        <v>1</v>
      </c>
      <c r="S217" s="30">
        <f>COUNTIFS(RAW_DATA[[#This Row],[AM/PM]],"AM",RAW_DATA[[#This Row],[CONVERTED]],"&gt;0")</f>
        <v>0</v>
      </c>
      <c r="T217" s="19">
        <f t="shared" si="50"/>
        <v>0</v>
      </c>
      <c r="U217" s="20" t="str">
        <f t="shared" si="48"/>
        <v>SINGLE</v>
      </c>
    </row>
    <row r="218" spans="1:21" x14ac:dyDescent="0.35">
      <c r="A218" s="21">
        <f t="shared" si="51"/>
        <v>45199</v>
      </c>
      <c r="B218" s="22" t="str">
        <f t="shared" si="49"/>
        <v>AM</v>
      </c>
      <c r="C218" s="23" t="str">
        <f t="shared" si="39"/>
        <v>September</v>
      </c>
      <c r="D218" s="13" t="str">
        <f t="shared" si="40"/>
        <v>SAT</v>
      </c>
      <c r="E218" s="24">
        <v>0</v>
      </c>
      <c r="F218" s="24">
        <v>0</v>
      </c>
      <c r="G218" s="24">
        <v>0</v>
      </c>
      <c r="H218" s="24">
        <f t="shared" si="41"/>
        <v>0</v>
      </c>
      <c r="I218" s="24">
        <f t="shared" si="42"/>
        <v>0</v>
      </c>
      <c r="J218" s="24">
        <v>0</v>
      </c>
      <c r="K218" s="24">
        <f t="shared" si="43"/>
        <v>0</v>
      </c>
      <c r="L218" s="25">
        <v>0</v>
      </c>
      <c r="M218" s="25">
        <v>0</v>
      </c>
      <c r="N218" s="26">
        <f t="shared" si="44"/>
        <v>0</v>
      </c>
      <c r="O218" s="24">
        <f t="shared" si="45"/>
        <v>0</v>
      </c>
      <c r="P218" s="24">
        <f t="shared" si="46"/>
        <v>0</v>
      </c>
      <c r="Q218" s="29">
        <f t="shared" si="47"/>
        <v>0</v>
      </c>
      <c r="R218" s="30">
        <f>COUNTIF(RAW_DATA[[#This Row],[CONVERTED]],"&gt;0")</f>
        <v>0</v>
      </c>
      <c r="S218" s="30">
        <f>COUNTIFS(RAW_DATA[[#This Row],[AM/PM]],"AM",RAW_DATA[[#This Row],[CONVERTED]],"&gt;0")</f>
        <v>0</v>
      </c>
      <c r="T218" s="19">
        <f t="shared" si="50"/>
        <v>0</v>
      </c>
      <c r="U218" s="20" t="str">
        <f t="shared" si="48"/>
        <v>SINGLE</v>
      </c>
    </row>
    <row r="219" spans="1:21" x14ac:dyDescent="0.35">
      <c r="A219" s="21">
        <f t="shared" si="51"/>
        <v>45199</v>
      </c>
      <c r="B219" s="22" t="str">
        <f t="shared" si="49"/>
        <v>PM</v>
      </c>
      <c r="C219" s="23" t="str">
        <f t="shared" si="39"/>
        <v>September</v>
      </c>
      <c r="D219" s="13" t="str">
        <f t="shared" si="40"/>
        <v>SAT</v>
      </c>
      <c r="E219" s="24">
        <v>1323</v>
      </c>
      <c r="F219" s="24">
        <v>202.07</v>
      </c>
      <c r="G219" s="24">
        <v>0</v>
      </c>
      <c r="H219" s="24">
        <f t="shared" si="41"/>
        <v>52.92</v>
      </c>
      <c r="I219" s="24">
        <f t="shared" si="42"/>
        <v>3.3947759999999998</v>
      </c>
      <c r="J219" s="24">
        <v>0</v>
      </c>
      <c r="K219" s="24">
        <f t="shared" si="43"/>
        <v>145.755224</v>
      </c>
      <c r="L219" s="25">
        <v>10</v>
      </c>
      <c r="M219" s="25">
        <v>55</v>
      </c>
      <c r="N219" s="26">
        <f t="shared" si="44"/>
        <v>10.916666666666666</v>
      </c>
      <c r="O219" s="24">
        <f t="shared" si="45"/>
        <v>23.252499999999998</v>
      </c>
      <c r="P219" s="24">
        <f t="shared" si="46"/>
        <v>169.007724</v>
      </c>
      <c r="Q219" s="29">
        <f t="shared" si="47"/>
        <v>169.007724</v>
      </c>
      <c r="R219" s="30">
        <f>COUNTIF(RAW_DATA[[#This Row],[CONVERTED]],"&gt;0")</f>
        <v>1</v>
      </c>
      <c r="S219" s="30">
        <f>COUNTIFS(RAW_DATA[[#This Row],[AM/PM]],"AM",RAW_DATA[[#This Row],[CONVERTED]],"&gt;0")</f>
        <v>0</v>
      </c>
      <c r="T219" s="19">
        <f t="shared" si="50"/>
        <v>0</v>
      </c>
      <c r="U219" s="20" t="str">
        <f t="shared" si="48"/>
        <v>SINGLE</v>
      </c>
    </row>
    <row r="220" spans="1:21" x14ac:dyDescent="0.35">
      <c r="A220" s="21">
        <f t="shared" si="51"/>
        <v>45200</v>
      </c>
      <c r="B220" s="22" t="str">
        <f t="shared" si="49"/>
        <v>AM</v>
      </c>
      <c r="C220" s="23" t="str">
        <f t="shared" si="39"/>
        <v>October</v>
      </c>
      <c r="D220" s="13" t="str">
        <f t="shared" si="40"/>
        <v>SUN</v>
      </c>
      <c r="E220" s="24">
        <f>1956.5/2</f>
        <v>978.25</v>
      </c>
      <c r="F220" s="24">
        <f>338.8/2</f>
        <v>169.4</v>
      </c>
      <c r="G220" s="24">
        <f>125/2</f>
        <v>62.5</v>
      </c>
      <c r="H220" s="24">
        <f t="shared" si="41"/>
        <v>39.130000000000003</v>
      </c>
      <c r="I220" s="24">
        <f t="shared" si="42"/>
        <v>2.84592</v>
      </c>
      <c r="J220" s="24">
        <f>10/2</f>
        <v>5</v>
      </c>
      <c r="K220" s="24">
        <f t="shared" si="43"/>
        <v>127.42408</v>
      </c>
      <c r="L220" s="25">
        <f>10/2</f>
        <v>5</v>
      </c>
      <c r="M220" s="25">
        <v>5</v>
      </c>
      <c r="N220" s="26">
        <f t="shared" si="44"/>
        <v>5.083333333333333</v>
      </c>
      <c r="O220" s="24">
        <f t="shared" si="45"/>
        <v>10.827499999999999</v>
      </c>
      <c r="P220" s="24">
        <f t="shared" si="46"/>
        <v>143.25157999999999</v>
      </c>
      <c r="Q220" s="29">
        <f t="shared" si="47"/>
        <v>200.75157999999999</v>
      </c>
      <c r="R220" s="30">
        <f>COUNTIF(RAW_DATA[[#This Row],[CONVERTED]],"&gt;0")</f>
        <v>1</v>
      </c>
      <c r="S220" s="30">
        <f>COUNTIFS(RAW_DATA[[#This Row],[AM/PM]],"AM",RAW_DATA[[#This Row],[CONVERTED]],"&gt;0")</f>
        <v>1</v>
      </c>
      <c r="T220" s="19">
        <f t="shared" si="50"/>
        <v>0</v>
      </c>
      <c r="U220" s="20" t="str">
        <f t="shared" si="48"/>
        <v>DOUBLE</v>
      </c>
    </row>
    <row r="221" spans="1:21" x14ac:dyDescent="0.35">
      <c r="A221" s="21">
        <f t="shared" si="51"/>
        <v>45200</v>
      </c>
      <c r="B221" s="22" t="str">
        <f t="shared" si="49"/>
        <v>PM</v>
      </c>
      <c r="C221" s="23" t="str">
        <f t="shared" si="39"/>
        <v>October</v>
      </c>
      <c r="D221" s="13" t="str">
        <f t="shared" si="40"/>
        <v>SUN</v>
      </c>
      <c r="E221" s="24">
        <f>1956.5/2</f>
        <v>978.25</v>
      </c>
      <c r="F221" s="24">
        <f>338.8/2</f>
        <v>169.4</v>
      </c>
      <c r="G221" s="24">
        <f>125/2</f>
        <v>62.5</v>
      </c>
      <c r="H221" s="24">
        <f t="shared" si="41"/>
        <v>39.130000000000003</v>
      </c>
      <c r="I221" s="24">
        <f t="shared" si="42"/>
        <v>2.84592</v>
      </c>
      <c r="J221" s="24">
        <f>10/2</f>
        <v>5</v>
      </c>
      <c r="K221" s="24">
        <f t="shared" si="43"/>
        <v>127.42408</v>
      </c>
      <c r="L221" s="25">
        <f>10/2</f>
        <v>5</v>
      </c>
      <c r="M221" s="25">
        <v>5</v>
      </c>
      <c r="N221" s="26">
        <f t="shared" si="44"/>
        <v>5.083333333333333</v>
      </c>
      <c r="O221" s="24">
        <f t="shared" si="45"/>
        <v>10.827499999999999</v>
      </c>
      <c r="P221" s="24">
        <f t="shared" si="46"/>
        <v>143.25157999999999</v>
      </c>
      <c r="Q221" s="29">
        <f t="shared" si="47"/>
        <v>200.75157999999999</v>
      </c>
      <c r="R221" s="30">
        <f>COUNTIF(RAW_DATA[[#This Row],[CONVERTED]],"&gt;0")</f>
        <v>1</v>
      </c>
      <c r="S221" s="30">
        <f>COUNTIFS(RAW_DATA[[#This Row],[AM/PM]],"AM",RAW_DATA[[#This Row],[CONVERTED]],"&gt;0")</f>
        <v>0</v>
      </c>
      <c r="T221" s="19">
        <f t="shared" si="50"/>
        <v>1</v>
      </c>
      <c r="U221" s="20" t="str">
        <f t="shared" si="48"/>
        <v>DOUBLE</v>
      </c>
    </row>
    <row r="222" spans="1:21" x14ac:dyDescent="0.35">
      <c r="A222" s="21">
        <f t="shared" si="51"/>
        <v>45201</v>
      </c>
      <c r="B222" s="22" t="str">
        <f t="shared" si="49"/>
        <v>AM</v>
      </c>
      <c r="C222" s="23" t="str">
        <f t="shared" si="39"/>
        <v>October</v>
      </c>
      <c r="D222" s="13" t="str">
        <f t="shared" si="40"/>
        <v>MON</v>
      </c>
      <c r="E222" s="24">
        <v>0</v>
      </c>
      <c r="F222" s="24">
        <v>0</v>
      </c>
      <c r="G222" s="24">
        <v>0</v>
      </c>
      <c r="H222" s="24">
        <f t="shared" si="41"/>
        <v>0</v>
      </c>
      <c r="I222" s="24">
        <f t="shared" si="42"/>
        <v>0</v>
      </c>
      <c r="J222" s="24">
        <v>0</v>
      </c>
      <c r="K222" s="24">
        <f t="shared" si="43"/>
        <v>0</v>
      </c>
      <c r="L222" s="25">
        <v>0</v>
      </c>
      <c r="M222" s="25">
        <v>0</v>
      </c>
      <c r="N222" s="26">
        <f t="shared" si="44"/>
        <v>0</v>
      </c>
      <c r="O222" s="24">
        <f t="shared" si="45"/>
        <v>0</v>
      </c>
      <c r="P222" s="24">
        <f t="shared" si="46"/>
        <v>0</v>
      </c>
      <c r="Q222" s="29">
        <f t="shared" si="47"/>
        <v>0</v>
      </c>
      <c r="R222" s="30">
        <f>COUNTIF(RAW_DATA[[#This Row],[CONVERTED]],"&gt;0")</f>
        <v>0</v>
      </c>
      <c r="S222" s="30">
        <f>COUNTIFS(RAW_DATA[[#This Row],[AM/PM]],"AM",RAW_DATA[[#This Row],[CONVERTED]],"&gt;0")</f>
        <v>0</v>
      </c>
      <c r="T222" s="19">
        <f t="shared" si="50"/>
        <v>0</v>
      </c>
      <c r="U222" s="20" t="str">
        <f t="shared" si="48"/>
        <v>SINGLE</v>
      </c>
    </row>
    <row r="223" spans="1:21" x14ac:dyDescent="0.35">
      <c r="A223" s="21">
        <f t="shared" si="51"/>
        <v>45201</v>
      </c>
      <c r="B223" s="22" t="str">
        <f t="shared" si="49"/>
        <v>PM</v>
      </c>
      <c r="C223" s="23" t="str">
        <f t="shared" si="39"/>
        <v>October</v>
      </c>
      <c r="D223" s="13" t="str">
        <f t="shared" si="40"/>
        <v>MON</v>
      </c>
      <c r="E223" s="24">
        <v>838.5</v>
      </c>
      <c r="F223" s="24">
        <v>151.97</v>
      </c>
      <c r="G223" s="24">
        <v>15</v>
      </c>
      <c r="H223" s="24">
        <f t="shared" si="41"/>
        <v>33.54</v>
      </c>
      <c r="I223" s="24">
        <f t="shared" si="42"/>
        <v>2.553096</v>
      </c>
      <c r="J223" s="24">
        <v>6</v>
      </c>
      <c r="K223" s="24">
        <f t="shared" si="43"/>
        <v>115.876904</v>
      </c>
      <c r="L223" s="25">
        <v>4</v>
      </c>
      <c r="M223" s="25">
        <v>40</v>
      </c>
      <c r="N223" s="26">
        <f t="shared" si="44"/>
        <v>4.666666666666667</v>
      </c>
      <c r="O223" s="24">
        <f t="shared" si="45"/>
        <v>9.94</v>
      </c>
      <c r="P223" s="24">
        <f t="shared" si="46"/>
        <v>131.81690399999999</v>
      </c>
      <c r="Q223" s="29">
        <f t="shared" si="47"/>
        <v>140.81690399999999</v>
      </c>
      <c r="R223" s="30">
        <f>COUNTIF(RAW_DATA[[#This Row],[CONVERTED]],"&gt;0")</f>
        <v>1</v>
      </c>
      <c r="S223" s="30">
        <f>COUNTIFS(RAW_DATA[[#This Row],[AM/PM]],"AM",RAW_DATA[[#This Row],[CONVERTED]],"&gt;0")</f>
        <v>0</v>
      </c>
      <c r="T223" s="19">
        <f t="shared" si="50"/>
        <v>0</v>
      </c>
      <c r="U223" s="20" t="str">
        <f t="shared" si="48"/>
        <v>SINGLE</v>
      </c>
    </row>
    <row r="224" spans="1:21" x14ac:dyDescent="0.35">
      <c r="A224" s="21">
        <f t="shared" si="51"/>
        <v>45202</v>
      </c>
      <c r="B224" s="22" t="str">
        <f t="shared" si="49"/>
        <v>AM</v>
      </c>
      <c r="C224" s="23" t="str">
        <f t="shared" si="39"/>
        <v>October</v>
      </c>
      <c r="D224" s="13" t="str">
        <f t="shared" si="40"/>
        <v>TUE</v>
      </c>
      <c r="E224" s="24">
        <v>0</v>
      </c>
      <c r="F224" s="24">
        <v>0</v>
      </c>
      <c r="G224" s="24">
        <v>0</v>
      </c>
      <c r="H224" s="24">
        <f t="shared" si="41"/>
        <v>0</v>
      </c>
      <c r="I224" s="24">
        <f t="shared" si="42"/>
        <v>0</v>
      </c>
      <c r="J224" s="24">
        <v>0</v>
      </c>
      <c r="K224" s="24">
        <f t="shared" si="43"/>
        <v>0</v>
      </c>
      <c r="L224" s="25">
        <v>0</v>
      </c>
      <c r="M224" s="25">
        <v>0</v>
      </c>
      <c r="N224" s="26">
        <f t="shared" si="44"/>
        <v>0</v>
      </c>
      <c r="O224" s="24">
        <f t="shared" si="45"/>
        <v>0</v>
      </c>
      <c r="P224" s="24">
        <f t="shared" si="46"/>
        <v>0</v>
      </c>
      <c r="Q224" s="29">
        <f t="shared" si="47"/>
        <v>0</v>
      </c>
      <c r="R224" s="30">
        <f>COUNTIF(RAW_DATA[[#This Row],[CONVERTED]],"&gt;0")</f>
        <v>0</v>
      </c>
      <c r="S224" s="30">
        <f>COUNTIFS(RAW_DATA[[#This Row],[AM/PM]],"AM",RAW_DATA[[#This Row],[CONVERTED]],"&gt;0")</f>
        <v>0</v>
      </c>
      <c r="T224" s="19">
        <f t="shared" si="50"/>
        <v>0</v>
      </c>
      <c r="U224" s="20" t="str">
        <f t="shared" si="48"/>
        <v>SINGLE</v>
      </c>
    </row>
    <row r="225" spans="1:21" x14ac:dyDescent="0.35">
      <c r="A225" s="21">
        <f t="shared" si="51"/>
        <v>45202</v>
      </c>
      <c r="B225" s="22" t="str">
        <f t="shared" si="49"/>
        <v>PM</v>
      </c>
      <c r="C225" s="23" t="str">
        <f t="shared" si="39"/>
        <v>October</v>
      </c>
      <c r="D225" s="13" t="str">
        <f t="shared" si="40"/>
        <v>TUE</v>
      </c>
      <c r="E225" s="24">
        <v>0</v>
      </c>
      <c r="F225" s="24">
        <v>0</v>
      </c>
      <c r="G225" s="24">
        <v>0</v>
      </c>
      <c r="H225" s="24">
        <f t="shared" si="41"/>
        <v>0</v>
      </c>
      <c r="I225" s="24">
        <f t="shared" si="42"/>
        <v>0</v>
      </c>
      <c r="J225" s="24">
        <v>0</v>
      </c>
      <c r="K225" s="24">
        <f t="shared" si="43"/>
        <v>0</v>
      </c>
      <c r="L225" s="25">
        <v>0</v>
      </c>
      <c r="M225" s="25">
        <v>0</v>
      </c>
      <c r="N225" s="26">
        <f t="shared" si="44"/>
        <v>0</v>
      </c>
      <c r="O225" s="24">
        <f t="shared" si="45"/>
        <v>0</v>
      </c>
      <c r="P225" s="24">
        <f t="shared" si="46"/>
        <v>0</v>
      </c>
      <c r="Q225" s="29">
        <f t="shared" si="47"/>
        <v>0</v>
      </c>
      <c r="R225" s="30">
        <f>COUNTIF(RAW_DATA[[#This Row],[CONVERTED]],"&gt;0")</f>
        <v>0</v>
      </c>
      <c r="S225" s="30">
        <f>COUNTIFS(RAW_DATA[[#This Row],[AM/PM]],"AM",RAW_DATA[[#This Row],[CONVERTED]],"&gt;0")</f>
        <v>0</v>
      </c>
      <c r="T225" s="19">
        <f t="shared" si="50"/>
        <v>0</v>
      </c>
      <c r="U225" s="20" t="str">
        <f t="shared" si="48"/>
        <v>SINGLE</v>
      </c>
    </row>
    <row r="226" spans="1:21" x14ac:dyDescent="0.35">
      <c r="A226" s="21">
        <f t="shared" si="51"/>
        <v>45203</v>
      </c>
      <c r="B226" s="22" t="str">
        <f t="shared" si="49"/>
        <v>AM</v>
      </c>
      <c r="C226" s="23" t="str">
        <f t="shared" si="39"/>
        <v>October</v>
      </c>
      <c r="D226" s="13" t="str">
        <f t="shared" si="40"/>
        <v>WED</v>
      </c>
      <c r="E226" s="24">
        <v>350</v>
      </c>
      <c r="F226" s="24">
        <v>53.26</v>
      </c>
      <c r="G226" s="24">
        <v>0</v>
      </c>
      <c r="H226" s="24">
        <f t="shared" si="41"/>
        <v>14</v>
      </c>
      <c r="I226" s="24">
        <f t="shared" si="42"/>
        <v>0.8947679999999999</v>
      </c>
      <c r="J226" s="24">
        <v>0</v>
      </c>
      <c r="K226" s="24">
        <f t="shared" si="43"/>
        <v>38.365231999999999</v>
      </c>
      <c r="L226" s="25">
        <v>4</v>
      </c>
      <c r="M226" s="25">
        <v>40</v>
      </c>
      <c r="N226" s="26">
        <f t="shared" si="44"/>
        <v>4.666666666666667</v>
      </c>
      <c r="O226" s="24">
        <f t="shared" si="45"/>
        <v>9.94</v>
      </c>
      <c r="P226" s="24">
        <f t="shared" si="46"/>
        <v>48.305231999999997</v>
      </c>
      <c r="Q226" s="29">
        <f t="shared" si="47"/>
        <v>48.305231999999997</v>
      </c>
      <c r="R226" s="30">
        <f>COUNTIF(RAW_DATA[[#This Row],[CONVERTED]],"&gt;0")</f>
        <v>1</v>
      </c>
      <c r="S226" s="30">
        <f>COUNTIFS(RAW_DATA[[#This Row],[AM/PM]],"AM",RAW_DATA[[#This Row],[CONVERTED]],"&gt;0")</f>
        <v>1</v>
      </c>
      <c r="T226" s="19">
        <f t="shared" si="50"/>
        <v>0</v>
      </c>
      <c r="U226" s="20" t="str">
        <f t="shared" si="48"/>
        <v>SINGLE</v>
      </c>
    </row>
    <row r="227" spans="1:21" x14ac:dyDescent="0.35">
      <c r="A227" s="21">
        <f t="shared" si="51"/>
        <v>45203</v>
      </c>
      <c r="B227" s="22" t="str">
        <f t="shared" si="49"/>
        <v>PM</v>
      </c>
      <c r="C227" s="23" t="str">
        <f t="shared" si="39"/>
        <v>October</v>
      </c>
      <c r="D227" s="13" t="str">
        <f t="shared" si="40"/>
        <v>WED</v>
      </c>
      <c r="E227" s="24">
        <v>0</v>
      </c>
      <c r="F227" s="24">
        <v>0</v>
      </c>
      <c r="G227" s="24">
        <v>0</v>
      </c>
      <c r="H227" s="24">
        <f t="shared" si="41"/>
        <v>0</v>
      </c>
      <c r="I227" s="24">
        <f t="shared" si="42"/>
        <v>0</v>
      </c>
      <c r="J227" s="24">
        <v>0</v>
      </c>
      <c r="K227" s="24">
        <f t="shared" si="43"/>
        <v>0</v>
      </c>
      <c r="L227" s="25">
        <v>0</v>
      </c>
      <c r="M227" s="25">
        <v>0</v>
      </c>
      <c r="N227" s="26">
        <f t="shared" si="44"/>
        <v>0</v>
      </c>
      <c r="O227" s="24">
        <f t="shared" si="45"/>
        <v>0</v>
      </c>
      <c r="P227" s="24">
        <f t="shared" si="46"/>
        <v>0</v>
      </c>
      <c r="Q227" s="29">
        <f t="shared" si="47"/>
        <v>0</v>
      </c>
      <c r="R227" s="30">
        <f>COUNTIF(RAW_DATA[[#This Row],[CONVERTED]],"&gt;0")</f>
        <v>0</v>
      </c>
      <c r="S227" s="30">
        <f>COUNTIFS(RAW_DATA[[#This Row],[AM/PM]],"AM",RAW_DATA[[#This Row],[CONVERTED]],"&gt;0")</f>
        <v>0</v>
      </c>
      <c r="T227" s="19">
        <f t="shared" si="50"/>
        <v>0</v>
      </c>
      <c r="U227" s="20" t="str">
        <f t="shared" si="48"/>
        <v>SINGLE</v>
      </c>
    </row>
    <row r="228" spans="1:21" x14ac:dyDescent="0.35">
      <c r="A228" s="21">
        <f t="shared" si="51"/>
        <v>45204</v>
      </c>
      <c r="B228" s="22" t="str">
        <f t="shared" si="49"/>
        <v>AM</v>
      </c>
      <c r="C228" s="23" t="str">
        <f t="shared" si="39"/>
        <v>October</v>
      </c>
      <c r="D228" s="13" t="str">
        <f t="shared" si="40"/>
        <v>THU</v>
      </c>
      <c r="E228" s="24">
        <v>0</v>
      </c>
      <c r="F228" s="24">
        <v>0</v>
      </c>
      <c r="G228" s="24">
        <v>0</v>
      </c>
      <c r="H228" s="24">
        <f t="shared" si="41"/>
        <v>0</v>
      </c>
      <c r="I228" s="24">
        <f t="shared" si="42"/>
        <v>0</v>
      </c>
      <c r="J228" s="24">
        <v>0</v>
      </c>
      <c r="K228" s="24">
        <f t="shared" si="43"/>
        <v>0</v>
      </c>
      <c r="L228" s="25">
        <v>0</v>
      </c>
      <c r="M228" s="25">
        <v>0</v>
      </c>
      <c r="N228" s="26">
        <f t="shared" si="44"/>
        <v>0</v>
      </c>
      <c r="O228" s="24">
        <f t="shared" si="45"/>
        <v>0</v>
      </c>
      <c r="P228" s="24">
        <f t="shared" si="46"/>
        <v>0</v>
      </c>
      <c r="Q228" s="29">
        <f t="shared" si="47"/>
        <v>0</v>
      </c>
      <c r="R228" s="30">
        <f>COUNTIF(RAW_DATA[[#This Row],[CONVERTED]],"&gt;0")</f>
        <v>0</v>
      </c>
      <c r="S228" s="30">
        <f>COUNTIFS(RAW_DATA[[#This Row],[AM/PM]],"AM",RAW_DATA[[#This Row],[CONVERTED]],"&gt;0")</f>
        <v>0</v>
      </c>
      <c r="T228" s="19">
        <f t="shared" si="50"/>
        <v>0</v>
      </c>
      <c r="U228" s="20" t="str">
        <f t="shared" si="48"/>
        <v>SINGLE</v>
      </c>
    </row>
    <row r="229" spans="1:21" x14ac:dyDescent="0.35">
      <c r="A229" s="21">
        <f t="shared" si="51"/>
        <v>45204</v>
      </c>
      <c r="B229" s="22" t="str">
        <f t="shared" si="49"/>
        <v>PM</v>
      </c>
      <c r="C229" s="23" t="str">
        <f t="shared" si="39"/>
        <v>October</v>
      </c>
      <c r="D229" s="13" t="str">
        <f t="shared" si="40"/>
        <v>THU</v>
      </c>
      <c r="E229" s="24">
        <v>0</v>
      </c>
      <c r="F229" s="24">
        <v>0</v>
      </c>
      <c r="G229" s="24">
        <v>0</v>
      </c>
      <c r="H229" s="24">
        <f t="shared" si="41"/>
        <v>0</v>
      </c>
      <c r="I229" s="24">
        <f t="shared" si="42"/>
        <v>0</v>
      </c>
      <c r="J229" s="24">
        <v>0</v>
      </c>
      <c r="K229" s="24">
        <f t="shared" si="43"/>
        <v>0</v>
      </c>
      <c r="L229" s="25">
        <v>0</v>
      </c>
      <c r="M229" s="25">
        <v>0</v>
      </c>
      <c r="N229" s="26">
        <f t="shared" si="44"/>
        <v>0</v>
      </c>
      <c r="O229" s="24">
        <f t="shared" si="45"/>
        <v>0</v>
      </c>
      <c r="P229" s="24">
        <f t="shared" si="46"/>
        <v>0</v>
      </c>
      <c r="Q229" s="29">
        <f t="shared" si="47"/>
        <v>0</v>
      </c>
      <c r="R229" s="30">
        <f>COUNTIF(RAW_DATA[[#This Row],[CONVERTED]],"&gt;0")</f>
        <v>0</v>
      </c>
      <c r="S229" s="30">
        <f>COUNTIFS(RAW_DATA[[#This Row],[AM/PM]],"AM",RAW_DATA[[#This Row],[CONVERTED]],"&gt;0")</f>
        <v>0</v>
      </c>
      <c r="T229" s="19">
        <f t="shared" si="50"/>
        <v>0</v>
      </c>
      <c r="U229" s="20" t="str">
        <f t="shared" si="48"/>
        <v>SINGLE</v>
      </c>
    </row>
    <row r="230" spans="1:21" x14ac:dyDescent="0.35">
      <c r="A230" s="21">
        <f t="shared" si="51"/>
        <v>45205</v>
      </c>
      <c r="B230" s="22" t="str">
        <f t="shared" si="49"/>
        <v>AM</v>
      </c>
      <c r="C230" s="23" t="str">
        <f t="shared" si="39"/>
        <v>October</v>
      </c>
      <c r="D230" s="13" t="str">
        <f t="shared" si="40"/>
        <v>FRI</v>
      </c>
      <c r="E230" s="24">
        <v>0</v>
      </c>
      <c r="F230" s="24">
        <v>0</v>
      </c>
      <c r="G230" s="24">
        <v>0</v>
      </c>
      <c r="H230" s="24">
        <f t="shared" si="41"/>
        <v>0</v>
      </c>
      <c r="I230" s="24">
        <f t="shared" si="42"/>
        <v>0</v>
      </c>
      <c r="J230" s="24">
        <v>0</v>
      </c>
      <c r="K230" s="24">
        <f t="shared" si="43"/>
        <v>0</v>
      </c>
      <c r="L230" s="25">
        <v>0</v>
      </c>
      <c r="M230" s="25">
        <v>0</v>
      </c>
      <c r="N230" s="26">
        <f t="shared" si="44"/>
        <v>0</v>
      </c>
      <c r="O230" s="24">
        <f t="shared" si="45"/>
        <v>0</v>
      </c>
      <c r="P230" s="24">
        <f t="shared" si="46"/>
        <v>0</v>
      </c>
      <c r="Q230" s="29">
        <f t="shared" si="47"/>
        <v>0</v>
      </c>
      <c r="R230" s="30">
        <f>COUNTIF(RAW_DATA[[#This Row],[CONVERTED]],"&gt;0")</f>
        <v>0</v>
      </c>
      <c r="S230" s="30">
        <f>COUNTIFS(RAW_DATA[[#This Row],[AM/PM]],"AM",RAW_DATA[[#This Row],[CONVERTED]],"&gt;0")</f>
        <v>0</v>
      </c>
      <c r="T230" s="19">
        <f t="shared" si="50"/>
        <v>0</v>
      </c>
      <c r="U230" s="20" t="str">
        <f t="shared" si="48"/>
        <v>SINGLE</v>
      </c>
    </row>
    <row r="231" spans="1:21" x14ac:dyDescent="0.35">
      <c r="A231" s="21">
        <f t="shared" si="51"/>
        <v>45205</v>
      </c>
      <c r="B231" s="22" t="str">
        <f t="shared" si="49"/>
        <v>PM</v>
      </c>
      <c r="C231" s="23" t="str">
        <f t="shared" si="39"/>
        <v>October</v>
      </c>
      <c r="D231" s="13" t="str">
        <f t="shared" si="40"/>
        <v>FRI</v>
      </c>
      <c r="E231" s="24">
        <v>0</v>
      </c>
      <c r="F231" s="24">
        <v>0</v>
      </c>
      <c r="G231" s="24">
        <v>0</v>
      </c>
      <c r="H231" s="24">
        <f t="shared" si="41"/>
        <v>0</v>
      </c>
      <c r="I231" s="24">
        <f t="shared" si="42"/>
        <v>0</v>
      </c>
      <c r="J231" s="24">
        <v>0</v>
      </c>
      <c r="K231" s="24">
        <f t="shared" si="43"/>
        <v>0</v>
      </c>
      <c r="L231" s="25">
        <v>0</v>
      </c>
      <c r="M231" s="25">
        <v>0</v>
      </c>
      <c r="N231" s="26">
        <f t="shared" si="44"/>
        <v>0</v>
      </c>
      <c r="O231" s="24">
        <f t="shared" si="45"/>
        <v>0</v>
      </c>
      <c r="P231" s="24">
        <f t="shared" si="46"/>
        <v>0</v>
      </c>
      <c r="Q231" s="29">
        <f t="shared" si="47"/>
        <v>0</v>
      </c>
      <c r="R231" s="30">
        <f>COUNTIF(RAW_DATA[[#This Row],[CONVERTED]],"&gt;0")</f>
        <v>0</v>
      </c>
      <c r="S231" s="30">
        <f>COUNTIFS(RAW_DATA[[#This Row],[AM/PM]],"AM",RAW_DATA[[#This Row],[CONVERTED]],"&gt;0")</f>
        <v>0</v>
      </c>
      <c r="T231" s="19">
        <f t="shared" si="50"/>
        <v>0</v>
      </c>
      <c r="U231" s="20" t="str">
        <f t="shared" si="48"/>
        <v>SINGLE</v>
      </c>
    </row>
    <row r="232" spans="1:21" x14ac:dyDescent="0.35">
      <c r="A232" s="21">
        <f t="shared" si="51"/>
        <v>45206</v>
      </c>
      <c r="B232" s="22" t="str">
        <f t="shared" si="49"/>
        <v>AM</v>
      </c>
      <c r="C232" s="23" t="str">
        <f t="shared" si="39"/>
        <v>October</v>
      </c>
      <c r="D232" s="13" t="str">
        <f t="shared" si="40"/>
        <v>SAT</v>
      </c>
      <c r="E232" s="24">
        <v>0</v>
      </c>
      <c r="F232" s="24">
        <v>0</v>
      </c>
      <c r="G232" s="24">
        <v>0</v>
      </c>
      <c r="H232" s="24">
        <f t="shared" si="41"/>
        <v>0</v>
      </c>
      <c r="I232" s="24">
        <f t="shared" si="42"/>
        <v>0</v>
      </c>
      <c r="J232" s="24">
        <v>0</v>
      </c>
      <c r="K232" s="24">
        <f t="shared" si="43"/>
        <v>0</v>
      </c>
      <c r="L232" s="25">
        <v>0</v>
      </c>
      <c r="M232" s="25">
        <v>0</v>
      </c>
      <c r="N232" s="26">
        <f t="shared" si="44"/>
        <v>0</v>
      </c>
      <c r="O232" s="24">
        <f t="shared" si="45"/>
        <v>0</v>
      </c>
      <c r="P232" s="24">
        <f t="shared" si="46"/>
        <v>0</v>
      </c>
      <c r="Q232" s="29">
        <f t="shared" si="47"/>
        <v>0</v>
      </c>
      <c r="R232" s="30">
        <f>COUNTIF(RAW_DATA[[#This Row],[CONVERTED]],"&gt;0")</f>
        <v>0</v>
      </c>
      <c r="S232" s="30">
        <f>COUNTIFS(RAW_DATA[[#This Row],[AM/PM]],"AM",RAW_DATA[[#This Row],[CONVERTED]],"&gt;0")</f>
        <v>0</v>
      </c>
      <c r="T232" s="19">
        <f t="shared" si="50"/>
        <v>0</v>
      </c>
      <c r="U232" s="20" t="str">
        <f t="shared" si="48"/>
        <v>SINGLE</v>
      </c>
    </row>
    <row r="233" spans="1:21" x14ac:dyDescent="0.35">
      <c r="A233" s="21">
        <f t="shared" si="51"/>
        <v>45206</v>
      </c>
      <c r="B233" s="22" t="str">
        <f t="shared" si="49"/>
        <v>PM</v>
      </c>
      <c r="C233" s="23" t="str">
        <f t="shared" si="39"/>
        <v>October</v>
      </c>
      <c r="D233" s="13" t="str">
        <f t="shared" si="40"/>
        <v>SAT</v>
      </c>
      <c r="E233" s="24">
        <v>892</v>
      </c>
      <c r="F233" s="24">
        <v>154.75</v>
      </c>
      <c r="G233" s="24">
        <v>15</v>
      </c>
      <c r="H233" s="24">
        <f t="shared" si="41"/>
        <v>35.68</v>
      </c>
      <c r="I233" s="24">
        <f t="shared" si="42"/>
        <v>2.5997999999999997</v>
      </c>
      <c r="J233" s="24">
        <v>2.6</v>
      </c>
      <c r="K233" s="24">
        <f t="shared" si="43"/>
        <v>116.47020000000001</v>
      </c>
      <c r="L233" s="25">
        <v>6</v>
      </c>
      <c r="M233" s="25">
        <v>53</v>
      </c>
      <c r="N233" s="26">
        <f t="shared" si="44"/>
        <v>6.8833333333333337</v>
      </c>
      <c r="O233" s="24">
        <f t="shared" si="45"/>
        <v>14.6615</v>
      </c>
      <c r="P233" s="24">
        <f t="shared" si="46"/>
        <v>133.73169999999999</v>
      </c>
      <c r="Q233" s="29">
        <f t="shared" si="47"/>
        <v>146.1317</v>
      </c>
      <c r="R233" s="30">
        <f>COUNTIF(RAW_DATA[[#This Row],[CONVERTED]],"&gt;0")</f>
        <v>1</v>
      </c>
      <c r="S233" s="30">
        <f>COUNTIFS(RAW_DATA[[#This Row],[AM/PM]],"AM",RAW_DATA[[#This Row],[CONVERTED]],"&gt;0")</f>
        <v>0</v>
      </c>
      <c r="T233" s="19">
        <f t="shared" si="50"/>
        <v>0</v>
      </c>
      <c r="U233" s="20" t="str">
        <f t="shared" si="48"/>
        <v>SINGLE</v>
      </c>
    </row>
    <row r="234" spans="1:21" x14ac:dyDescent="0.35">
      <c r="A234" s="21">
        <f t="shared" si="51"/>
        <v>45207</v>
      </c>
      <c r="B234" s="22" t="str">
        <f t="shared" si="49"/>
        <v>AM</v>
      </c>
      <c r="C234" s="23" t="str">
        <f t="shared" si="39"/>
        <v>October</v>
      </c>
      <c r="D234" s="13" t="str">
        <f t="shared" si="40"/>
        <v>SUN</v>
      </c>
      <c r="E234" s="24">
        <v>0</v>
      </c>
      <c r="F234" s="24">
        <v>0</v>
      </c>
      <c r="G234" s="24">
        <v>0</v>
      </c>
      <c r="H234" s="24">
        <f t="shared" si="41"/>
        <v>0</v>
      </c>
      <c r="I234" s="24">
        <f t="shared" si="42"/>
        <v>0</v>
      </c>
      <c r="J234" s="24">
        <v>0</v>
      </c>
      <c r="K234" s="24">
        <f t="shared" si="43"/>
        <v>0</v>
      </c>
      <c r="L234" s="25">
        <v>0</v>
      </c>
      <c r="M234" s="25">
        <v>0</v>
      </c>
      <c r="N234" s="26">
        <f t="shared" si="44"/>
        <v>0</v>
      </c>
      <c r="O234" s="24">
        <f t="shared" si="45"/>
        <v>0</v>
      </c>
      <c r="P234" s="24">
        <f t="shared" si="46"/>
        <v>0</v>
      </c>
      <c r="Q234" s="29">
        <f t="shared" si="47"/>
        <v>0</v>
      </c>
      <c r="R234" s="30">
        <f>COUNTIF(RAW_DATA[[#This Row],[CONVERTED]],"&gt;0")</f>
        <v>0</v>
      </c>
      <c r="S234" s="30">
        <f>COUNTIFS(RAW_DATA[[#This Row],[AM/PM]],"AM",RAW_DATA[[#This Row],[CONVERTED]],"&gt;0")</f>
        <v>0</v>
      </c>
      <c r="T234" s="19">
        <f t="shared" si="50"/>
        <v>0</v>
      </c>
      <c r="U234" s="20" t="str">
        <f t="shared" si="48"/>
        <v>SINGLE</v>
      </c>
    </row>
    <row r="235" spans="1:21" x14ac:dyDescent="0.35">
      <c r="A235" s="21">
        <f t="shared" si="51"/>
        <v>45207</v>
      </c>
      <c r="B235" s="22" t="str">
        <f t="shared" si="49"/>
        <v>PM</v>
      </c>
      <c r="C235" s="23" t="str">
        <f t="shared" si="39"/>
        <v>October</v>
      </c>
      <c r="D235" s="13" t="str">
        <f t="shared" si="40"/>
        <v>SUN</v>
      </c>
      <c r="E235" s="24">
        <v>1409</v>
      </c>
      <c r="F235" s="24">
        <v>277.83</v>
      </c>
      <c r="G235" s="24">
        <v>20</v>
      </c>
      <c r="H235" s="24">
        <f t="shared" si="41"/>
        <v>56.36</v>
      </c>
      <c r="I235" s="24">
        <f t="shared" si="42"/>
        <v>4.6675439999999995</v>
      </c>
      <c r="J235" s="24">
        <v>0</v>
      </c>
      <c r="K235" s="24">
        <f t="shared" si="43"/>
        <v>216.80245599999998</v>
      </c>
      <c r="L235" s="25">
        <v>5</v>
      </c>
      <c r="M235" s="25">
        <v>56</v>
      </c>
      <c r="N235" s="26">
        <f t="shared" si="44"/>
        <v>5.9333333333333336</v>
      </c>
      <c r="O235" s="24">
        <f t="shared" si="45"/>
        <v>12.638</v>
      </c>
      <c r="P235" s="24">
        <f t="shared" si="46"/>
        <v>229.44045599999998</v>
      </c>
      <c r="Q235" s="29">
        <f t="shared" si="47"/>
        <v>249.44045599999998</v>
      </c>
      <c r="R235" s="30">
        <f>COUNTIF(RAW_DATA[[#This Row],[CONVERTED]],"&gt;0")</f>
        <v>1</v>
      </c>
      <c r="S235" s="30">
        <f>COUNTIFS(RAW_DATA[[#This Row],[AM/PM]],"AM",RAW_DATA[[#This Row],[CONVERTED]],"&gt;0")</f>
        <v>0</v>
      </c>
      <c r="T235" s="19">
        <f t="shared" si="50"/>
        <v>0</v>
      </c>
      <c r="U235" s="20" t="str">
        <f t="shared" si="48"/>
        <v>SINGLE</v>
      </c>
    </row>
    <row r="236" spans="1:21" x14ac:dyDescent="0.35">
      <c r="A236" s="21">
        <f t="shared" si="51"/>
        <v>45208</v>
      </c>
      <c r="B236" s="22" t="str">
        <f t="shared" si="49"/>
        <v>AM</v>
      </c>
      <c r="C236" s="23" t="str">
        <f t="shared" si="39"/>
        <v>October</v>
      </c>
      <c r="D236" s="13" t="str">
        <f t="shared" si="40"/>
        <v>MON</v>
      </c>
      <c r="E236" s="24">
        <v>0</v>
      </c>
      <c r="F236" s="24">
        <v>0</v>
      </c>
      <c r="G236" s="24">
        <v>0</v>
      </c>
      <c r="H236" s="24">
        <f t="shared" si="41"/>
        <v>0</v>
      </c>
      <c r="I236" s="24">
        <f t="shared" si="42"/>
        <v>0</v>
      </c>
      <c r="J236" s="24">
        <v>0</v>
      </c>
      <c r="K236" s="24">
        <f t="shared" si="43"/>
        <v>0</v>
      </c>
      <c r="L236" s="25">
        <v>0</v>
      </c>
      <c r="M236" s="25">
        <v>0</v>
      </c>
      <c r="N236" s="26">
        <f t="shared" si="44"/>
        <v>0</v>
      </c>
      <c r="O236" s="24">
        <f t="shared" si="45"/>
        <v>0</v>
      </c>
      <c r="P236" s="24">
        <f t="shared" si="46"/>
        <v>0</v>
      </c>
      <c r="Q236" s="29">
        <f t="shared" si="47"/>
        <v>0</v>
      </c>
      <c r="R236" s="30">
        <f>COUNTIF(RAW_DATA[[#This Row],[CONVERTED]],"&gt;0")</f>
        <v>0</v>
      </c>
      <c r="S236" s="30">
        <f>COUNTIFS(RAW_DATA[[#This Row],[AM/PM]],"AM",RAW_DATA[[#This Row],[CONVERTED]],"&gt;0")</f>
        <v>0</v>
      </c>
      <c r="T236" s="19">
        <f t="shared" si="50"/>
        <v>0</v>
      </c>
      <c r="U236" s="20" t="str">
        <f t="shared" si="48"/>
        <v>SINGLE</v>
      </c>
    </row>
    <row r="237" spans="1:21" x14ac:dyDescent="0.35">
      <c r="A237" s="21">
        <f t="shared" si="51"/>
        <v>45208</v>
      </c>
      <c r="B237" s="22" t="str">
        <f t="shared" si="49"/>
        <v>PM</v>
      </c>
      <c r="C237" s="23" t="str">
        <f t="shared" si="39"/>
        <v>October</v>
      </c>
      <c r="D237" s="13" t="str">
        <f t="shared" si="40"/>
        <v>MON</v>
      </c>
      <c r="E237" s="24">
        <v>1222.5</v>
      </c>
      <c r="F237" s="24">
        <v>252.1</v>
      </c>
      <c r="G237" s="24">
        <v>19</v>
      </c>
      <c r="H237" s="24">
        <f t="shared" si="41"/>
        <v>48.9</v>
      </c>
      <c r="I237" s="24">
        <f t="shared" si="42"/>
        <v>4.2352799999999995</v>
      </c>
      <c r="J237" s="24">
        <v>4.75</v>
      </c>
      <c r="K237" s="24">
        <f t="shared" si="43"/>
        <v>198.96472</v>
      </c>
      <c r="L237" s="25">
        <v>6</v>
      </c>
      <c r="M237" s="25">
        <v>13</v>
      </c>
      <c r="N237" s="26">
        <f t="shared" si="44"/>
        <v>6.2166666666666668</v>
      </c>
      <c r="O237" s="24">
        <f t="shared" si="45"/>
        <v>13.2415</v>
      </c>
      <c r="P237" s="24">
        <f t="shared" si="46"/>
        <v>216.95622</v>
      </c>
      <c r="Q237" s="29">
        <f t="shared" si="47"/>
        <v>231.20622</v>
      </c>
      <c r="R237" s="30">
        <f>COUNTIF(RAW_DATA[[#This Row],[CONVERTED]],"&gt;0")</f>
        <v>1</v>
      </c>
      <c r="S237" s="30">
        <f>COUNTIFS(RAW_DATA[[#This Row],[AM/PM]],"AM",RAW_DATA[[#This Row],[CONVERTED]],"&gt;0")</f>
        <v>0</v>
      </c>
      <c r="T237" s="19">
        <f t="shared" si="50"/>
        <v>0</v>
      </c>
      <c r="U237" s="20" t="str">
        <f t="shared" si="48"/>
        <v>SINGLE</v>
      </c>
    </row>
    <row r="238" spans="1:21" x14ac:dyDescent="0.35">
      <c r="A238" s="21">
        <f t="shared" si="51"/>
        <v>45209</v>
      </c>
      <c r="B238" s="22" t="str">
        <f t="shared" si="49"/>
        <v>AM</v>
      </c>
      <c r="C238" s="23" t="str">
        <f t="shared" si="39"/>
        <v>October</v>
      </c>
      <c r="D238" s="13" t="str">
        <f t="shared" si="40"/>
        <v>TUE</v>
      </c>
      <c r="E238" s="24">
        <v>0</v>
      </c>
      <c r="F238" s="24">
        <v>0</v>
      </c>
      <c r="G238" s="24">
        <v>0</v>
      </c>
      <c r="H238" s="24">
        <f t="shared" si="41"/>
        <v>0</v>
      </c>
      <c r="I238" s="24">
        <f t="shared" si="42"/>
        <v>0</v>
      </c>
      <c r="J238" s="24">
        <v>0</v>
      </c>
      <c r="K238" s="24">
        <f t="shared" si="43"/>
        <v>0</v>
      </c>
      <c r="L238" s="25">
        <v>0</v>
      </c>
      <c r="M238" s="25">
        <v>0</v>
      </c>
      <c r="N238" s="26">
        <f t="shared" si="44"/>
        <v>0</v>
      </c>
      <c r="O238" s="24">
        <f t="shared" si="45"/>
        <v>0</v>
      </c>
      <c r="P238" s="24">
        <f t="shared" si="46"/>
        <v>0</v>
      </c>
      <c r="Q238" s="29">
        <f t="shared" si="47"/>
        <v>0</v>
      </c>
      <c r="R238" s="30">
        <f>COUNTIF(RAW_DATA[[#This Row],[CONVERTED]],"&gt;0")</f>
        <v>0</v>
      </c>
      <c r="S238" s="30">
        <f>COUNTIFS(RAW_DATA[[#This Row],[AM/PM]],"AM",RAW_DATA[[#This Row],[CONVERTED]],"&gt;0")</f>
        <v>0</v>
      </c>
      <c r="T238" s="19">
        <f t="shared" si="50"/>
        <v>0</v>
      </c>
      <c r="U238" s="20" t="str">
        <f t="shared" si="48"/>
        <v>SINGLE</v>
      </c>
    </row>
    <row r="239" spans="1:21" x14ac:dyDescent="0.35">
      <c r="A239" s="21">
        <f t="shared" si="51"/>
        <v>45209</v>
      </c>
      <c r="B239" s="22" t="str">
        <f t="shared" si="49"/>
        <v>PM</v>
      </c>
      <c r="C239" s="23" t="str">
        <f t="shared" si="39"/>
        <v>October</v>
      </c>
      <c r="D239" s="13" t="str">
        <f t="shared" si="40"/>
        <v>TUE</v>
      </c>
      <c r="E239" s="24">
        <v>1012</v>
      </c>
      <c r="F239" s="24">
        <v>196.49</v>
      </c>
      <c r="G239" s="24">
        <v>0</v>
      </c>
      <c r="H239" s="24">
        <f t="shared" si="41"/>
        <v>40.480000000000004</v>
      </c>
      <c r="I239" s="24">
        <f t="shared" si="42"/>
        <v>3.3010319999999997</v>
      </c>
      <c r="J239" s="24">
        <v>0</v>
      </c>
      <c r="K239" s="24">
        <f t="shared" si="43"/>
        <v>152.708968</v>
      </c>
      <c r="L239" s="25">
        <v>4</v>
      </c>
      <c r="M239" s="25">
        <v>30</v>
      </c>
      <c r="N239" s="26">
        <f t="shared" si="44"/>
        <v>4.5</v>
      </c>
      <c r="O239" s="24">
        <f t="shared" si="45"/>
        <v>9.5849999999999991</v>
      </c>
      <c r="P239" s="24">
        <f t="shared" si="46"/>
        <v>162.29396800000001</v>
      </c>
      <c r="Q239" s="29">
        <f t="shared" si="47"/>
        <v>162.29396800000001</v>
      </c>
      <c r="R239" s="30">
        <f>COUNTIF(RAW_DATA[[#This Row],[CONVERTED]],"&gt;0")</f>
        <v>1</v>
      </c>
      <c r="S239" s="30">
        <f>COUNTIFS(RAW_DATA[[#This Row],[AM/PM]],"AM",RAW_DATA[[#This Row],[CONVERTED]],"&gt;0")</f>
        <v>0</v>
      </c>
      <c r="T239" s="19">
        <f t="shared" si="50"/>
        <v>0</v>
      </c>
      <c r="U239" s="20" t="str">
        <f t="shared" si="48"/>
        <v>SINGLE</v>
      </c>
    </row>
    <row r="240" spans="1:21" x14ac:dyDescent="0.35">
      <c r="A240" s="21">
        <f t="shared" si="51"/>
        <v>45210</v>
      </c>
      <c r="B240" s="22" t="str">
        <f t="shared" si="49"/>
        <v>AM</v>
      </c>
      <c r="C240" s="23" t="str">
        <f t="shared" si="39"/>
        <v>October</v>
      </c>
      <c r="D240" s="13" t="str">
        <f t="shared" si="40"/>
        <v>WED</v>
      </c>
      <c r="E240" s="24">
        <v>0</v>
      </c>
      <c r="F240" s="24">
        <v>0</v>
      </c>
      <c r="G240" s="24">
        <v>0</v>
      </c>
      <c r="H240" s="24">
        <f t="shared" si="41"/>
        <v>0</v>
      </c>
      <c r="I240" s="24">
        <f t="shared" si="42"/>
        <v>0</v>
      </c>
      <c r="J240" s="24">
        <v>0</v>
      </c>
      <c r="K240" s="24">
        <f t="shared" si="43"/>
        <v>0</v>
      </c>
      <c r="L240" s="25">
        <v>0</v>
      </c>
      <c r="M240" s="25">
        <v>0</v>
      </c>
      <c r="N240" s="26">
        <v>0</v>
      </c>
      <c r="O240" s="24">
        <f t="shared" si="45"/>
        <v>0</v>
      </c>
      <c r="P240" s="24">
        <f t="shared" si="46"/>
        <v>0</v>
      </c>
      <c r="Q240" s="29">
        <f t="shared" si="47"/>
        <v>0</v>
      </c>
      <c r="R240" s="30">
        <f>COUNTIF(RAW_DATA[[#This Row],[CONVERTED]],"&gt;0")</f>
        <v>0</v>
      </c>
      <c r="S240" s="30">
        <f>COUNTIFS(RAW_DATA[[#This Row],[AM/PM]],"AM",RAW_DATA[[#This Row],[CONVERTED]],"&gt;0")</f>
        <v>0</v>
      </c>
      <c r="T240" s="19">
        <f t="shared" si="50"/>
        <v>0</v>
      </c>
      <c r="U240" s="20" t="str">
        <f t="shared" si="48"/>
        <v>SINGLE</v>
      </c>
    </row>
    <row r="241" spans="1:21" x14ac:dyDescent="0.35">
      <c r="A241" s="21">
        <f t="shared" si="51"/>
        <v>45210</v>
      </c>
      <c r="B241" s="22" t="str">
        <f t="shared" si="49"/>
        <v>PM</v>
      </c>
      <c r="C241" s="23" t="str">
        <f t="shared" si="39"/>
        <v>October</v>
      </c>
      <c r="D241" s="13" t="str">
        <f t="shared" si="40"/>
        <v>WED</v>
      </c>
      <c r="E241" s="24">
        <v>212.5</v>
      </c>
      <c r="F241" s="24">
        <v>33.71</v>
      </c>
      <c r="G241" s="24">
        <v>0</v>
      </c>
      <c r="H241" s="24">
        <f t="shared" si="41"/>
        <v>8.5</v>
      </c>
      <c r="I241" s="24">
        <f t="shared" si="42"/>
        <v>0.56632799999999994</v>
      </c>
      <c r="J241" s="24">
        <v>0</v>
      </c>
      <c r="K241" s="24">
        <f t="shared" si="43"/>
        <v>24.643672000000002</v>
      </c>
      <c r="L241" s="25">
        <v>3</v>
      </c>
      <c r="M241" s="25">
        <v>15</v>
      </c>
      <c r="N241" s="26">
        <f t="shared" ref="N241:N247" si="52">((L241*60)+M241)/60</f>
        <v>3.25</v>
      </c>
      <c r="O241" s="24">
        <f t="shared" si="45"/>
        <v>6.9224999999999994</v>
      </c>
      <c r="P241" s="24">
        <f t="shared" si="46"/>
        <v>31.566172000000002</v>
      </c>
      <c r="Q241" s="29">
        <f t="shared" si="47"/>
        <v>31.566172000000002</v>
      </c>
      <c r="R241" s="30">
        <f>COUNTIF(RAW_DATA[[#This Row],[CONVERTED]],"&gt;0")</f>
        <v>1</v>
      </c>
      <c r="S241" s="30">
        <f>COUNTIFS(RAW_DATA[[#This Row],[AM/PM]],"AM",RAW_DATA[[#This Row],[CONVERTED]],"&gt;0")</f>
        <v>0</v>
      </c>
      <c r="T241" s="19">
        <f t="shared" si="50"/>
        <v>0</v>
      </c>
      <c r="U241" s="20" t="str">
        <f t="shared" si="48"/>
        <v>SINGLE</v>
      </c>
    </row>
    <row r="242" spans="1:21" x14ac:dyDescent="0.35">
      <c r="A242" s="21">
        <f t="shared" si="51"/>
        <v>45211</v>
      </c>
      <c r="B242" s="22" t="str">
        <f t="shared" si="49"/>
        <v>AM</v>
      </c>
      <c r="C242" s="23" t="str">
        <f t="shared" si="39"/>
        <v>October</v>
      </c>
      <c r="D242" s="13" t="str">
        <f t="shared" si="40"/>
        <v>THU</v>
      </c>
      <c r="E242" s="24">
        <v>0</v>
      </c>
      <c r="F242" s="24">
        <v>0</v>
      </c>
      <c r="G242" s="24">
        <v>0</v>
      </c>
      <c r="H242" s="24">
        <f t="shared" si="41"/>
        <v>0</v>
      </c>
      <c r="I242" s="24">
        <f t="shared" si="42"/>
        <v>0</v>
      </c>
      <c r="J242" s="24">
        <v>0</v>
      </c>
      <c r="K242" s="24">
        <f t="shared" si="43"/>
        <v>0</v>
      </c>
      <c r="L242" s="25">
        <v>0</v>
      </c>
      <c r="M242" s="25">
        <v>0</v>
      </c>
      <c r="N242" s="26">
        <f t="shared" si="52"/>
        <v>0</v>
      </c>
      <c r="O242" s="24">
        <f t="shared" si="45"/>
        <v>0</v>
      </c>
      <c r="P242" s="24">
        <f t="shared" si="46"/>
        <v>0</v>
      </c>
      <c r="Q242" s="29">
        <f t="shared" si="47"/>
        <v>0</v>
      </c>
      <c r="R242" s="30">
        <f>COUNTIF(RAW_DATA[[#This Row],[CONVERTED]],"&gt;0")</f>
        <v>0</v>
      </c>
      <c r="S242" s="30">
        <f>COUNTIFS(RAW_DATA[[#This Row],[AM/PM]],"AM",RAW_DATA[[#This Row],[CONVERTED]],"&gt;0")</f>
        <v>0</v>
      </c>
      <c r="T242" s="19">
        <f t="shared" si="50"/>
        <v>0</v>
      </c>
      <c r="U242" s="20" t="str">
        <f t="shared" si="48"/>
        <v>SINGLE</v>
      </c>
    </row>
    <row r="243" spans="1:21" x14ac:dyDescent="0.35">
      <c r="A243" s="21">
        <f t="shared" si="51"/>
        <v>45211</v>
      </c>
      <c r="B243" s="22" t="str">
        <f t="shared" si="49"/>
        <v>PM</v>
      </c>
      <c r="C243" s="23" t="str">
        <f t="shared" si="39"/>
        <v>October</v>
      </c>
      <c r="D243" s="13" t="str">
        <f t="shared" si="40"/>
        <v>THU</v>
      </c>
      <c r="E243" s="24">
        <v>306.5</v>
      </c>
      <c r="F243" s="24">
        <v>49.1</v>
      </c>
      <c r="G243" s="24">
        <v>6</v>
      </c>
      <c r="H243" s="24">
        <f t="shared" si="41"/>
        <v>12.26</v>
      </c>
      <c r="I243" s="24">
        <f t="shared" si="42"/>
        <v>0.82487999999999995</v>
      </c>
      <c r="J243" s="24">
        <v>2.72</v>
      </c>
      <c r="K243" s="24">
        <f t="shared" si="43"/>
        <v>36.015120000000003</v>
      </c>
      <c r="L243" s="25">
        <v>3</v>
      </c>
      <c r="M243" s="25">
        <v>45</v>
      </c>
      <c r="N243" s="26">
        <f t="shared" si="52"/>
        <v>3.75</v>
      </c>
      <c r="O243" s="24">
        <f t="shared" si="45"/>
        <v>7.9874999999999998</v>
      </c>
      <c r="P243" s="24">
        <f t="shared" si="46"/>
        <v>46.722619999999999</v>
      </c>
      <c r="Q243" s="29">
        <f t="shared" si="47"/>
        <v>50.00262</v>
      </c>
      <c r="R243" s="30">
        <f>COUNTIF(RAW_DATA[[#This Row],[CONVERTED]],"&gt;0")</f>
        <v>1</v>
      </c>
      <c r="S243" s="30">
        <f>COUNTIFS(RAW_DATA[[#This Row],[AM/PM]],"AM",RAW_DATA[[#This Row],[CONVERTED]],"&gt;0")</f>
        <v>0</v>
      </c>
      <c r="T243" s="19">
        <f t="shared" si="50"/>
        <v>0</v>
      </c>
      <c r="U243" s="20" t="str">
        <f t="shared" si="48"/>
        <v>SINGLE</v>
      </c>
    </row>
    <row r="244" spans="1:21" x14ac:dyDescent="0.35">
      <c r="A244" s="21">
        <f t="shared" si="51"/>
        <v>45212</v>
      </c>
      <c r="B244" s="22" t="str">
        <f t="shared" si="49"/>
        <v>AM</v>
      </c>
      <c r="C244" s="23" t="str">
        <f t="shared" si="39"/>
        <v>October</v>
      </c>
      <c r="D244" s="13" t="str">
        <f t="shared" si="40"/>
        <v>FRI</v>
      </c>
      <c r="E244" s="24">
        <v>0</v>
      </c>
      <c r="F244" s="24">
        <v>0</v>
      </c>
      <c r="G244" s="24">
        <v>0</v>
      </c>
      <c r="H244" s="24">
        <f t="shared" si="41"/>
        <v>0</v>
      </c>
      <c r="I244" s="24">
        <f t="shared" si="42"/>
        <v>0</v>
      </c>
      <c r="J244" s="24">
        <v>0</v>
      </c>
      <c r="K244" s="24">
        <f t="shared" si="43"/>
        <v>0</v>
      </c>
      <c r="L244" s="25">
        <v>0</v>
      </c>
      <c r="M244" s="25">
        <v>0</v>
      </c>
      <c r="N244" s="26">
        <f t="shared" si="52"/>
        <v>0</v>
      </c>
      <c r="O244" s="24">
        <f t="shared" si="45"/>
        <v>0</v>
      </c>
      <c r="P244" s="24">
        <f t="shared" si="46"/>
        <v>0</v>
      </c>
      <c r="Q244" s="29">
        <f t="shared" si="47"/>
        <v>0</v>
      </c>
      <c r="R244" s="30">
        <f>COUNTIF(RAW_DATA[[#This Row],[CONVERTED]],"&gt;0")</f>
        <v>0</v>
      </c>
      <c r="S244" s="30">
        <f>COUNTIFS(RAW_DATA[[#This Row],[AM/PM]],"AM",RAW_DATA[[#This Row],[CONVERTED]],"&gt;0")</f>
        <v>0</v>
      </c>
      <c r="T244" s="19">
        <f t="shared" si="50"/>
        <v>0</v>
      </c>
      <c r="U244" s="20" t="str">
        <f t="shared" si="48"/>
        <v>SINGLE</v>
      </c>
    </row>
    <row r="245" spans="1:21" x14ac:dyDescent="0.35">
      <c r="A245" s="21">
        <f t="shared" si="51"/>
        <v>45212</v>
      </c>
      <c r="B245" s="22" t="str">
        <f t="shared" si="49"/>
        <v>PM</v>
      </c>
      <c r="C245" s="23" t="str">
        <f t="shared" si="39"/>
        <v>October</v>
      </c>
      <c r="D245" s="13" t="str">
        <f t="shared" si="40"/>
        <v>FRI</v>
      </c>
      <c r="E245" s="24">
        <v>0</v>
      </c>
      <c r="F245" s="24">
        <v>0</v>
      </c>
      <c r="G245" s="24">
        <v>0</v>
      </c>
      <c r="H245" s="24">
        <f t="shared" si="41"/>
        <v>0</v>
      </c>
      <c r="I245" s="24">
        <f t="shared" si="42"/>
        <v>0</v>
      </c>
      <c r="J245" s="24">
        <v>0</v>
      </c>
      <c r="K245" s="24">
        <f t="shared" si="43"/>
        <v>0</v>
      </c>
      <c r="L245" s="25">
        <v>0</v>
      </c>
      <c r="M245" s="25">
        <v>0</v>
      </c>
      <c r="N245" s="26">
        <f t="shared" si="52"/>
        <v>0</v>
      </c>
      <c r="O245" s="24">
        <f t="shared" si="45"/>
        <v>0</v>
      </c>
      <c r="P245" s="24">
        <f t="shared" si="46"/>
        <v>0</v>
      </c>
      <c r="Q245" s="29">
        <f t="shared" si="47"/>
        <v>0</v>
      </c>
      <c r="R245" s="30">
        <f>COUNTIF(RAW_DATA[[#This Row],[CONVERTED]],"&gt;0")</f>
        <v>0</v>
      </c>
      <c r="S245" s="30">
        <f>COUNTIFS(RAW_DATA[[#This Row],[AM/PM]],"AM",RAW_DATA[[#This Row],[CONVERTED]],"&gt;0")</f>
        <v>0</v>
      </c>
      <c r="T245" s="19">
        <f t="shared" si="50"/>
        <v>0</v>
      </c>
      <c r="U245" s="20" t="str">
        <f t="shared" si="48"/>
        <v>SINGLE</v>
      </c>
    </row>
    <row r="246" spans="1:21" x14ac:dyDescent="0.35">
      <c r="A246" s="21">
        <f t="shared" si="51"/>
        <v>45213</v>
      </c>
      <c r="B246" s="22" t="str">
        <f t="shared" si="49"/>
        <v>AM</v>
      </c>
      <c r="C246" s="23" t="str">
        <f t="shared" si="39"/>
        <v>October</v>
      </c>
      <c r="D246" s="13" t="str">
        <f t="shared" si="40"/>
        <v>SAT</v>
      </c>
      <c r="E246" s="24">
        <v>0</v>
      </c>
      <c r="F246" s="24">
        <v>0</v>
      </c>
      <c r="G246" s="24">
        <v>0</v>
      </c>
      <c r="H246" s="24">
        <f t="shared" si="41"/>
        <v>0</v>
      </c>
      <c r="I246" s="24">
        <f t="shared" si="42"/>
        <v>0</v>
      </c>
      <c r="J246" s="24">
        <v>0</v>
      </c>
      <c r="K246" s="24">
        <f t="shared" si="43"/>
        <v>0</v>
      </c>
      <c r="L246" s="25">
        <v>0</v>
      </c>
      <c r="M246" s="25">
        <v>0</v>
      </c>
      <c r="N246" s="26">
        <f t="shared" si="52"/>
        <v>0</v>
      </c>
      <c r="O246" s="24">
        <f t="shared" si="45"/>
        <v>0</v>
      </c>
      <c r="P246" s="24">
        <f t="shared" si="46"/>
        <v>0</v>
      </c>
      <c r="Q246" s="29">
        <f t="shared" si="47"/>
        <v>0</v>
      </c>
      <c r="R246" s="30">
        <f>COUNTIF(RAW_DATA[[#This Row],[CONVERTED]],"&gt;0")</f>
        <v>0</v>
      </c>
      <c r="S246" s="30">
        <f>COUNTIFS(RAW_DATA[[#This Row],[AM/PM]],"AM",RAW_DATA[[#This Row],[CONVERTED]],"&gt;0")</f>
        <v>0</v>
      </c>
      <c r="T246" s="19">
        <f t="shared" si="50"/>
        <v>0</v>
      </c>
      <c r="U246" s="20" t="str">
        <f t="shared" si="48"/>
        <v>SINGLE</v>
      </c>
    </row>
    <row r="247" spans="1:21" x14ac:dyDescent="0.35">
      <c r="A247" s="21">
        <f t="shared" si="51"/>
        <v>45213</v>
      </c>
      <c r="B247" s="22" t="str">
        <f t="shared" si="49"/>
        <v>PM</v>
      </c>
      <c r="C247" s="23" t="str">
        <f t="shared" si="39"/>
        <v>October</v>
      </c>
      <c r="D247" s="13" t="str">
        <f t="shared" si="40"/>
        <v>SAT</v>
      </c>
      <c r="E247" s="24">
        <v>0</v>
      </c>
      <c r="F247" s="24">
        <v>0</v>
      </c>
      <c r="G247" s="24">
        <v>0</v>
      </c>
      <c r="H247" s="24">
        <f t="shared" si="41"/>
        <v>0</v>
      </c>
      <c r="I247" s="24">
        <f t="shared" si="42"/>
        <v>0</v>
      </c>
      <c r="J247" s="24">
        <v>0</v>
      </c>
      <c r="K247" s="24">
        <f t="shared" si="43"/>
        <v>0</v>
      </c>
      <c r="L247" s="25">
        <v>0</v>
      </c>
      <c r="M247" s="25">
        <v>0</v>
      </c>
      <c r="N247" s="26">
        <f t="shared" si="52"/>
        <v>0</v>
      </c>
      <c r="O247" s="24">
        <f t="shared" si="45"/>
        <v>0</v>
      </c>
      <c r="P247" s="24">
        <f t="shared" si="46"/>
        <v>0</v>
      </c>
      <c r="Q247" s="29">
        <f t="shared" si="47"/>
        <v>0</v>
      </c>
      <c r="R247" s="30">
        <f>COUNTIF(RAW_DATA[[#This Row],[CONVERTED]],"&gt;0")</f>
        <v>0</v>
      </c>
      <c r="S247" s="30">
        <f>COUNTIFS(RAW_DATA[[#This Row],[AM/PM]],"AM",RAW_DATA[[#This Row],[CONVERTED]],"&gt;0")</f>
        <v>0</v>
      </c>
      <c r="T247" s="19">
        <f t="shared" si="50"/>
        <v>0</v>
      </c>
      <c r="U247" s="20" t="str">
        <f t="shared" si="48"/>
        <v>SINGLE</v>
      </c>
    </row>
    <row r="248" spans="1:21" x14ac:dyDescent="0.35">
      <c r="A248" s="21">
        <f t="shared" si="51"/>
        <v>45214</v>
      </c>
      <c r="B248" s="22" t="str">
        <f t="shared" si="49"/>
        <v>AM</v>
      </c>
      <c r="C248" s="23" t="str">
        <f t="shared" si="39"/>
        <v>October</v>
      </c>
      <c r="D248" s="13" t="str">
        <f t="shared" si="40"/>
        <v>SUN</v>
      </c>
      <c r="E248" s="24">
        <v>0</v>
      </c>
      <c r="F248" s="24">
        <v>0</v>
      </c>
      <c r="G248" s="24">
        <v>0</v>
      </c>
      <c r="H248" s="24">
        <f t="shared" si="41"/>
        <v>0</v>
      </c>
      <c r="I248" s="24">
        <f t="shared" si="42"/>
        <v>0</v>
      </c>
      <c r="J248" s="24">
        <v>0</v>
      </c>
      <c r="K248" s="24">
        <f t="shared" si="43"/>
        <v>0</v>
      </c>
      <c r="L248" s="25">
        <v>0</v>
      </c>
      <c r="M248" s="25">
        <v>0</v>
      </c>
      <c r="N248" s="26">
        <v>0</v>
      </c>
      <c r="O248" s="24">
        <f t="shared" si="45"/>
        <v>0</v>
      </c>
      <c r="P248" s="24">
        <f t="shared" si="46"/>
        <v>0</v>
      </c>
      <c r="Q248" s="29">
        <f t="shared" si="47"/>
        <v>0</v>
      </c>
      <c r="R248" s="30">
        <f>COUNTIF(RAW_DATA[[#This Row],[CONVERTED]],"&gt;0")</f>
        <v>0</v>
      </c>
      <c r="S248" s="30">
        <f>COUNTIFS(RAW_DATA[[#This Row],[AM/PM]],"AM",RAW_DATA[[#This Row],[CONVERTED]],"&gt;0")</f>
        <v>0</v>
      </c>
      <c r="T248" s="19">
        <f t="shared" si="50"/>
        <v>0</v>
      </c>
      <c r="U248" s="20" t="str">
        <f t="shared" si="48"/>
        <v>SINGLE</v>
      </c>
    </row>
    <row r="249" spans="1:21" x14ac:dyDescent="0.35">
      <c r="A249" s="21">
        <f t="shared" si="51"/>
        <v>45214</v>
      </c>
      <c r="B249" s="22" t="str">
        <f t="shared" si="49"/>
        <v>PM</v>
      </c>
      <c r="C249" s="23" t="str">
        <f t="shared" si="39"/>
        <v>October</v>
      </c>
      <c r="D249" s="13" t="str">
        <f t="shared" si="40"/>
        <v>SUN</v>
      </c>
      <c r="E249" s="24">
        <v>1403.5</v>
      </c>
      <c r="F249" s="24">
        <v>175.07</v>
      </c>
      <c r="G249" s="24">
        <v>9</v>
      </c>
      <c r="H249" s="24">
        <f t="shared" si="41"/>
        <v>56.14</v>
      </c>
      <c r="I249" s="24">
        <f t="shared" si="42"/>
        <v>2.9411759999999996</v>
      </c>
      <c r="J249" s="24">
        <v>103</v>
      </c>
      <c r="K249" s="24">
        <f t="shared" si="43"/>
        <v>115.98882399999999</v>
      </c>
      <c r="L249" s="25">
        <v>6</v>
      </c>
      <c r="M249" s="25">
        <v>1</v>
      </c>
      <c r="N249" s="26">
        <f t="shared" ref="N249:N271" si="53">((L249*60)+M249)/60</f>
        <v>6.0166666666666666</v>
      </c>
      <c r="O249" s="24">
        <f t="shared" si="45"/>
        <v>12.8155</v>
      </c>
      <c r="P249" s="24">
        <f t="shared" si="46"/>
        <v>231.80432400000001</v>
      </c>
      <c r="Q249" s="29">
        <f t="shared" si="47"/>
        <v>137.80432400000001</v>
      </c>
      <c r="R249" s="30">
        <f>COUNTIF(RAW_DATA[[#This Row],[CONVERTED]],"&gt;0")</f>
        <v>1</v>
      </c>
      <c r="S249" s="30">
        <f>COUNTIFS(RAW_DATA[[#This Row],[AM/PM]],"AM",RAW_DATA[[#This Row],[CONVERTED]],"&gt;0")</f>
        <v>0</v>
      </c>
      <c r="T249" s="19">
        <f t="shared" si="50"/>
        <v>0</v>
      </c>
      <c r="U249" s="20" t="str">
        <f t="shared" si="48"/>
        <v>SINGLE</v>
      </c>
    </row>
    <row r="250" spans="1:21" x14ac:dyDescent="0.35">
      <c r="A250" s="21">
        <f t="shared" si="51"/>
        <v>45215</v>
      </c>
      <c r="B250" s="22" t="str">
        <f t="shared" si="49"/>
        <v>AM</v>
      </c>
      <c r="C250" s="23" t="str">
        <f t="shared" si="39"/>
        <v>October</v>
      </c>
      <c r="D250" s="13" t="str">
        <f t="shared" si="40"/>
        <v>MON</v>
      </c>
      <c r="E250" s="24">
        <v>0</v>
      </c>
      <c r="F250" s="24">
        <v>0</v>
      </c>
      <c r="G250" s="24">
        <v>0</v>
      </c>
      <c r="H250" s="24">
        <f t="shared" si="41"/>
        <v>0</v>
      </c>
      <c r="I250" s="24">
        <f t="shared" si="42"/>
        <v>0</v>
      </c>
      <c r="J250" s="24">
        <v>0</v>
      </c>
      <c r="K250" s="24">
        <f t="shared" si="43"/>
        <v>0</v>
      </c>
      <c r="L250" s="25">
        <v>0</v>
      </c>
      <c r="M250" s="25">
        <v>0</v>
      </c>
      <c r="N250" s="26">
        <f t="shared" si="53"/>
        <v>0</v>
      </c>
      <c r="O250" s="24">
        <f t="shared" si="45"/>
        <v>0</v>
      </c>
      <c r="P250" s="24">
        <f t="shared" si="46"/>
        <v>0</v>
      </c>
      <c r="Q250" s="29">
        <f t="shared" si="47"/>
        <v>0</v>
      </c>
      <c r="R250" s="30">
        <f>COUNTIF(RAW_DATA[[#This Row],[CONVERTED]],"&gt;0")</f>
        <v>0</v>
      </c>
      <c r="S250" s="30">
        <f>COUNTIFS(RAW_DATA[[#This Row],[AM/PM]],"AM",RAW_DATA[[#This Row],[CONVERTED]],"&gt;0")</f>
        <v>0</v>
      </c>
      <c r="T250" s="19">
        <f t="shared" si="50"/>
        <v>0</v>
      </c>
      <c r="U250" s="20" t="str">
        <f t="shared" si="48"/>
        <v>SINGLE</v>
      </c>
    </row>
    <row r="251" spans="1:21" x14ac:dyDescent="0.35">
      <c r="A251" s="21">
        <f t="shared" si="51"/>
        <v>45215</v>
      </c>
      <c r="B251" s="22" t="str">
        <f t="shared" si="49"/>
        <v>PM</v>
      </c>
      <c r="C251" s="23" t="str">
        <f t="shared" si="39"/>
        <v>October</v>
      </c>
      <c r="D251" s="13" t="str">
        <f t="shared" si="40"/>
        <v>MON</v>
      </c>
      <c r="E251" s="24">
        <v>1422.48</v>
      </c>
      <c r="F251" s="24">
        <v>290.17</v>
      </c>
      <c r="G251" s="24">
        <v>0</v>
      </c>
      <c r="H251" s="24">
        <f t="shared" si="41"/>
        <v>56.8992</v>
      </c>
      <c r="I251" s="24">
        <f t="shared" si="42"/>
        <v>4.8748560000000003</v>
      </c>
      <c r="J251" s="24">
        <v>0</v>
      </c>
      <c r="K251" s="24">
        <f t="shared" si="43"/>
        <v>228.39594400000001</v>
      </c>
      <c r="L251" s="25">
        <v>6</v>
      </c>
      <c r="M251" s="25">
        <v>26</v>
      </c>
      <c r="N251" s="26">
        <f t="shared" si="53"/>
        <v>6.4333333333333336</v>
      </c>
      <c r="O251" s="24">
        <f t="shared" si="45"/>
        <v>13.702999999999999</v>
      </c>
      <c r="P251" s="24">
        <f t="shared" si="46"/>
        <v>242.09894400000002</v>
      </c>
      <c r="Q251" s="29">
        <f t="shared" si="47"/>
        <v>242.09894400000002</v>
      </c>
      <c r="R251" s="30">
        <f>COUNTIF(RAW_DATA[[#This Row],[CONVERTED]],"&gt;0")</f>
        <v>1</v>
      </c>
      <c r="S251" s="30">
        <f>COUNTIFS(RAW_DATA[[#This Row],[AM/PM]],"AM",RAW_DATA[[#This Row],[CONVERTED]],"&gt;0")</f>
        <v>0</v>
      </c>
      <c r="T251" s="19">
        <f t="shared" si="50"/>
        <v>0</v>
      </c>
      <c r="U251" s="20" t="str">
        <f t="shared" si="48"/>
        <v>SINGLE</v>
      </c>
    </row>
    <row r="252" spans="1:21" x14ac:dyDescent="0.35">
      <c r="A252" s="21">
        <f t="shared" si="51"/>
        <v>45216</v>
      </c>
      <c r="B252" s="22" t="str">
        <f t="shared" si="49"/>
        <v>AM</v>
      </c>
      <c r="C252" s="23" t="str">
        <f t="shared" si="39"/>
        <v>October</v>
      </c>
      <c r="D252" s="13" t="str">
        <f t="shared" si="40"/>
        <v>TUE</v>
      </c>
      <c r="E252" s="24">
        <v>836</v>
      </c>
      <c r="F252" s="24">
        <v>136.06</v>
      </c>
      <c r="G252" s="24">
        <v>4.16</v>
      </c>
      <c r="H252" s="24">
        <f t="shared" si="41"/>
        <v>33.44</v>
      </c>
      <c r="I252" s="24">
        <f t="shared" si="42"/>
        <v>2.2858079999999998</v>
      </c>
      <c r="J252" s="24">
        <v>10</v>
      </c>
      <c r="K252" s="24">
        <f t="shared" si="43"/>
        <v>100.334192</v>
      </c>
      <c r="L252" s="25">
        <v>5</v>
      </c>
      <c r="M252" s="25">
        <v>12</v>
      </c>
      <c r="N252" s="26">
        <f t="shared" si="53"/>
        <v>5.2</v>
      </c>
      <c r="O252" s="24">
        <f t="shared" si="45"/>
        <v>11.076000000000001</v>
      </c>
      <c r="P252" s="24">
        <f t="shared" si="46"/>
        <v>121.410192</v>
      </c>
      <c r="Q252" s="29">
        <f t="shared" si="47"/>
        <v>115.57019199999999</v>
      </c>
      <c r="R252" s="30">
        <f>COUNTIF(RAW_DATA[[#This Row],[CONVERTED]],"&gt;0")</f>
        <v>1</v>
      </c>
      <c r="S252" s="30">
        <f>COUNTIFS(RAW_DATA[[#This Row],[AM/PM]],"AM",RAW_DATA[[#This Row],[CONVERTED]],"&gt;0")</f>
        <v>1</v>
      </c>
      <c r="T252" s="19">
        <f t="shared" si="50"/>
        <v>0</v>
      </c>
      <c r="U252" s="20" t="str">
        <f t="shared" si="48"/>
        <v>DOUBLE</v>
      </c>
    </row>
    <row r="253" spans="1:21" x14ac:dyDescent="0.35">
      <c r="A253" s="21">
        <f t="shared" si="51"/>
        <v>45216</v>
      </c>
      <c r="B253" s="22" t="str">
        <f t="shared" si="49"/>
        <v>PM</v>
      </c>
      <c r="C253" s="23" t="str">
        <f t="shared" si="39"/>
        <v>October</v>
      </c>
      <c r="D253" s="13" t="str">
        <f t="shared" si="40"/>
        <v>TUE</v>
      </c>
      <c r="E253" s="24">
        <v>245</v>
      </c>
      <c r="F253" s="24">
        <v>43.96</v>
      </c>
      <c r="G253" s="24">
        <v>0</v>
      </c>
      <c r="H253" s="24">
        <f t="shared" si="41"/>
        <v>9.8000000000000007</v>
      </c>
      <c r="I253" s="24">
        <f t="shared" si="42"/>
        <v>0.73852799999999996</v>
      </c>
      <c r="J253" s="24">
        <v>0</v>
      </c>
      <c r="K253" s="24">
        <f t="shared" si="43"/>
        <v>33.421472000000001</v>
      </c>
      <c r="L253" s="25">
        <v>2</v>
      </c>
      <c r="M253" s="25">
        <v>56</v>
      </c>
      <c r="N253" s="26">
        <f t="shared" si="53"/>
        <v>2.9333333333333331</v>
      </c>
      <c r="O253" s="24">
        <f t="shared" si="45"/>
        <v>6.2479999999999993</v>
      </c>
      <c r="P253" s="24">
        <f t="shared" si="46"/>
        <v>39.669471999999999</v>
      </c>
      <c r="Q253" s="29">
        <f t="shared" si="47"/>
        <v>39.669471999999999</v>
      </c>
      <c r="R253" s="30">
        <f>COUNTIF(RAW_DATA[[#This Row],[CONVERTED]],"&gt;0")</f>
        <v>1</v>
      </c>
      <c r="S253" s="30">
        <f>COUNTIFS(RAW_DATA[[#This Row],[AM/PM]],"AM",RAW_DATA[[#This Row],[CONVERTED]],"&gt;0")</f>
        <v>0</v>
      </c>
      <c r="T253" s="19">
        <f t="shared" si="50"/>
        <v>1</v>
      </c>
      <c r="U253" s="20" t="str">
        <f t="shared" si="48"/>
        <v>DOUBLE</v>
      </c>
    </row>
    <row r="254" spans="1:21" x14ac:dyDescent="0.35">
      <c r="A254" s="21">
        <f t="shared" si="51"/>
        <v>45217</v>
      </c>
      <c r="B254" s="22" t="str">
        <f t="shared" si="49"/>
        <v>AM</v>
      </c>
      <c r="C254" s="23" t="str">
        <f t="shared" si="39"/>
        <v>October</v>
      </c>
      <c r="D254" s="13" t="str">
        <f t="shared" si="40"/>
        <v>WED</v>
      </c>
      <c r="E254" s="24">
        <v>0</v>
      </c>
      <c r="F254" s="24">
        <v>0</v>
      </c>
      <c r="G254" s="24">
        <v>0</v>
      </c>
      <c r="H254" s="24">
        <f t="shared" si="41"/>
        <v>0</v>
      </c>
      <c r="I254" s="24">
        <f t="shared" si="42"/>
        <v>0</v>
      </c>
      <c r="J254" s="24">
        <v>0</v>
      </c>
      <c r="K254" s="24">
        <f t="shared" si="43"/>
        <v>0</v>
      </c>
      <c r="L254" s="25">
        <v>0</v>
      </c>
      <c r="M254" s="25">
        <v>0</v>
      </c>
      <c r="N254" s="26">
        <f t="shared" si="53"/>
        <v>0</v>
      </c>
      <c r="O254" s="24">
        <f t="shared" si="45"/>
        <v>0</v>
      </c>
      <c r="P254" s="24">
        <f t="shared" si="46"/>
        <v>0</v>
      </c>
      <c r="Q254" s="29">
        <f t="shared" si="47"/>
        <v>0</v>
      </c>
      <c r="R254" s="30">
        <f>COUNTIF(RAW_DATA[[#This Row],[CONVERTED]],"&gt;0")</f>
        <v>0</v>
      </c>
      <c r="S254" s="30">
        <f>COUNTIFS(RAW_DATA[[#This Row],[AM/PM]],"AM",RAW_DATA[[#This Row],[CONVERTED]],"&gt;0")</f>
        <v>0</v>
      </c>
      <c r="T254" s="19">
        <f t="shared" si="50"/>
        <v>0</v>
      </c>
      <c r="U254" s="20" t="str">
        <f t="shared" si="48"/>
        <v>SINGLE</v>
      </c>
    </row>
    <row r="255" spans="1:21" x14ac:dyDescent="0.35">
      <c r="A255" s="21">
        <f t="shared" si="51"/>
        <v>45217</v>
      </c>
      <c r="B255" s="22" t="str">
        <f t="shared" si="49"/>
        <v>PM</v>
      </c>
      <c r="C255" s="23" t="str">
        <f t="shared" si="39"/>
        <v>October</v>
      </c>
      <c r="D255" s="13" t="str">
        <f t="shared" si="40"/>
        <v>WED</v>
      </c>
      <c r="E255" s="24">
        <v>1018</v>
      </c>
      <c r="F255" s="24">
        <v>208.15</v>
      </c>
      <c r="G255" s="24">
        <v>15</v>
      </c>
      <c r="H255" s="24">
        <f t="shared" si="41"/>
        <v>40.72</v>
      </c>
      <c r="I255" s="24">
        <f t="shared" si="42"/>
        <v>3.4969199999999998</v>
      </c>
      <c r="J255" s="24">
        <v>6</v>
      </c>
      <c r="K255" s="24">
        <f t="shared" si="43"/>
        <v>163.93308000000002</v>
      </c>
      <c r="L255" s="25">
        <v>4</v>
      </c>
      <c r="M255" s="25">
        <v>34</v>
      </c>
      <c r="N255" s="26">
        <f t="shared" si="53"/>
        <v>4.5666666666666664</v>
      </c>
      <c r="O255" s="24">
        <f t="shared" si="45"/>
        <v>9.7269999999999985</v>
      </c>
      <c r="P255" s="24">
        <f t="shared" si="46"/>
        <v>179.66008000000002</v>
      </c>
      <c r="Q255" s="29">
        <f t="shared" si="47"/>
        <v>188.66008000000002</v>
      </c>
      <c r="R255" s="30">
        <f>COUNTIF(RAW_DATA[[#This Row],[CONVERTED]],"&gt;0")</f>
        <v>1</v>
      </c>
      <c r="S255" s="30">
        <f>COUNTIFS(RAW_DATA[[#This Row],[AM/PM]],"AM",RAW_DATA[[#This Row],[CONVERTED]],"&gt;0")</f>
        <v>0</v>
      </c>
      <c r="T255" s="19">
        <f t="shared" si="50"/>
        <v>0</v>
      </c>
      <c r="U255" s="20" t="str">
        <f t="shared" si="48"/>
        <v>SINGLE</v>
      </c>
    </row>
    <row r="256" spans="1:21" x14ac:dyDescent="0.35">
      <c r="A256" s="21">
        <f t="shared" si="51"/>
        <v>45218</v>
      </c>
      <c r="B256" s="22" t="str">
        <f t="shared" si="49"/>
        <v>AM</v>
      </c>
      <c r="C256" s="23" t="str">
        <f t="shared" si="39"/>
        <v>October</v>
      </c>
      <c r="D256" s="13" t="str">
        <f t="shared" si="40"/>
        <v>THU</v>
      </c>
      <c r="E256" s="24">
        <v>0</v>
      </c>
      <c r="F256" s="24">
        <v>0</v>
      </c>
      <c r="G256" s="24">
        <v>0</v>
      </c>
      <c r="H256" s="24">
        <f t="shared" si="41"/>
        <v>0</v>
      </c>
      <c r="I256" s="24">
        <f t="shared" si="42"/>
        <v>0</v>
      </c>
      <c r="J256" s="24">
        <v>0</v>
      </c>
      <c r="K256" s="24">
        <f t="shared" si="43"/>
        <v>0</v>
      </c>
      <c r="L256" s="25">
        <v>0</v>
      </c>
      <c r="M256" s="25">
        <v>0</v>
      </c>
      <c r="N256" s="26">
        <f t="shared" si="53"/>
        <v>0</v>
      </c>
      <c r="O256" s="24">
        <f t="shared" si="45"/>
        <v>0</v>
      </c>
      <c r="P256" s="24">
        <f t="shared" si="46"/>
        <v>0</v>
      </c>
      <c r="Q256" s="29">
        <f t="shared" si="47"/>
        <v>0</v>
      </c>
      <c r="R256" s="30">
        <f>COUNTIF(RAW_DATA[[#This Row],[CONVERTED]],"&gt;0")</f>
        <v>0</v>
      </c>
      <c r="S256" s="30">
        <f>COUNTIFS(RAW_DATA[[#This Row],[AM/PM]],"AM",RAW_DATA[[#This Row],[CONVERTED]],"&gt;0")</f>
        <v>0</v>
      </c>
      <c r="T256" s="19">
        <f t="shared" si="50"/>
        <v>0</v>
      </c>
      <c r="U256" s="20" t="str">
        <f t="shared" si="48"/>
        <v>SINGLE</v>
      </c>
    </row>
    <row r="257" spans="1:21" x14ac:dyDescent="0.35">
      <c r="A257" s="21">
        <f t="shared" si="51"/>
        <v>45218</v>
      </c>
      <c r="B257" s="22" t="str">
        <f t="shared" si="49"/>
        <v>PM</v>
      </c>
      <c r="C257" s="23" t="str">
        <f t="shared" si="39"/>
        <v>October</v>
      </c>
      <c r="D257" s="13" t="str">
        <f t="shared" si="40"/>
        <v>THU</v>
      </c>
      <c r="E257" s="24">
        <v>955</v>
      </c>
      <c r="F257" s="24">
        <v>164.55</v>
      </c>
      <c r="G257" s="24">
        <v>20</v>
      </c>
      <c r="H257" s="24">
        <f t="shared" si="41"/>
        <v>38.200000000000003</v>
      </c>
      <c r="I257" s="24">
        <f t="shared" si="42"/>
        <v>2.76444</v>
      </c>
      <c r="J257" s="24">
        <v>3.5</v>
      </c>
      <c r="K257" s="24">
        <f t="shared" si="43"/>
        <v>123.58556000000002</v>
      </c>
      <c r="L257" s="25">
        <v>6</v>
      </c>
      <c r="M257" s="25">
        <v>3</v>
      </c>
      <c r="N257" s="26">
        <f t="shared" si="53"/>
        <v>6.05</v>
      </c>
      <c r="O257" s="24">
        <f t="shared" si="45"/>
        <v>12.8865</v>
      </c>
      <c r="P257" s="24">
        <f t="shared" si="46"/>
        <v>139.97206000000003</v>
      </c>
      <c r="Q257" s="29">
        <f t="shared" si="47"/>
        <v>156.47206000000003</v>
      </c>
      <c r="R257" s="30">
        <f>COUNTIF(RAW_DATA[[#This Row],[CONVERTED]],"&gt;0")</f>
        <v>1</v>
      </c>
      <c r="S257" s="30">
        <f>COUNTIFS(RAW_DATA[[#This Row],[AM/PM]],"AM",RAW_DATA[[#This Row],[CONVERTED]],"&gt;0")</f>
        <v>0</v>
      </c>
      <c r="T257" s="19">
        <f t="shared" si="50"/>
        <v>0</v>
      </c>
      <c r="U257" s="20" t="str">
        <f t="shared" si="48"/>
        <v>SINGLE</v>
      </c>
    </row>
    <row r="258" spans="1:21" x14ac:dyDescent="0.35">
      <c r="A258" s="21">
        <f t="shared" si="51"/>
        <v>45219</v>
      </c>
      <c r="B258" s="22" t="str">
        <f t="shared" si="49"/>
        <v>AM</v>
      </c>
      <c r="C258" s="23" t="str">
        <f t="shared" ref="C258:C321" si="54">TEXT(A258,"mmmm")</f>
        <v>October</v>
      </c>
      <c r="D258" s="13" t="str">
        <f t="shared" ref="D258:D321" si="55">CHOOSE(WEEKDAY(A258),"SUN","MON","TUE","WED","THU","FRI","SAT")</f>
        <v>FRI</v>
      </c>
      <c r="E258" s="24">
        <v>0</v>
      </c>
      <c r="F258" s="24">
        <v>0</v>
      </c>
      <c r="G258" s="24">
        <v>0</v>
      </c>
      <c r="H258" s="24">
        <f t="shared" ref="H258:H321" si="56">E258*0.04</f>
        <v>0</v>
      </c>
      <c r="I258" s="24">
        <f t="shared" ref="I258:I321" si="57">F258*0.0168</f>
        <v>0</v>
      </c>
      <c r="J258" s="24">
        <v>0</v>
      </c>
      <c r="K258" s="24">
        <f t="shared" ref="K258:K321" si="58">F258-(H258+I258)</f>
        <v>0</v>
      </c>
      <c r="L258" s="25">
        <v>0</v>
      </c>
      <c r="M258" s="25">
        <v>0</v>
      </c>
      <c r="N258" s="26">
        <f t="shared" si="53"/>
        <v>0</v>
      </c>
      <c r="O258" s="24">
        <f t="shared" ref="O258:O321" si="59">N258*2.13</f>
        <v>0</v>
      </c>
      <c r="P258" s="24">
        <f t="shared" ref="P258:P321" si="60">K258+J258+O258</f>
        <v>0</v>
      </c>
      <c r="Q258" s="29">
        <f t="shared" ref="Q258:Q321" si="61">G258+K258+O258</f>
        <v>0</v>
      </c>
      <c r="R258" s="30">
        <f>COUNTIF(RAW_DATA[[#This Row],[CONVERTED]],"&gt;0")</f>
        <v>0</v>
      </c>
      <c r="S258" s="30">
        <f>COUNTIFS(RAW_DATA[[#This Row],[AM/PM]],"AM",RAW_DATA[[#This Row],[CONVERTED]],"&gt;0")</f>
        <v>0</v>
      </c>
      <c r="T258" s="19">
        <f t="shared" si="50"/>
        <v>0</v>
      </c>
      <c r="U258" s="20" t="str">
        <f t="shared" ref="U258:U321" si="62">IF(AND(S258=1,T259=1,B258="AM"),"DOUBLE",IF(AND(S257=1,N258&gt;0),"DOUBLE","SINGLE"))</f>
        <v>SINGLE</v>
      </c>
    </row>
    <row r="259" spans="1:21" x14ac:dyDescent="0.35">
      <c r="A259" s="21">
        <f t="shared" si="51"/>
        <v>45219</v>
      </c>
      <c r="B259" s="22" t="str">
        <f t="shared" ref="B259:B322" si="63">IF(B258="AM","PM","AM")</f>
        <v>PM</v>
      </c>
      <c r="C259" s="23" t="str">
        <f t="shared" si="54"/>
        <v>October</v>
      </c>
      <c r="D259" s="13" t="str">
        <f t="shared" si="55"/>
        <v>FRI</v>
      </c>
      <c r="E259" s="24">
        <v>0</v>
      </c>
      <c r="F259" s="24">
        <v>0</v>
      </c>
      <c r="G259" s="24">
        <v>0</v>
      </c>
      <c r="H259" s="24">
        <f t="shared" si="56"/>
        <v>0</v>
      </c>
      <c r="I259" s="24">
        <f t="shared" si="57"/>
        <v>0</v>
      </c>
      <c r="J259" s="24">
        <v>0</v>
      </c>
      <c r="K259" s="24">
        <f t="shared" si="58"/>
        <v>0</v>
      </c>
      <c r="L259" s="25">
        <v>0</v>
      </c>
      <c r="M259" s="25">
        <v>0</v>
      </c>
      <c r="N259" s="26">
        <f t="shared" si="53"/>
        <v>0</v>
      </c>
      <c r="O259" s="24">
        <f t="shared" si="59"/>
        <v>0</v>
      </c>
      <c r="P259" s="24">
        <f t="shared" si="60"/>
        <v>0</v>
      </c>
      <c r="Q259" s="29">
        <f t="shared" si="61"/>
        <v>0</v>
      </c>
      <c r="R259" s="30">
        <f>COUNTIF(RAW_DATA[[#This Row],[CONVERTED]],"&gt;0")</f>
        <v>0</v>
      </c>
      <c r="S259" s="30">
        <f>COUNTIFS(RAW_DATA[[#This Row],[AM/PM]],"AM",RAW_DATA[[#This Row],[CONVERTED]],"&gt;0")</f>
        <v>0</v>
      </c>
      <c r="T259" s="19">
        <f t="shared" ref="T259:T322" si="64">IF(AND($S258=1,$N259&gt;0),1,0)</f>
        <v>0</v>
      </c>
      <c r="U259" s="20" t="str">
        <f t="shared" si="62"/>
        <v>SINGLE</v>
      </c>
    </row>
    <row r="260" spans="1:21" x14ac:dyDescent="0.35">
      <c r="A260" s="21">
        <f t="shared" ref="A260:A323" si="65">IF(B259 = "AM",A259,A259+1)</f>
        <v>45220</v>
      </c>
      <c r="B260" s="22" t="str">
        <f t="shared" si="63"/>
        <v>AM</v>
      </c>
      <c r="C260" s="23" t="str">
        <f t="shared" si="54"/>
        <v>October</v>
      </c>
      <c r="D260" s="13" t="str">
        <f t="shared" si="55"/>
        <v>SAT</v>
      </c>
      <c r="E260" s="24">
        <v>0</v>
      </c>
      <c r="F260" s="24">
        <v>0</v>
      </c>
      <c r="G260" s="24">
        <v>0</v>
      </c>
      <c r="H260" s="24">
        <f t="shared" si="56"/>
        <v>0</v>
      </c>
      <c r="I260" s="24">
        <f t="shared" si="57"/>
        <v>0</v>
      </c>
      <c r="J260" s="24">
        <v>0</v>
      </c>
      <c r="K260" s="24">
        <f t="shared" si="58"/>
        <v>0</v>
      </c>
      <c r="L260" s="25">
        <v>0</v>
      </c>
      <c r="M260" s="25">
        <v>0</v>
      </c>
      <c r="N260" s="26">
        <f t="shared" si="53"/>
        <v>0</v>
      </c>
      <c r="O260" s="24">
        <f t="shared" si="59"/>
        <v>0</v>
      </c>
      <c r="P260" s="24">
        <f t="shared" si="60"/>
        <v>0</v>
      </c>
      <c r="Q260" s="29">
        <f t="shared" si="61"/>
        <v>0</v>
      </c>
      <c r="R260" s="30">
        <f>COUNTIF(RAW_DATA[[#This Row],[CONVERTED]],"&gt;0")</f>
        <v>0</v>
      </c>
      <c r="S260" s="30">
        <f>COUNTIFS(RAW_DATA[[#This Row],[AM/PM]],"AM",RAW_DATA[[#This Row],[CONVERTED]],"&gt;0")</f>
        <v>0</v>
      </c>
      <c r="T260" s="19">
        <f t="shared" si="64"/>
        <v>0</v>
      </c>
      <c r="U260" s="20" t="str">
        <f t="shared" si="62"/>
        <v>SINGLE</v>
      </c>
    </row>
    <row r="261" spans="1:21" x14ac:dyDescent="0.35">
      <c r="A261" s="21">
        <f t="shared" si="65"/>
        <v>45220</v>
      </c>
      <c r="B261" s="22" t="str">
        <f t="shared" si="63"/>
        <v>PM</v>
      </c>
      <c r="C261" s="23" t="str">
        <f t="shared" si="54"/>
        <v>October</v>
      </c>
      <c r="D261" s="13" t="str">
        <f t="shared" si="55"/>
        <v>SAT</v>
      </c>
      <c r="E261" s="24">
        <v>0</v>
      </c>
      <c r="F261" s="24">
        <v>0</v>
      </c>
      <c r="G261" s="24">
        <v>0</v>
      </c>
      <c r="H261" s="24">
        <f t="shared" si="56"/>
        <v>0</v>
      </c>
      <c r="I261" s="24">
        <f t="shared" si="57"/>
        <v>0</v>
      </c>
      <c r="J261" s="24">
        <v>0</v>
      </c>
      <c r="K261" s="24">
        <f t="shared" si="58"/>
        <v>0</v>
      </c>
      <c r="L261" s="25">
        <v>0</v>
      </c>
      <c r="M261" s="25">
        <v>0</v>
      </c>
      <c r="N261" s="26">
        <f t="shared" si="53"/>
        <v>0</v>
      </c>
      <c r="O261" s="24">
        <f t="shared" si="59"/>
        <v>0</v>
      </c>
      <c r="P261" s="24">
        <f t="shared" si="60"/>
        <v>0</v>
      </c>
      <c r="Q261" s="29">
        <f t="shared" si="61"/>
        <v>0</v>
      </c>
      <c r="R261" s="30">
        <f>COUNTIF(RAW_DATA[[#This Row],[CONVERTED]],"&gt;0")</f>
        <v>0</v>
      </c>
      <c r="S261" s="30">
        <f>COUNTIFS(RAW_DATA[[#This Row],[AM/PM]],"AM",RAW_DATA[[#This Row],[CONVERTED]],"&gt;0")</f>
        <v>0</v>
      </c>
      <c r="T261" s="19">
        <f t="shared" si="64"/>
        <v>0</v>
      </c>
      <c r="U261" s="20" t="str">
        <f t="shared" si="62"/>
        <v>SINGLE</v>
      </c>
    </row>
    <row r="262" spans="1:21" x14ac:dyDescent="0.35">
      <c r="A262" s="21">
        <f t="shared" si="65"/>
        <v>45221</v>
      </c>
      <c r="B262" s="22" t="str">
        <f t="shared" si="63"/>
        <v>AM</v>
      </c>
      <c r="C262" s="23" t="str">
        <f t="shared" si="54"/>
        <v>October</v>
      </c>
      <c r="D262" s="13" t="str">
        <f t="shared" si="55"/>
        <v>SUN</v>
      </c>
      <c r="E262" s="24">
        <v>0</v>
      </c>
      <c r="F262" s="24">
        <v>0</v>
      </c>
      <c r="G262" s="24">
        <v>0</v>
      </c>
      <c r="H262" s="24">
        <f t="shared" si="56"/>
        <v>0</v>
      </c>
      <c r="I262" s="24">
        <f t="shared" si="57"/>
        <v>0</v>
      </c>
      <c r="J262" s="24">
        <v>0</v>
      </c>
      <c r="K262" s="24">
        <f t="shared" si="58"/>
        <v>0</v>
      </c>
      <c r="L262" s="25">
        <v>0</v>
      </c>
      <c r="M262" s="25">
        <v>0</v>
      </c>
      <c r="N262" s="26">
        <f t="shared" si="53"/>
        <v>0</v>
      </c>
      <c r="O262" s="24">
        <f t="shared" si="59"/>
        <v>0</v>
      </c>
      <c r="P262" s="24">
        <f t="shared" si="60"/>
        <v>0</v>
      </c>
      <c r="Q262" s="29">
        <f t="shared" si="61"/>
        <v>0</v>
      </c>
      <c r="R262" s="30">
        <f>COUNTIF(RAW_DATA[[#This Row],[CONVERTED]],"&gt;0")</f>
        <v>0</v>
      </c>
      <c r="S262" s="30">
        <f>COUNTIFS(RAW_DATA[[#This Row],[AM/PM]],"AM",RAW_DATA[[#This Row],[CONVERTED]],"&gt;0")</f>
        <v>0</v>
      </c>
      <c r="T262" s="19">
        <f t="shared" si="64"/>
        <v>0</v>
      </c>
      <c r="U262" s="20" t="str">
        <f t="shared" si="62"/>
        <v>SINGLE</v>
      </c>
    </row>
    <row r="263" spans="1:21" x14ac:dyDescent="0.35">
      <c r="A263" s="21">
        <f t="shared" si="65"/>
        <v>45221</v>
      </c>
      <c r="B263" s="22" t="str">
        <f t="shared" si="63"/>
        <v>PM</v>
      </c>
      <c r="C263" s="23" t="str">
        <f t="shared" si="54"/>
        <v>October</v>
      </c>
      <c r="D263" s="13" t="str">
        <f t="shared" si="55"/>
        <v>SUN</v>
      </c>
      <c r="E263" s="24">
        <v>1040.5</v>
      </c>
      <c r="F263" s="24">
        <v>208.4</v>
      </c>
      <c r="G263" s="24">
        <v>0</v>
      </c>
      <c r="H263" s="24">
        <f t="shared" si="56"/>
        <v>41.62</v>
      </c>
      <c r="I263" s="24">
        <f t="shared" si="57"/>
        <v>3.5011199999999998</v>
      </c>
      <c r="J263" s="24">
        <v>0</v>
      </c>
      <c r="K263" s="24">
        <f t="shared" si="58"/>
        <v>163.27888000000002</v>
      </c>
      <c r="L263" s="25">
        <v>5</v>
      </c>
      <c r="M263" s="25">
        <v>29</v>
      </c>
      <c r="N263" s="26">
        <f t="shared" si="53"/>
        <v>5.4833333333333334</v>
      </c>
      <c r="O263" s="24">
        <f t="shared" si="59"/>
        <v>11.679499999999999</v>
      </c>
      <c r="P263" s="24">
        <f t="shared" si="60"/>
        <v>174.95838000000001</v>
      </c>
      <c r="Q263" s="29">
        <f t="shared" si="61"/>
        <v>174.95838000000001</v>
      </c>
      <c r="R263" s="30">
        <f>COUNTIF(RAW_DATA[[#This Row],[CONVERTED]],"&gt;0")</f>
        <v>1</v>
      </c>
      <c r="S263" s="30">
        <f>COUNTIFS(RAW_DATA[[#This Row],[AM/PM]],"AM",RAW_DATA[[#This Row],[CONVERTED]],"&gt;0")</f>
        <v>0</v>
      </c>
      <c r="T263" s="19">
        <f t="shared" si="64"/>
        <v>0</v>
      </c>
      <c r="U263" s="20" t="str">
        <f t="shared" si="62"/>
        <v>SINGLE</v>
      </c>
    </row>
    <row r="264" spans="1:21" x14ac:dyDescent="0.35">
      <c r="A264" s="21">
        <f t="shared" si="65"/>
        <v>45222</v>
      </c>
      <c r="B264" s="22" t="str">
        <f t="shared" si="63"/>
        <v>AM</v>
      </c>
      <c r="C264" s="23" t="str">
        <f t="shared" si="54"/>
        <v>October</v>
      </c>
      <c r="D264" s="13" t="str">
        <f t="shared" si="55"/>
        <v>MON</v>
      </c>
      <c r="E264" s="24">
        <v>0</v>
      </c>
      <c r="F264" s="24">
        <v>0</v>
      </c>
      <c r="G264" s="24">
        <v>0</v>
      </c>
      <c r="H264" s="24">
        <f t="shared" si="56"/>
        <v>0</v>
      </c>
      <c r="I264" s="24">
        <f t="shared" si="57"/>
        <v>0</v>
      </c>
      <c r="J264" s="24">
        <v>0</v>
      </c>
      <c r="K264" s="24">
        <f t="shared" si="58"/>
        <v>0</v>
      </c>
      <c r="L264" s="25">
        <v>0</v>
      </c>
      <c r="M264" s="25">
        <v>0</v>
      </c>
      <c r="N264" s="26">
        <f t="shared" si="53"/>
        <v>0</v>
      </c>
      <c r="O264" s="24">
        <f t="shared" si="59"/>
        <v>0</v>
      </c>
      <c r="P264" s="24">
        <f t="shared" si="60"/>
        <v>0</v>
      </c>
      <c r="Q264" s="29">
        <f t="shared" si="61"/>
        <v>0</v>
      </c>
      <c r="R264" s="30">
        <f>COUNTIF(RAW_DATA[[#This Row],[CONVERTED]],"&gt;0")</f>
        <v>0</v>
      </c>
      <c r="S264" s="30">
        <f>COUNTIFS(RAW_DATA[[#This Row],[AM/PM]],"AM",RAW_DATA[[#This Row],[CONVERTED]],"&gt;0")</f>
        <v>0</v>
      </c>
      <c r="T264" s="19">
        <f t="shared" si="64"/>
        <v>0</v>
      </c>
      <c r="U264" s="20" t="str">
        <f t="shared" si="62"/>
        <v>SINGLE</v>
      </c>
    </row>
    <row r="265" spans="1:21" x14ac:dyDescent="0.35">
      <c r="A265" s="21">
        <f t="shared" si="65"/>
        <v>45222</v>
      </c>
      <c r="B265" s="22" t="str">
        <f t="shared" si="63"/>
        <v>PM</v>
      </c>
      <c r="C265" s="23" t="str">
        <f t="shared" si="54"/>
        <v>October</v>
      </c>
      <c r="D265" s="13" t="str">
        <f t="shared" si="55"/>
        <v>MON</v>
      </c>
      <c r="E265" s="24">
        <v>1279</v>
      </c>
      <c r="F265" s="24">
        <v>230.19</v>
      </c>
      <c r="G265" s="24">
        <v>17</v>
      </c>
      <c r="H265" s="24">
        <f t="shared" si="56"/>
        <v>51.160000000000004</v>
      </c>
      <c r="I265" s="24">
        <f t="shared" si="57"/>
        <v>3.8671919999999997</v>
      </c>
      <c r="J265" s="24">
        <v>9</v>
      </c>
      <c r="K265" s="24">
        <f t="shared" si="58"/>
        <v>175.16280799999998</v>
      </c>
      <c r="L265" s="25">
        <v>5</v>
      </c>
      <c r="M265" s="25">
        <v>35</v>
      </c>
      <c r="N265" s="26">
        <f t="shared" si="53"/>
        <v>5.583333333333333</v>
      </c>
      <c r="O265" s="24">
        <f t="shared" si="59"/>
        <v>11.892499999999998</v>
      </c>
      <c r="P265" s="24">
        <f t="shared" si="60"/>
        <v>196.05530799999997</v>
      </c>
      <c r="Q265" s="29">
        <f t="shared" si="61"/>
        <v>204.05530799999997</v>
      </c>
      <c r="R265" s="30">
        <f>COUNTIF(RAW_DATA[[#This Row],[CONVERTED]],"&gt;0")</f>
        <v>1</v>
      </c>
      <c r="S265" s="30">
        <f>COUNTIFS(RAW_DATA[[#This Row],[AM/PM]],"AM",RAW_DATA[[#This Row],[CONVERTED]],"&gt;0")</f>
        <v>0</v>
      </c>
      <c r="T265" s="19">
        <f t="shared" si="64"/>
        <v>0</v>
      </c>
      <c r="U265" s="20" t="str">
        <f t="shared" si="62"/>
        <v>SINGLE</v>
      </c>
    </row>
    <row r="266" spans="1:21" x14ac:dyDescent="0.35">
      <c r="A266" s="21">
        <f t="shared" si="65"/>
        <v>45223</v>
      </c>
      <c r="B266" s="22" t="str">
        <f t="shared" si="63"/>
        <v>AM</v>
      </c>
      <c r="C266" s="23" t="str">
        <f t="shared" si="54"/>
        <v>October</v>
      </c>
      <c r="D266" s="13" t="str">
        <f t="shared" si="55"/>
        <v>TUE</v>
      </c>
      <c r="E266" s="24">
        <v>640</v>
      </c>
      <c r="F266" s="24">
        <v>123.69</v>
      </c>
      <c r="G266" s="24">
        <v>0</v>
      </c>
      <c r="H266" s="24">
        <f t="shared" si="56"/>
        <v>25.6</v>
      </c>
      <c r="I266" s="24">
        <f t="shared" si="57"/>
        <v>2.0779919999999996</v>
      </c>
      <c r="J266" s="24">
        <v>0</v>
      </c>
      <c r="K266" s="24">
        <f t="shared" si="58"/>
        <v>96.012007999999994</v>
      </c>
      <c r="L266" s="25">
        <v>3</v>
      </c>
      <c r="M266" s="25">
        <v>14</v>
      </c>
      <c r="N266" s="26">
        <f t="shared" si="53"/>
        <v>3.2333333333333334</v>
      </c>
      <c r="O266" s="24">
        <f t="shared" si="59"/>
        <v>6.8869999999999996</v>
      </c>
      <c r="P266" s="24">
        <f t="shared" si="60"/>
        <v>102.89900799999999</v>
      </c>
      <c r="Q266" s="29">
        <f t="shared" si="61"/>
        <v>102.89900799999999</v>
      </c>
      <c r="R266" s="30">
        <f>COUNTIF(RAW_DATA[[#This Row],[CONVERTED]],"&gt;0")</f>
        <v>1</v>
      </c>
      <c r="S266" s="30">
        <f>COUNTIFS(RAW_DATA[[#This Row],[AM/PM]],"AM",RAW_DATA[[#This Row],[CONVERTED]],"&gt;0")</f>
        <v>1</v>
      </c>
      <c r="T266" s="19">
        <f t="shared" si="64"/>
        <v>0</v>
      </c>
      <c r="U266" s="20" t="str">
        <f t="shared" si="62"/>
        <v>DOUBLE</v>
      </c>
    </row>
    <row r="267" spans="1:21" x14ac:dyDescent="0.35">
      <c r="A267" s="21">
        <f t="shared" si="65"/>
        <v>45223</v>
      </c>
      <c r="B267" s="22" t="str">
        <f t="shared" si="63"/>
        <v>PM</v>
      </c>
      <c r="C267" s="23" t="str">
        <f t="shared" si="54"/>
        <v>October</v>
      </c>
      <c r="D267" s="13" t="str">
        <f t="shared" si="55"/>
        <v>TUE</v>
      </c>
      <c r="E267" s="24">
        <v>558</v>
      </c>
      <c r="F267" s="24">
        <v>106.5</v>
      </c>
      <c r="G267" s="24">
        <v>0</v>
      </c>
      <c r="H267" s="24">
        <f t="shared" si="56"/>
        <v>22.32</v>
      </c>
      <c r="I267" s="24">
        <f t="shared" si="57"/>
        <v>1.7891999999999999</v>
      </c>
      <c r="J267" s="24">
        <v>0</v>
      </c>
      <c r="K267" s="24">
        <f t="shared" si="58"/>
        <v>82.390799999999999</v>
      </c>
      <c r="L267" s="25">
        <v>3</v>
      </c>
      <c r="M267" s="25">
        <v>36</v>
      </c>
      <c r="N267" s="26">
        <f t="shared" si="53"/>
        <v>3.6</v>
      </c>
      <c r="O267" s="24">
        <f t="shared" si="59"/>
        <v>7.6680000000000001</v>
      </c>
      <c r="P267" s="24">
        <f t="shared" si="60"/>
        <v>90.058800000000005</v>
      </c>
      <c r="Q267" s="29">
        <f t="shared" si="61"/>
        <v>90.058800000000005</v>
      </c>
      <c r="R267" s="30">
        <f>COUNTIF(RAW_DATA[[#This Row],[CONVERTED]],"&gt;0")</f>
        <v>1</v>
      </c>
      <c r="S267" s="30">
        <f>COUNTIFS(RAW_DATA[[#This Row],[AM/PM]],"AM",RAW_DATA[[#This Row],[CONVERTED]],"&gt;0")</f>
        <v>0</v>
      </c>
      <c r="T267" s="19">
        <f t="shared" si="64"/>
        <v>1</v>
      </c>
      <c r="U267" s="20" t="str">
        <f t="shared" si="62"/>
        <v>DOUBLE</v>
      </c>
    </row>
    <row r="268" spans="1:21" x14ac:dyDescent="0.35">
      <c r="A268" s="21">
        <f t="shared" si="65"/>
        <v>45224</v>
      </c>
      <c r="B268" s="22" t="str">
        <f t="shared" si="63"/>
        <v>AM</v>
      </c>
      <c r="C268" s="23" t="str">
        <f t="shared" si="54"/>
        <v>October</v>
      </c>
      <c r="D268" s="13" t="str">
        <f t="shared" si="55"/>
        <v>WED</v>
      </c>
      <c r="E268" s="24">
        <v>351</v>
      </c>
      <c r="F268" s="24">
        <v>69</v>
      </c>
      <c r="G268" s="24">
        <v>0</v>
      </c>
      <c r="H268" s="24">
        <f t="shared" si="56"/>
        <v>14.040000000000001</v>
      </c>
      <c r="I268" s="24">
        <f t="shared" si="57"/>
        <v>1.1592</v>
      </c>
      <c r="J268" s="24">
        <v>0</v>
      </c>
      <c r="K268" s="24">
        <f t="shared" si="58"/>
        <v>53.800799999999995</v>
      </c>
      <c r="L268" s="25">
        <v>3</v>
      </c>
      <c r="M268" s="25">
        <v>16</v>
      </c>
      <c r="N268" s="26">
        <f t="shared" si="53"/>
        <v>3.2666666666666666</v>
      </c>
      <c r="O268" s="24">
        <f t="shared" si="59"/>
        <v>6.9579999999999993</v>
      </c>
      <c r="P268" s="24">
        <f t="shared" si="60"/>
        <v>60.758799999999994</v>
      </c>
      <c r="Q268" s="29">
        <f t="shared" si="61"/>
        <v>60.758799999999994</v>
      </c>
      <c r="R268" s="30">
        <f>COUNTIF(RAW_DATA[[#This Row],[CONVERTED]],"&gt;0")</f>
        <v>1</v>
      </c>
      <c r="S268" s="30">
        <f>COUNTIFS(RAW_DATA[[#This Row],[AM/PM]],"AM",RAW_DATA[[#This Row],[CONVERTED]],"&gt;0")</f>
        <v>1</v>
      </c>
      <c r="T268" s="19">
        <f t="shared" si="64"/>
        <v>0</v>
      </c>
      <c r="U268" s="20" t="str">
        <f t="shared" si="62"/>
        <v>SINGLE</v>
      </c>
    </row>
    <row r="269" spans="1:21" x14ac:dyDescent="0.35">
      <c r="A269" s="21">
        <f t="shared" si="65"/>
        <v>45224</v>
      </c>
      <c r="B269" s="22" t="str">
        <f t="shared" si="63"/>
        <v>PM</v>
      </c>
      <c r="C269" s="23" t="str">
        <f t="shared" si="54"/>
        <v>October</v>
      </c>
      <c r="D269" s="13" t="str">
        <f t="shared" si="55"/>
        <v>WED</v>
      </c>
      <c r="E269" s="24">
        <v>0</v>
      </c>
      <c r="F269" s="24">
        <v>0</v>
      </c>
      <c r="G269" s="24">
        <v>0</v>
      </c>
      <c r="H269" s="24">
        <f t="shared" si="56"/>
        <v>0</v>
      </c>
      <c r="I269" s="24">
        <f t="shared" si="57"/>
        <v>0</v>
      </c>
      <c r="J269" s="24">
        <v>0</v>
      </c>
      <c r="K269" s="24">
        <f t="shared" si="58"/>
        <v>0</v>
      </c>
      <c r="L269" s="25">
        <v>0</v>
      </c>
      <c r="M269" s="25">
        <v>0</v>
      </c>
      <c r="N269" s="26">
        <f t="shared" si="53"/>
        <v>0</v>
      </c>
      <c r="O269" s="24">
        <f t="shared" si="59"/>
        <v>0</v>
      </c>
      <c r="P269" s="24">
        <f t="shared" si="60"/>
        <v>0</v>
      </c>
      <c r="Q269" s="29">
        <f t="shared" si="61"/>
        <v>0</v>
      </c>
      <c r="R269" s="30">
        <f>COUNTIF(RAW_DATA[[#This Row],[CONVERTED]],"&gt;0")</f>
        <v>0</v>
      </c>
      <c r="S269" s="30">
        <f>COUNTIFS(RAW_DATA[[#This Row],[AM/PM]],"AM",RAW_DATA[[#This Row],[CONVERTED]],"&gt;0")</f>
        <v>0</v>
      </c>
      <c r="T269" s="19">
        <f t="shared" si="64"/>
        <v>0</v>
      </c>
      <c r="U269" s="20" t="str">
        <f t="shared" si="62"/>
        <v>SINGLE</v>
      </c>
    </row>
    <row r="270" spans="1:21" x14ac:dyDescent="0.35">
      <c r="A270" s="21">
        <f t="shared" si="65"/>
        <v>45225</v>
      </c>
      <c r="B270" s="22" t="str">
        <f t="shared" si="63"/>
        <v>AM</v>
      </c>
      <c r="C270" s="23" t="str">
        <f t="shared" si="54"/>
        <v>October</v>
      </c>
      <c r="D270" s="13" t="str">
        <f t="shared" si="55"/>
        <v>THU</v>
      </c>
      <c r="E270" s="24">
        <v>0</v>
      </c>
      <c r="F270" s="24">
        <v>0</v>
      </c>
      <c r="G270" s="24">
        <v>0</v>
      </c>
      <c r="H270" s="24">
        <f t="shared" si="56"/>
        <v>0</v>
      </c>
      <c r="I270" s="24">
        <f t="shared" si="57"/>
        <v>0</v>
      </c>
      <c r="J270" s="24">
        <v>0</v>
      </c>
      <c r="K270" s="24">
        <f t="shared" si="58"/>
        <v>0</v>
      </c>
      <c r="L270" s="25">
        <v>0</v>
      </c>
      <c r="M270" s="25">
        <v>0</v>
      </c>
      <c r="N270" s="26">
        <f t="shared" si="53"/>
        <v>0</v>
      </c>
      <c r="O270" s="24">
        <f t="shared" si="59"/>
        <v>0</v>
      </c>
      <c r="P270" s="24">
        <f t="shared" si="60"/>
        <v>0</v>
      </c>
      <c r="Q270" s="29">
        <f t="shared" si="61"/>
        <v>0</v>
      </c>
      <c r="R270" s="30">
        <f>COUNTIF(RAW_DATA[[#This Row],[CONVERTED]],"&gt;0")</f>
        <v>0</v>
      </c>
      <c r="S270" s="30">
        <f>COUNTIFS(RAW_DATA[[#This Row],[AM/PM]],"AM",RAW_DATA[[#This Row],[CONVERTED]],"&gt;0")</f>
        <v>0</v>
      </c>
      <c r="T270" s="19">
        <f t="shared" si="64"/>
        <v>0</v>
      </c>
      <c r="U270" s="20" t="str">
        <f t="shared" si="62"/>
        <v>SINGLE</v>
      </c>
    </row>
    <row r="271" spans="1:21" x14ac:dyDescent="0.35">
      <c r="A271" s="21">
        <f t="shared" si="65"/>
        <v>45225</v>
      </c>
      <c r="B271" s="22" t="str">
        <f t="shared" si="63"/>
        <v>PM</v>
      </c>
      <c r="C271" s="23" t="str">
        <f t="shared" si="54"/>
        <v>October</v>
      </c>
      <c r="D271" s="13" t="str">
        <f t="shared" si="55"/>
        <v>THU</v>
      </c>
      <c r="E271" s="24">
        <v>0</v>
      </c>
      <c r="F271" s="24">
        <v>0</v>
      </c>
      <c r="G271" s="24">
        <v>0</v>
      </c>
      <c r="H271" s="24">
        <f t="shared" si="56"/>
        <v>0</v>
      </c>
      <c r="I271" s="24">
        <f t="shared" si="57"/>
        <v>0</v>
      </c>
      <c r="J271" s="24">
        <v>0</v>
      </c>
      <c r="K271" s="24">
        <f t="shared" si="58"/>
        <v>0</v>
      </c>
      <c r="L271" s="25">
        <v>0</v>
      </c>
      <c r="M271" s="25">
        <v>0</v>
      </c>
      <c r="N271" s="26">
        <f t="shared" si="53"/>
        <v>0</v>
      </c>
      <c r="O271" s="24">
        <f t="shared" si="59"/>
        <v>0</v>
      </c>
      <c r="P271" s="24">
        <f t="shared" si="60"/>
        <v>0</v>
      </c>
      <c r="Q271" s="29">
        <f t="shared" si="61"/>
        <v>0</v>
      </c>
      <c r="R271" s="30">
        <f>COUNTIF(RAW_DATA[[#This Row],[CONVERTED]],"&gt;0")</f>
        <v>0</v>
      </c>
      <c r="S271" s="30">
        <f>COUNTIFS(RAW_DATA[[#This Row],[AM/PM]],"AM",RAW_DATA[[#This Row],[CONVERTED]],"&gt;0")</f>
        <v>0</v>
      </c>
      <c r="T271" s="19">
        <f t="shared" si="64"/>
        <v>0</v>
      </c>
      <c r="U271" s="20" t="str">
        <f t="shared" si="62"/>
        <v>SINGLE</v>
      </c>
    </row>
    <row r="272" spans="1:21" x14ac:dyDescent="0.35">
      <c r="A272" s="21">
        <f t="shared" si="65"/>
        <v>45226</v>
      </c>
      <c r="B272" s="22" t="str">
        <f t="shared" si="63"/>
        <v>AM</v>
      </c>
      <c r="C272" s="23" t="str">
        <f t="shared" si="54"/>
        <v>October</v>
      </c>
      <c r="D272" s="13" t="str">
        <f t="shared" si="55"/>
        <v>FRI</v>
      </c>
      <c r="E272" s="24">
        <v>0</v>
      </c>
      <c r="F272" s="24">
        <v>0</v>
      </c>
      <c r="G272" s="24">
        <v>0</v>
      </c>
      <c r="H272" s="24">
        <f t="shared" si="56"/>
        <v>0</v>
      </c>
      <c r="I272" s="24">
        <f t="shared" si="57"/>
        <v>0</v>
      </c>
      <c r="J272" s="24">
        <v>0</v>
      </c>
      <c r="K272" s="24">
        <f t="shared" si="58"/>
        <v>0</v>
      </c>
      <c r="L272" s="25">
        <v>0</v>
      </c>
      <c r="M272" s="25">
        <v>0</v>
      </c>
      <c r="N272" s="26">
        <v>0</v>
      </c>
      <c r="O272" s="24">
        <f t="shared" si="59"/>
        <v>0</v>
      </c>
      <c r="P272" s="24">
        <f t="shared" si="60"/>
        <v>0</v>
      </c>
      <c r="Q272" s="29">
        <f t="shared" si="61"/>
        <v>0</v>
      </c>
      <c r="R272" s="30">
        <f>COUNTIF(RAW_DATA[[#This Row],[CONVERTED]],"&gt;0")</f>
        <v>0</v>
      </c>
      <c r="S272" s="30">
        <f>COUNTIFS(RAW_DATA[[#This Row],[AM/PM]],"AM",RAW_DATA[[#This Row],[CONVERTED]],"&gt;0")</f>
        <v>0</v>
      </c>
      <c r="T272" s="19">
        <f t="shared" si="64"/>
        <v>0</v>
      </c>
      <c r="U272" s="20" t="str">
        <f t="shared" si="62"/>
        <v>SINGLE</v>
      </c>
    </row>
    <row r="273" spans="1:21" x14ac:dyDescent="0.35">
      <c r="A273" s="21">
        <f t="shared" si="65"/>
        <v>45226</v>
      </c>
      <c r="B273" s="22" t="str">
        <f t="shared" si="63"/>
        <v>PM</v>
      </c>
      <c r="C273" s="23" t="str">
        <f t="shared" si="54"/>
        <v>October</v>
      </c>
      <c r="D273" s="13" t="str">
        <f t="shared" si="55"/>
        <v>FRI</v>
      </c>
      <c r="E273" s="24">
        <v>1010</v>
      </c>
      <c r="F273" s="24">
        <v>119.52</v>
      </c>
      <c r="G273" s="24">
        <v>110</v>
      </c>
      <c r="H273" s="24">
        <f t="shared" si="56"/>
        <v>40.4</v>
      </c>
      <c r="I273" s="24">
        <f t="shared" si="57"/>
        <v>2.0079359999999999</v>
      </c>
      <c r="J273" s="24">
        <v>29.75</v>
      </c>
      <c r="K273" s="24">
        <f t="shared" si="58"/>
        <v>77.112064000000004</v>
      </c>
      <c r="L273" s="25">
        <v>5</v>
      </c>
      <c r="M273" s="25">
        <v>26</v>
      </c>
      <c r="N273" s="26">
        <f t="shared" ref="N273:N336" si="66">((L273*60)+M273)/60</f>
        <v>5.4333333333333336</v>
      </c>
      <c r="O273" s="24">
        <f t="shared" si="59"/>
        <v>11.573</v>
      </c>
      <c r="P273" s="24">
        <f t="shared" si="60"/>
        <v>118.43506400000001</v>
      </c>
      <c r="Q273" s="29">
        <f t="shared" si="61"/>
        <v>198.68506400000001</v>
      </c>
      <c r="R273" s="30">
        <f>COUNTIF(RAW_DATA[[#This Row],[CONVERTED]],"&gt;0")</f>
        <v>1</v>
      </c>
      <c r="S273" s="30">
        <f>COUNTIFS(RAW_DATA[[#This Row],[AM/PM]],"AM",RAW_DATA[[#This Row],[CONVERTED]],"&gt;0")</f>
        <v>0</v>
      </c>
      <c r="T273" s="19">
        <f t="shared" si="64"/>
        <v>0</v>
      </c>
      <c r="U273" s="20" t="str">
        <f t="shared" si="62"/>
        <v>SINGLE</v>
      </c>
    </row>
    <row r="274" spans="1:21" x14ac:dyDescent="0.35">
      <c r="A274" s="21">
        <f t="shared" si="65"/>
        <v>45227</v>
      </c>
      <c r="B274" s="22" t="str">
        <f t="shared" si="63"/>
        <v>AM</v>
      </c>
      <c r="C274" s="23" t="str">
        <f t="shared" si="54"/>
        <v>October</v>
      </c>
      <c r="D274" s="13" t="str">
        <f t="shared" si="55"/>
        <v>SAT</v>
      </c>
      <c r="E274" s="24">
        <v>0</v>
      </c>
      <c r="F274" s="24">
        <v>0</v>
      </c>
      <c r="G274" s="24">
        <v>0</v>
      </c>
      <c r="H274" s="24">
        <f t="shared" si="56"/>
        <v>0</v>
      </c>
      <c r="I274" s="24">
        <f t="shared" si="57"/>
        <v>0</v>
      </c>
      <c r="J274" s="24">
        <v>0</v>
      </c>
      <c r="K274" s="24">
        <f t="shared" si="58"/>
        <v>0</v>
      </c>
      <c r="L274" s="25">
        <v>0</v>
      </c>
      <c r="M274" s="25">
        <v>0</v>
      </c>
      <c r="N274" s="26">
        <f t="shared" si="66"/>
        <v>0</v>
      </c>
      <c r="O274" s="24">
        <f t="shared" si="59"/>
        <v>0</v>
      </c>
      <c r="P274" s="24">
        <f t="shared" si="60"/>
        <v>0</v>
      </c>
      <c r="Q274" s="29">
        <f t="shared" si="61"/>
        <v>0</v>
      </c>
      <c r="R274" s="30">
        <f>COUNTIF(RAW_DATA[[#This Row],[CONVERTED]],"&gt;0")</f>
        <v>0</v>
      </c>
      <c r="S274" s="30">
        <f>COUNTIFS(RAW_DATA[[#This Row],[AM/PM]],"AM",RAW_DATA[[#This Row],[CONVERTED]],"&gt;0")</f>
        <v>0</v>
      </c>
      <c r="T274" s="19">
        <f t="shared" si="64"/>
        <v>0</v>
      </c>
      <c r="U274" s="20" t="str">
        <f t="shared" si="62"/>
        <v>SINGLE</v>
      </c>
    </row>
    <row r="275" spans="1:21" x14ac:dyDescent="0.35">
      <c r="A275" s="21">
        <f t="shared" si="65"/>
        <v>45227</v>
      </c>
      <c r="B275" s="22" t="str">
        <f t="shared" si="63"/>
        <v>PM</v>
      </c>
      <c r="C275" s="23" t="str">
        <f t="shared" si="54"/>
        <v>October</v>
      </c>
      <c r="D275" s="13" t="str">
        <f t="shared" si="55"/>
        <v>SAT</v>
      </c>
      <c r="E275" s="24">
        <v>1353</v>
      </c>
      <c r="F275" s="24">
        <v>215.35</v>
      </c>
      <c r="G275" s="24">
        <v>47</v>
      </c>
      <c r="H275" s="24">
        <f t="shared" si="56"/>
        <v>54.120000000000005</v>
      </c>
      <c r="I275" s="24">
        <f t="shared" si="57"/>
        <v>3.6178799999999995</v>
      </c>
      <c r="J275" s="24">
        <v>20</v>
      </c>
      <c r="K275" s="24">
        <f t="shared" si="58"/>
        <v>157.61212</v>
      </c>
      <c r="L275" s="25">
        <v>7</v>
      </c>
      <c r="M275" s="25">
        <v>41</v>
      </c>
      <c r="N275" s="26">
        <f t="shared" si="66"/>
        <v>7.6833333333333336</v>
      </c>
      <c r="O275" s="24">
        <f t="shared" si="59"/>
        <v>16.365500000000001</v>
      </c>
      <c r="P275" s="24">
        <f t="shared" si="60"/>
        <v>193.97762</v>
      </c>
      <c r="Q275" s="29">
        <f t="shared" si="61"/>
        <v>220.97762</v>
      </c>
      <c r="R275" s="30">
        <f>COUNTIF(RAW_DATA[[#This Row],[CONVERTED]],"&gt;0")</f>
        <v>1</v>
      </c>
      <c r="S275" s="30">
        <f>COUNTIFS(RAW_DATA[[#This Row],[AM/PM]],"AM",RAW_DATA[[#This Row],[CONVERTED]],"&gt;0")</f>
        <v>0</v>
      </c>
      <c r="T275" s="19">
        <f t="shared" si="64"/>
        <v>0</v>
      </c>
      <c r="U275" s="20" t="str">
        <f t="shared" si="62"/>
        <v>SINGLE</v>
      </c>
    </row>
    <row r="276" spans="1:21" x14ac:dyDescent="0.35">
      <c r="A276" s="21">
        <f t="shared" si="65"/>
        <v>45228</v>
      </c>
      <c r="B276" s="22" t="str">
        <f t="shared" si="63"/>
        <v>AM</v>
      </c>
      <c r="C276" s="23" t="str">
        <f t="shared" si="54"/>
        <v>October</v>
      </c>
      <c r="D276" s="13" t="str">
        <f t="shared" si="55"/>
        <v>SUN</v>
      </c>
      <c r="E276" s="24">
        <v>0</v>
      </c>
      <c r="F276" s="24">
        <v>0</v>
      </c>
      <c r="G276" s="24">
        <v>0</v>
      </c>
      <c r="H276" s="24">
        <f t="shared" si="56"/>
        <v>0</v>
      </c>
      <c r="I276" s="24">
        <f t="shared" si="57"/>
        <v>0</v>
      </c>
      <c r="J276" s="24">
        <v>0</v>
      </c>
      <c r="K276" s="24">
        <f t="shared" si="58"/>
        <v>0</v>
      </c>
      <c r="L276" s="25">
        <v>0</v>
      </c>
      <c r="M276" s="25">
        <v>0</v>
      </c>
      <c r="N276" s="26">
        <f t="shared" si="66"/>
        <v>0</v>
      </c>
      <c r="O276" s="24">
        <f t="shared" si="59"/>
        <v>0</v>
      </c>
      <c r="P276" s="24">
        <f t="shared" si="60"/>
        <v>0</v>
      </c>
      <c r="Q276" s="29">
        <f t="shared" si="61"/>
        <v>0</v>
      </c>
      <c r="R276" s="30">
        <f>COUNTIF(RAW_DATA[[#This Row],[CONVERTED]],"&gt;0")</f>
        <v>0</v>
      </c>
      <c r="S276" s="30">
        <f>COUNTIFS(RAW_DATA[[#This Row],[AM/PM]],"AM",RAW_DATA[[#This Row],[CONVERTED]],"&gt;0")</f>
        <v>0</v>
      </c>
      <c r="T276" s="19">
        <f t="shared" si="64"/>
        <v>0</v>
      </c>
      <c r="U276" s="20" t="str">
        <f t="shared" si="62"/>
        <v>SINGLE</v>
      </c>
    </row>
    <row r="277" spans="1:21" x14ac:dyDescent="0.35">
      <c r="A277" s="21">
        <f t="shared" si="65"/>
        <v>45228</v>
      </c>
      <c r="B277" s="22" t="str">
        <f t="shared" si="63"/>
        <v>PM</v>
      </c>
      <c r="C277" s="23" t="str">
        <f t="shared" si="54"/>
        <v>October</v>
      </c>
      <c r="D277" s="13" t="str">
        <f t="shared" si="55"/>
        <v>SUN</v>
      </c>
      <c r="E277" s="24">
        <v>0</v>
      </c>
      <c r="F277" s="24">
        <v>0</v>
      </c>
      <c r="G277" s="24">
        <v>0</v>
      </c>
      <c r="H277" s="24">
        <f t="shared" si="56"/>
        <v>0</v>
      </c>
      <c r="I277" s="24">
        <f t="shared" si="57"/>
        <v>0</v>
      </c>
      <c r="J277" s="24">
        <v>0</v>
      </c>
      <c r="K277" s="24">
        <f t="shared" si="58"/>
        <v>0</v>
      </c>
      <c r="L277" s="25">
        <v>0</v>
      </c>
      <c r="M277" s="25">
        <v>0</v>
      </c>
      <c r="N277" s="26">
        <f t="shared" si="66"/>
        <v>0</v>
      </c>
      <c r="O277" s="24">
        <f t="shared" si="59"/>
        <v>0</v>
      </c>
      <c r="P277" s="24">
        <f t="shared" si="60"/>
        <v>0</v>
      </c>
      <c r="Q277" s="29">
        <f t="shared" si="61"/>
        <v>0</v>
      </c>
      <c r="R277" s="30">
        <f>COUNTIF(RAW_DATA[[#This Row],[CONVERTED]],"&gt;0")</f>
        <v>0</v>
      </c>
      <c r="S277" s="30">
        <f>COUNTIFS(RAW_DATA[[#This Row],[AM/PM]],"AM",RAW_DATA[[#This Row],[CONVERTED]],"&gt;0")</f>
        <v>0</v>
      </c>
      <c r="T277" s="19">
        <f t="shared" si="64"/>
        <v>0</v>
      </c>
      <c r="U277" s="20" t="str">
        <f t="shared" si="62"/>
        <v>SINGLE</v>
      </c>
    </row>
    <row r="278" spans="1:21" x14ac:dyDescent="0.35">
      <c r="A278" s="21">
        <f t="shared" si="65"/>
        <v>45229</v>
      </c>
      <c r="B278" s="22" t="str">
        <f t="shared" si="63"/>
        <v>AM</v>
      </c>
      <c r="C278" s="23" t="str">
        <f t="shared" si="54"/>
        <v>October</v>
      </c>
      <c r="D278" s="13" t="str">
        <f t="shared" si="55"/>
        <v>MON</v>
      </c>
      <c r="E278" s="24">
        <v>0</v>
      </c>
      <c r="F278" s="24">
        <v>0</v>
      </c>
      <c r="G278" s="24">
        <v>0</v>
      </c>
      <c r="H278" s="24">
        <f t="shared" si="56"/>
        <v>0</v>
      </c>
      <c r="I278" s="24">
        <f t="shared" si="57"/>
        <v>0</v>
      </c>
      <c r="J278" s="24">
        <v>0</v>
      </c>
      <c r="K278" s="24">
        <f t="shared" si="58"/>
        <v>0</v>
      </c>
      <c r="L278" s="25">
        <v>0</v>
      </c>
      <c r="M278" s="25">
        <v>0</v>
      </c>
      <c r="N278" s="26">
        <f t="shared" si="66"/>
        <v>0</v>
      </c>
      <c r="O278" s="24">
        <f t="shared" si="59"/>
        <v>0</v>
      </c>
      <c r="P278" s="24">
        <f t="shared" si="60"/>
        <v>0</v>
      </c>
      <c r="Q278" s="29">
        <f t="shared" si="61"/>
        <v>0</v>
      </c>
      <c r="R278" s="30">
        <f>COUNTIF(RAW_DATA[[#This Row],[CONVERTED]],"&gt;0")</f>
        <v>0</v>
      </c>
      <c r="S278" s="30">
        <f>COUNTIFS(RAW_DATA[[#This Row],[AM/PM]],"AM",RAW_DATA[[#This Row],[CONVERTED]],"&gt;0")</f>
        <v>0</v>
      </c>
      <c r="T278" s="19">
        <f t="shared" si="64"/>
        <v>0</v>
      </c>
      <c r="U278" s="20" t="str">
        <f t="shared" si="62"/>
        <v>SINGLE</v>
      </c>
    </row>
    <row r="279" spans="1:21" x14ac:dyDescent="0.35">
      <c r="A279" s="21">
        <f t="shared" si="65"/>
        <v>45229</v>
      </c>
      <c r="B279" s="22" t="str">
        <f t="shared" si="63"/>
        <v>PM</v>
      </c>
      <c r="C279" s="23" t="str">
        <f t="shared" si="54"/>
        <v>October</v>
      </c>
      <c r="D279" s="13" t="str">
        <f t="shared" si="55"/>
        <v>MON</v>
      </c>
      <c r="E279" s="24">
        <v>593</v>
      </c>
      <c r="F279" s="24">
        <v>116.89</v>
      </c>
      <c r="G279" s="24">
        <v>0</v>
      </c>
      <c r="H279" s="24">
        <f t="shared" si="56"/>
        <v>23.72</v>
      </c>
      <c r="I279" s="24">
        <f t="shared" si="57"/>
        <v>1.9637519999999999</v>
      </c>
      <c r="J279" s="24">
        <v>0</v>
      </c>
      <c r="K279" s="24">
        <f t="shared" si="58"/>
        <v>91.206248000000002</v>
      </c>
      <c r="L279" s="25">
        <v>3</v>
      </c>
      <c r="M279" s="25">
        <v>42</v>
      </c>
      <c r="N279" s="26">
        <f t="shared" si="66"/>
        <v>3.7</v>
      </c>
      <c r="O279" s="24">
        <f t="shared" si="59"/>
        <v>7.8810000000000002</v>
      </c>
      <c r="P279" s="24">
        <f t="shared" si="60"/>
        <v>99.087248000000002</v>
      </c>
      <c r="Q279" s="29">
        <f t="shared" si="61"/>
        <v>99.087248000000002</v>
      </c>
      <c r="R279" s="30">
        <f>COUNTIF(RAW_DATA[[#This Row],[CONVERTED]],"&gt;0")</f>
        <v>1</v>
      </c>
      <c r="S279" s="30">
        <f>COUNTIFS(RAW_DATA[[#This Row],[AM/PM]],"AM",RAW_DATA[[#This Row],[CONVERTED]],"&gt;0")</f>
        <v>0</v>
      </c>
      <c r="T279" s="19">
        <f t="shared" si="64"/>
        <v>0</v>
      </c>
      <c r="U279" s="20" t="str">
        <f t="shared" si="62"/>
        <v>SINGLE</v>
      </c>
    </row>
    <row r="280" spans="1:21" x14ac:dyDescent="0.35">
      <c r="A280" s="21">
        <f t="shared" si="65"/>
        <v>45230</v>
      </c>
      <c r="B280" s="22" t="str">
        <f t="shared" si="63"/>
        <v>AM</v>
      </c>
      <c r="C280" s="23" t="str">
        <f t="shared" si="54"/>
        <v>October</v>
      </c>
      <c r="D280" s="13" t="str">
        <f t="shared" si="55"/>
        <v>TUE</v>
      </c>
      <c r="E280" s="24">
        <v>410</v>
      </c>
      <c r="F280" s="24">
        <v>82</v>
      </c>
      <c r="G280" s="24">
        <v>0</v>
      </c>
      <c r="H280" s="24">
        <f t="shared" si="56"/>
        <v>16.399999999999999</v>
      </c>
      <c r="I280" s="24">
        <f t="shared" si="57"/>
        <v>1.3775999999999999</v>
      </c>
      <c r="J280" s="24">
        <v>0</v>
      </c>
      <c r="K280" s="24">
        <f t="shared" si="58"/>
        <v>64.222399999999993</v>
      </c>
      <c r="L280" s="25">
        <v>3</v>
      </c>
      <c r="M280" s="25">
        <v>13</v>
      </c>
      <c r="N280" s="26">
        <f t="shared" si="66"/>
        <v>3.2166666666666668</v>
      </c>
      <c r="O280" s="24">
        <f t="shared" si="59"/>
        <v>6.8514999999999997</v>
      </c>
      <c r="P280" s="24">
        <f t="shared" si="60"/>
        <v>71.073899999999995</v>
      </c>
      <c r="Q280" s="29">
        <f t="shared" si="61"/>
        <v>71.073899999999995</v>
      </c>
      <c r="R280" s="30">
        <f>COUNTIF(RAW_DATA[[#This Row],[CONVERTED]],"&gt;0")</f>
        <v>1</v>
      </c>
      <c r="S280" s="30">
        <f>COUNTIFS(RAW_DATA[[#This Row],[AM/PM]],"AM",RAW_DATA[[#This Row],[CONVERTED]],"&gt;0")</f>
        <v>1</v>
      </c>
      <c r="T280" s="19">
        <f t="shared" si="64"/>
        <v>0</v>
      </c>
      <c r="U280" s="20" t="str">
        <f t="shared" si="62"/>
        <v>DOUBLE</v>
      </c>
    </row>
    <row r="281" spans="1:21" x14ac:dyDescent="0.35">
      <c r="A281" s="21">
        <f t="shared" si="65"/>
        <v>45230</v>
      </c>
      <c r="B281" s="22" t="str">
        <f t="shared" si="63"/>
        <v>PM</v>
      </c>
      <c r="C281" s="23" t="str">
        <f t="shared" si="54"/>
        <v>October</v>
      </c>
      <c r="D281" s="13" t="str">
        <f t="shared" si="55"/>
        <v>TUE</v>
      </c>
      <c r="E281" s="24">
        <v>603</v>
      </c>
      <c r="F281" s="24">
        <v>113.15</v>
      </c>
      <c r="G281" s="24">
        <v>0</v>
      </c>
      <c r="H281" s="24">
        <f t="shared" si="56"/>
        <v>24.12</v>
      </c>
      <c r="I281" s="24">
        <f t="shared" si="57"/>
        <v>1.9009199999999999</v>
      </c>
      <c r="J281" s="24">
        <v>0</v>
      </c>
      <c r="K281" s="24">
        <f t="shared" si="58"/>
        <v>87.129080000000002</v>
      </c>
      <c r="L281" s="25">
        <v>3</v>
      </c>
      <c r="M281" s="25">
        <v>37</v>
      </c>
      <c r="N281" s="26">
        <f t="shared" si="66"/>
        <v>3.6166666666666667</v>
      </c>
      <c r="O281" s="24">
        <f t="shared" si="59"/>
        <v>7.7035</v>
      </c>
      <c r="P281" s="24">
        <f t="shared" si="60"/>
        <v>94.832580000000007</v>
      </c>
      <c r="Q281" s="29">
        <f t="shared" si="61"/>
        <v>94.832580000000007</v>
      </c>
      <c r="R281" s="30">
        <f>COUNTIF(RAW_DATA[[#This Row],[CONVERTED]],"&gt;0")</f>
        <v>1</v>
      </c>
      <c r="S281" s="30">
        <f>COUNTIFS(RAW_DATA[[#This Row],[AM/PM]],"AM",RAW_DATA[[#This Row],[CONVERTED]],"&gt;0")</f>
        <v>0</v>
      </c>
      <c r="T281" s="19">
        <f t="shared" si="64"/>
        <v>1</v>
      </c>
      <c r="U281" s="20" t="str">
        <f t="shared" si="62"/>
        <v>DOUBLE</v>
      </c>
    </row>
    <row r="282" spans="1:21" x14ac:dyDescent="0.35">
      <c r="A282" s="21">
        <f t="shared" si="65"/>
        <v>45231</v>
      </c>
      <c r="B282" s="22" t="str">
        <f t="shared" si="63"/>
        <v>AM</v>
      </c>
      <c r="C282" s="23" t="str">
        <f t="shared" si="54"/>
        <v>November</v>
      </c>
      <c r="D282" s="13" t="str">
        <f t="shared" si="55"/>
        <v>WED</v>
      </c>
      <c r="E282" s="24">
        <v>0</v>
      </c>
      <c r="F282" s="24">
        <v>0</v>
      </c>
      <c r="G282" s="24">
        <v>0</v>
      </c>
      <c r="H282" s="24">
        <f t="shared" si="56"/>
        <v>0</v>
      </c>
      <c r="I282" s="24">
        <f t="shared" si="57"/>
        <v>0</v>
      </c>
      <c r="J282" s="24">
        <v>0</v>
      </c>
      <c r="K282" s="24">
        <f t="shared" si="58"/>
        <v>0</v>
      </c>
      <c r="L282" s="25">
        <v>0</v>
      </c>
      <c r="M282" s="25">
        <v>0</v>
      </c>
      <c r="N282" s="26">
        <f t="shared" si="66"/>
        <v>0</v>
      </c>
      <c r="O282" s="24">
        <f t="shared" si="59"/>
        <v>0</v>
      </c>
      <c r="P282" s="24">
        <f t="shared" si="60"/>
        <v>0</v>
      </c>
      <c r="Q282" s="29">
        <f t="shared" si="61"/>
        <v>0</v>
      </c>
      <c r="R282" s="30">
        <f>COUNTIF(RAW_DATA[[#This Row],[CONVERTED]],"&gt;0")</f>
        <v>0</v>
      </c>
      <c r="S282" s="30">
        <f>COUNTIFS(RAW_DATA[[#This Row],[AM/PM]],"AM",RAW_DATA[[#This Row],[CONVERTED]],"&gt;0")</f>
        <v>0</v>
      </c>
      <c r="T282" s="19">
        <f t="shared" si="64"/>
        <v>0</v>
      </c>
      <c r="U282" s="20" t="str">
        <f t="shared" si="62"/>
        <v>SINGLE</v>
      </c>
    </row>
    <row r="283" spans="1:21" x14ac:dyDescent="0.35">
      <c r="A283" s="21">
        <f t="shared" si="65"/>
        <v>45231</v>
      </c>
      <c r="B283" s="22" t="str">
        <f t="shared" si="63"/>
        <v>PM</v>
      </c>
      <c r="C283" s="23" t="str">
        <f t="shared" si="54"/>
        <v>November</v>
      </c>
      <c r="D283" s="13" t="str">
        <f t="shared" si="55"/>
        <v>WED</v>
      </c>
      <c r="E283" s="24">
        <v>0</v>
      </c>
      <c r="F283" s="24">
        <v>0</v>
      </c>
      <c r="G283" s="24">
        <v>0</v>
      </c>
      <c r="H283" s="24">
        <f t="shared" si="56"/>
        <v>0</v>
      </c>
      <c r="I283" s="24">
        <f t="shared" si="57"/>
        <v>0</v>
      </c>
      <c r="J283" s="24">
        <v>0</v>
      </c>
      <c r="K283" s="24">
        <f t="shared" si="58"/>
        <v>0</v>
      </c>
      <c r="L283" s="25">
        <v>0</v>
      </c>
      <c r="M283" s="25">
        <v>0</v>
      </c>
      <c r="N283" s="26">
        <f t="shared" si="66"/>
        <v>0</v>
      </c>
      <c r="O283" s="24">
        <f t="shared" si="59"/>
        <v>0</v>
      </c>
      <c r="P283" s="24">
        <f t="shared" si="60"/>
        <v>0</v>
      </c>
      <c r="Q283" s="29">
        <f t="shared" si="61"/>
        <v>0</v>
      </c>
      <c r="R283" s="30">
        <f>COUNTIF(RAW_DATA[[#This Row],[CONVERTED]],"&gt;0")</f>
        <v>0</v>
      </c>
      <c r="S283" s="30">
        <f>COUNTIFS(RAW_DATA[[#This Row],[AM/PM]],"AM",RAW_DATA[[#This Row],[CONVERTED]],"&gt;0")</f>
        <v>0</v>
      </c>
      <c r="T283" s="19">
        <f t="shared" si="64"/>
        <v>0</v>
      </c>
      <c r="U283" s="20" t="str">
        <f t="shared" si="62"/>
        <v>SINGLE</v>
      </c>
    </row>
    <row r="284" spans="1:21" x14ac:dyDescent="0.35">
      <c r="A284" s="21">
        <f t="shared" si="65"/>
        <v>45232</v>
      </c>
      <c r="B284" s="22" t="str">
        <f t="shared" si="63"/>
        <v>AM</v>
      </c>
      <c r="C284" s="23" t="str">
        <f t="shared" si="54"/>
        <v>November</v>
      </c>
      <c r="D284" s="13" t="str">
        <f t="shared" si="55"/>
        <v>THU</v>
      </c>
      <c r="E284" s="24">
        <v>0</v>
      </c>
      <c r="F284" s="24">
        <v>0</v>
      </c>
      <c r="G284" s="24">
        <v>0</v>
      </c>
      <c r="H284" s="24">
        <f t="shared" si="56"/>
        <v>0</v>
      </c>
      <c r="I284" s="24">
        <f t="shared" si="57"/>
        <v>0</v>
      </c>
      <c r="J284" s="24">
        <v>0</v>
      </c>
      <c r="K284" s="24">
        <f t="shared" si="58"/>
        <v>0</v>
      </c>
      <c r="L284" s="25">
        <v>0</v>
      </c>
      <c r="M284" s="25">
        <v>0</v>
      </c>
      <c r="N284" s="26">
        <f t="shared" si="66"/>
        <v>0</v>
      </c>
      <c r="O284" s="24">
        <f t="shared" si="59"/>
        <v>0</v>
      </c>
      <c r="P284" s="24">
        <f t="shared" si="60"/>
        <v>0</v>
      </c>
      <c r="Q284" s="29">
        <f t="shared" si="61"/>
        <v>0</v>
      </c>
      <c r="R284" s="30">
        <f>COUNTIF(RAW_DATA[[#This Row],[CONVERTED]],"&gt;0")</f>
        <v>0</v>
      </c>
      <c r="S284" s="30">
        <f>COUNTIFS(RAW_DATA[[#This Row],[AM/PM]],"AM",RAW_DATA[[#This Row],[CONVERTED]],"&gt;0")</f>
        <v>0</v>
      </c>
      <c r="T284" s="19">
        <f t="shared" si="64"/>
        <v>0</v>
      </c>
      <c r="U284" s="20" t="str">
        <f t="shared" si="62"/>
        <v>SINGLE</v>
      </c>
    </row>
    <row r="285" spans="1:21" x14ac:dyDescent="0.35">
      <c r="A285" s="21">
        <f t="shared" si="65"/>
        <v>45232</v>
      </c>
      <c r="B285" s="22" t="str">
        <f t="shared" si="63"/>
        <v>PM</v>
      </c>
      <c r="C285" s="23" t="str">
        <f t="shared" si="54"/>
        <v>November</v>
      </c>
      <c r="D285" s="13" t="str">
        <f t="shared" si="55"/>
        <v>THU</v>
      </c>
      <c r="E285" s="24">
        <v>0</v>
      </c>
      <c r="F285" s="24">
        <v>0</v>
      </c>
      <c r="G285" s="24">
        <v>0</v>
      </c>
      <c r="H285" s="24">
        <f t="shared" si="56"/>
        <v>0</v>
      </c>
      <c r="I285" s="24">
        <f t="shared" si="57"/>
        <v>0</v>
      </c>
      <c r="J285" s="24">
        <v>0</v>
      </c>
      <c r="K285" s="24">
        <f t="shared" si="58"/>
        <v>0</v>
      </c>
      <c r="L285" s="25">
        <v>0</v>
      </c>
      <c r="M285" s="25">
        <v>0</v>
      </c>
      <c r="N285" s="26">
        <f t="shared" si="66"/>
        <v>0</v>
      </c>
      <c r="O285" s="24">
        <f t="shared" si="59"/>
        <v>0</v>
      </c>
      <c r="P285" s="24">
        <f t="shared" si="60"/>
        <v>0</v>
      </c>
      <c r="Q285" s="29">
        <f t="shared" si="61"/>
        <v>0</v>
      </c>
      <c r="R285" s="30">
        <f>COUNTIF(RAW_DATA[[#This Row],[CONVERTED]],"&gt;0")</f>
        <v>0</v>
      </c>
      <c r="S285" s="30">
        <f>COUNTIFS(RAW_DATA[[#This Row],[AM/PM]],"AM",RAW_DATA[[#This Row],[CONVERTED]],"&gt;0")</f>
        <v>0</v>
      </c>
      <c r="T285" s="19">
        <f t="shared" si="64"/>
        <v>0</v>
      </c>
      <c r="U285" s="20" t="str">
        <f t="shared" si="62"/>
        <v>SINGLE</v>
      </c>
    </row>
    <row r="286" spans="1:21" x14ac:dyDescent="0.35">
      <c r="A286" s="21">
        <f t="shared" si="65"/>
        <v>45233</v>
      </c>
      <c r="B286" s="22" t="str">
        <f t="shared" si="63"/>
        <v>AM</v>
      </c>
      <c r="C286" s="23" t="str">
        <f t="shared" si="54"/>
        <v>November</v>
      </c>
      <c r="D286" s="13" t="str">
        <f t="shared" si="55"/>
        <v>FRI</v>
      </c>
      <c r="E286" s="24">
        <v>0</v>
      </c>
      <c r="F286" s="24">
        <v>0</v>
      </c>
      <c r="G286" s="24">
        <v>0</v>
      </c>
      <c r="H286" s="24">
        <f t="shared" si="56"/>
        <v>0</v>
      </c>
      <c r="I286" s="24">
        <f t="shared" si="57"/>
        <v>0</v>
      </c>
      <c r="J286" s="24">
        <v>0</v>
      </c>
      <c r="K286" s="24">
        <f t="shared" si="58"/>
        <v>0</v>
      </c>
      <c r="L286" s="25">
        <v>0</v>
      </c>
      <c r="M286" s="25">
        <v>0</v>
      </c>
      <c r="N286" s="26">
        <f t="shared" si="66"/>
        <v>0</v>
      </c>
      <c r="O286" s="24">
        <f t="shared" si="59"/>
        <v>0</v>
      </c>
      <c r="P286" s="24">
        <f t="shared" si="60"/>
        <v>0</v>
      </c>
      <c r="Q286" s="29">
        <f t="shared" si="61"/>
        <v>0</v>
      </c>
      <c r="R286" s="30">
        <f>COUNTIF(RAW_DATA[[#This Row],[CONVERTED]],"&gt;0")</f>
        <v>0</v>
      </c>
      <c r="S286" s="30">
        <f>COUNTIFS(RAW_DATA[[#This Row],[AM/PM]],"AM",RAW_DATA[[#This Row],[CONVERTED]],"&gt;0")</f>
        <v>0</v>
      </c>
      <c r="T286" s="19">
        <f t="shared" si="64"/>
        <v>0</v>
      </c>
      <c r="U286" s="20" t="str">
        <f t="shared" si="62"/>
        <v>SINGLE</v>
      </c>
    </row>
    <row r="287" spans="1:21" x14ac:dyDescent="0.35">
      <c r="A287" s="21">
        <f t="shared" si="65"/>
        <v>45233</v>
      </c>
      <c r="B287" s="22" t="str">
        <f t="shared" si="63"/>
        <v>PM</v>
      </c>
      <c r="C287" s="23" t="str">
        <f t="shared" si="54"/>
        <v>November</v>
      </c>
      <c r="D287" s="13" t="str">
        <f t="shared" si="55"/>
        <v>FRI</v>
      </c>
      <c r="E287" s="24">
        <v>1618.5</v>
      </c>
      <c r="F287" s="24">
        <v>317.17</v>
      </c>
      <c r="G287" s="24">
        <v>71</v>
      </c>
      <c r="H287" s="24">
        <f t="shared" si="56"/>
        <v>64.739999999999995</v>
      </c>
      <c r="I287" s="24">
        <f t="shared" si="57"/>
        <v>5.3284560000000001</v>
      </c>
      <c r="J287" s="24">
        <v>0</v>
      </c>
      <c r="K287" s="24">
        <f t="shared" si="58"/>
        <v>247.10154400000002</v>
      </c>
      <c r="L287" s="25">
        <v>7</v>
      </c>
      <c r="M287" s="25">
        <v>5</v>
      </c>
      <c r="N287" s="26">
        <f t="shared" si="66"/>
        <v>7.083333333333333</v>
      </c>
      <c r="O287" s="24">
        <f t="shared" si="59"/>
        <v>15.087499999999999</v>
      </c>
      <c r="P287" s="24">
        <f t="shared" si="60"/>
        <v>262.18904400000002</v>
      </c>
      <c r="Q287" s="29">
        <f t="shared" si="61"/>
        <v>333.18904399999997</v>
      </c>
      <c r="R287" s="30">
        <f>COUNTIF(RAW_DATA[[#This Row],[CONVERTED]],"&gt;0")</f>
        <v>1</v>
      </c>
      <c r="S287" s="30">
        <f>COUNTIFS(RAW_DATA[[#This Row],[AM/PM]],"AM",RAW_DATA[[#This Row],[CONVERTED]],"&gt;0")</f>
        <v>0</v>
      </c>
      <c r="T287" s="19">
        <f t="shared" si="64"/>
        <v>0</v>
      </c>
      <c r="U287" s="20" t="str">
        <f t="shared" si="62"/>
        <v>SINGLE</v>
      </c>
    </row>
    <row r="288" spans="1:21" x14ac:dyDescent="0.35">
      <c r="A288" s="21">
        <f t="shared" si="65"/>
        <v>45234</v>
      </c>
      <c r="B288" s="22" t="str">
        <f t="shared" si="63"/>
        <v>AM</v>
      </c>
      <c r="C288" s="23" t="str">
        <f t="shared" si="54"/>
        <v>November</v>
      </c>
      <c r="D288" s="13" t="str">
        <f t="shared" si="55"/>
        <v>SAT</v>
      </c>
      <c r="E288" s="24">
        <v>0</v>
      </c>
      <c r="F288" s="24">
        <v>0</v>
      </c>
      <c r="G288" s="24">
        <v>0</v>
      </c>
      <c r="H288" s="24">
        <f t="shared" si="56"/>
        <v>0</v>
      </c>
      <c r="I288" s="24">
        <f t="shared" si="57"/>
        <v>0</v>
      </c>
      <c r="J288" s="24">
        <v>0</v>
      </c>
      <c r="K288" s="24">
        <f t="shared" si="58"/>
        <v>0</v>
      </c>
      <c r="L288" s="25">
        <v>0</v>
      </c>
      <c r="M288" s="25">
        <v>0</v>
      </c>
      <c r="N288" s="26">
        <f t="shared" si="66"/>
        <v>0</v>
      </c>
      <c r="O288" s="24">
        <f t="shared" si="59"/>
        <v>0</v>
      </c>
      <c r="P288" s="24">
        <f t="shared" si="60"/>
        <v>0</v>
      </c>
      <c r="Q288" s="29">
        <f t="shared" si="61"/>
        <v>0</v>
      </c>
      <c r="R288" s="30">
        <f>COUNTIF(RAW_DATA[[#This Row],[CONVERTED]],"&gt;0")</f>
        <v>0</v>
      </c>
      <c r="S288" s="30">
        <f>COUNTIFS(RAW_DATA[[#This Row],[AM/PM]],"AM",RAW_DATA[[#This Row],[CONVERTED]],"&gt;0")</f>
        <v>0</v>
      </c>
      <c r="T288" s="19">
        <f t="shared" si="64"/>
        <v>0</v>
      </c>
      <c r="U288" s="20" t="str">
        <f t="shared" si="62"/>
        <v>SINGLE</v>
      </c>
    </row>
    <row r="289" spans="1:21" x14ac:dyDescent="0.35">
      <c r="A289" s="21">
        <f t="shared" si="65"/>
        <v>45234</v>
      </c>
      <c r="B289" s="22" t="str">
        <f t="shared" si="63"/>
        <v>PM</v>
      </c>
      <c r="C289" s="23" t="str">
        <f t="shared" si="54"/>
        <v>November</v>
      </c>
      <c r="D289" s="13" t="str">
        <f t="shared" si="55"/>
        <v>SAT</v>
      </c>
      <c r="E289" s="24">
        <v>1228.5</v>
      </c>
      <c r="F289" s="24">
        <v>196.16</v>
      </c>
      <c r="G289" s="24">
        <v>36</v>
      </c>
      <c r="H289" s="24">
        <f t="shared" si="56"/>
        <v>49.14</v>
      </c>
      <c r="I289" s="24">
        <f t="shared" si="57"/>
        <v>3.2954879999999998</v>
      </c>
      <c r="J289" s="24">
        <v>14</v>
      </c>
      <c r="K289" s="24">
        <f t="shared" si="58"/>
        <v>143.724512</v>
      </c>
      <c r="L289" s="25">
        <v>6</v>
      </c>
      <c r="M289" s="25">
        <v>51</v>
      </c>
      <c r="N289" s="26">
        <f t="shared" si="66"/>
        <v>6.85</v>
      </c>
      <c r="O289" s="24">
        <f t="shared" si="59"/>
        <v>14.590499999999999</v>
      </c>
      <c r="P289" s="24">
        <f t="shared" si="60"/>
        <v>172.315012</v>
      </c>
      <c r="Q289" s="29">
        <f t="shared" si="61"/>
        <v>194.315012</v>
      </c>
      <c r="R289" s="30">
        <f>COUNTIF(RAW_DATA[[#This Row],[CONVERTED]],"&gt;0")</f>
        <v>1</v>
      </c>
      <c r="S289" s="30">
        <f>COUNTIFS(RAW_DATA[[#This Row],[AM/PM]],"AM",RAW_DATA[[#This Row],[CONVERTED]],"&gt;0")</f>
        <v>0</v>
      </c>
      <c r="T289" s="19">
        <f t="shared" si="64"/>
        <v>0</v>
      </c>
      <c r="U289" s="20" t="str">
        <f t="shared" si="62"/>
        <v>SINGLE</v>
      </c>
    </row>
    <row r="290" spans="1:21" x14ac:dyDescent="0.35">
      <c r="A290" s="21">
        <f t="shared" si="65"/>
        <v>45235</v>
      </c>
      <c r="B290" s="22" t="str">
        <f t="shared" si="63"/>
        <v>AM</v>
      </c>
      <c r="C290" s="23" t="str">
        <f t="shared" si="54"/>
        <v>November</v>
      </c>
      <c r="D290" s="13" t="str">
        <f t="shared" si="55"/>
        <v>SUN</v>
      </c>
      <c r="E290" s="24">
        <v>0</v>
      </c>
      <c r="F290" s="24">
        <v>0</v>
      </c>
      <c r="G290" s="24">
        <v>0</v>
      </c>
      <c r="H290" s="24">
        <f t="shared" si="56"/>
        <v>0</v>
      </c>
      <c r="I290" s="24">
        <f t="shared" si="57"/>
        <v>0</v>
      </c>
      <c r="J290" s="24">
        <v>0</v>
      </c>
      <c r="K290" s="24">
        <f t="shared" si="58"/>
        <v>0</v>
      </c>
      <c r="L290" s="25">
        <v>0</v>
      </c>
      <c r="M290" s="25">
        <v>0</v>
      </c>
      <c r="N290" s="26">
        <f t="shared" si="66"/>
        <v>0</v>
      </c>
      <c r="O290" s="24">
        <f t="shared" si="59"/>
        <v>0</v>
      </c>
      <c r="P290" s="24">
        <f t="shared" si="60"/>
        <v>0</v>
      </c>
      <c r="Q290" s="29">
        <f t="shared" si="61"/>
        <v>0</v>
      </c>
      <c r="R290" s="30">
        <f>COUNTIF(RAW_DATA[[#This Row],[CONVERTED]],"&gt;0")</f>
        <v>0</v>
      </c>
      <c r="S290" s="30">
        <f>COUNTIFS(RAW_DATA[[#This Row],[AM/PM]],"AM",RAW_DATA[[#This Row],[CONVERTED]],"&gt;0")</f>
        <v>0</v>
      </c>
      <c r="T290" s="19">
        <f t="shared" si="64"/>
        <v>0</v>
      </c>
      <c r="U290" s="20" t="str">
        <f t="shared" si="62"/>
        <v>SINGLE</v>
      </c>
    </row>
    <row r="291" spans="1:21" x14ac:dyDescent="0.35">
      <c r="A291" s="21">
        <f t="shared" si="65"/>
        <v>45235</v>
      </c>
      <c r="B291" s="22" t="str">
        <f t="shared" si="63"/>
        <v>PM</v>
      </c>
      <c r="C291" s="23" t="str">
        <f t="shared" si="54"/>
        <v>November</v>
      </c>
      <c r="D291" s="13" t="str">
        <f t="shared" si="55"/>
        <v>SUN</v>
      </c>
      <c r="E291" s="24">
        <v>0</v>
      </c>
      <c r="F291" s="24">
        <v>0</v>
      </c>
      <c r="G291" s="24">
        <v>0</v>
      </c>
      <c r="H291" s="24">
        <f t="shared" si="56"/>
        <v>0</v>
      </c>
      <c r="I291" s="24">
        <f t="shared" si="57"/>
        <v>0</v>
      </c>
      <c r="J291" s="24">
        <v>0</v>
      </c>
      <c r="K291" s="24">
        <f t="shared" si="58"/>
        <v>0</v>
      </c>
      <c r="L291" s="25">
        <v>0</v>
      </c>
      <c r="M291" s="25">
        <v>0</v>
      </c>
      <c r="N291" s="26">
        <f t="shared" si="66"/>
        <v>0</v>
      </c>
      <c r="O291" s="24">
        <f t="shared" si="59"/>
        <v>0</v>
      </c>
      <c r="P291" s="24">
        <f t="shared" si="60"/>
        <v>0</v>
      </c>
      <c r="Q291" s="29">
        <f t="shared" si="61"/>
        <v>0</v>
      </c>
      <c r="R291" s="30">
        <f>COUNTIF(RAW_DATA[[#This Row],[CONVERTED]],"&gt;0")</f>
        <v>0</v>
      </c>
      <c r="S291" s="30">
        <f>COUNTIFS(RAW_DATA[[#This Row],[AM/PM]],"AM",RAW_DATA[[#This Row],[CONVERTED]],"&gt;0")</f>
        <v>0</v>
      </c>
      <c r="T291" s="19">
        <f t="shared" si="64"/>
        <v>0</v>
      </c>
      <c r="U291" s="20" t="str">
        <f t="shared" si="62"/>
        <v>SINGLE</v>
      </c>
    </row>
    <row r="292" spans="1:21" x14ac:dyDescent="0.35">
      <c r="A292" s="21">
        <f t="shared" si="65"/>
        <v>45236</v>
      </c>
      <c r="B292" s="22" t="str">
        <f t="shared" si="63"/>
        <v>AM</v>
      </c>
      <c r="C292" s="23" t="str">
        <f t="shared" si="54"/>
        <v>November</v>
      </c>
      <c r="D292" s="13" t="str">
        <f t="shared" si="55"/>
        <v>MON</v>
      </c>
      <c r="E292" s="24">
        <v>0</v>
      </c>
      <c r="F292" s="24">
        <v>0</v>
      </c>
      <c r="G292" s="24">
        <v>0</v>
      </c>
      <c r="H292" s="24">
        <f t="shared" si="56"/>
        <v>0</v>
      </c>
      <c r="I292" s="24">
        <f t="shared" si="57"/>
        <v>0</v>
      </c>
      <c r="J292" s="24">
        <v>0</v>
      </c>
      <c r="K292" s="24">
        <f t="shared" si="58"/>
        <v>0</v>
      </c>
      <c r="L292" s="25">
        <v>0</v>
      </c>
      <c r="M292" s="25">
        <v>0</v>
      </c>
      <c r="N292" s="26">
        <f t="shared" si="66"/>
        <v>0</v>
      </c>
      <c r="O292" s="24">
        <f t="shared" si="59"/>
        <v>0</v>
      </c>
      <c r="P292" s="24">
        <f t="shared" si="60"/>
        <v>0</v>
      </c>
      <c r="Q292" s="29">
        <f t="shared" si="61"/>
        <v>0</v>
      </c>
      <c r="R292" s="30">
        <f>COUNTIF(RAW_DATA[[#This Row],[CONVERTED]],"&gt;0")</f>
        <v>0</v>
      </c>
      <c r="S292" s="30">
        <f>COUNTIFS(RAW_DATA[[#This Row],[AM/PM]],"AM",RAW_DATA[[#This Row],[CONVERTED]],"&gt;0")</f>
        <v>0</v>
      </c>
      <c r="T292" s="19">
        <f t="shared" si="64"/>
        <v>0</v>
      </c>
      <c r="U292" s="20" t="str">
        <f t="shared" si="62"/>
        <v>SINGLE</v>
      </c>
    </row>
    <row r="293" spans="1:21" x14ac:dyDescent="0.35">
      <c r="A293" s="21">
        <f t="shared" si="65"/>
        <v>45236</v>
      </c>
      <c r="B293" s="22" t="str">
        <f t="shared" si="63"/>
        <v>PM</v>
      </c>
      <c r="C293" s="23" t="str">
        <f t="shared" si="54"/>
        <v>November</v>
      </c>
      <c r="D293" s="13" t="str">
        <f t="shared" si="55"/>
        <v>MON</v>
      </c>
      <c r="E293" s="24">
        <v>1127.25</v>
      </c>
      <c r="F293" s="24">
        <v>214.92</v>
      </c>
      <c r="G293" s="24">
        <v>14</v>
      </c>
      <c r="H293" s="24">
        <f t="shared" si="56"/>
        <v>45.09</v>
      </c>
      <c r="I293" s="24">
        <f t="shared" si="57"/>
        <v>3.6106559999999996</v>
      </c>
      <c r="J293" s="24">
        <v>4.95</v>
      </c>
      <c r="K293" s="24">
        <f t="shared" si="58"/>
        <v>166.21934399999998</v>
      </c>
      <c r="L293" s="25">
        <v>6</v>
      </c>
      <c r="M293" s="25">
        <v>24</v>
      </c>
      <c r="N293" s="26">
        <f t="shared" si="66"/>
        <v>6.4</v>
      </c>
      <c r="O293" s="24">
        <f t="shared" si="59"/>
        <v>13.632</v>
      </c>
      <c r="P293" s="24">
        <f t="shared" si="60"/>
        <v>184.80134399999997</v>
      </c>
      <c r="Q293" s="29">
        <f t="shared" si="61"/>
        <v>193.85134399999998</v>
      </c>
      <c r="R293" s="30">
        <f>COUNTIF(RAW_DATA[[#This Row],[CONVERTED]],"&gt;0")</f>
        <v>1</v>
      </c>
      <c r="S293" s="30">
        <f>COUNTIFS(RAW_DATA[[#This Row],[AM/PM]],"AM",RAW_DATA[[#This Row],[CONVERTED]],"&gt;0")</f>
        <v>0</v>
      </c>
      <c r="T293" s="19">
        <f t="shared" si="64"/>
        <v>0</v>
      </c>
      <c r="U293" s="20" t="str">
        <f t="shared" si="62"/>
        <v>SINGLE</v>
      </c>
    </row>
    <row r="294" spans="1:21" x14ac:dyDescent="0.35">
      <c r="A294" s="21">
        <f t="shared" si="65"/>
        <v>45237</v>
      </c>
      <c r="B294" s="22" t="str">
        <f t="shared" si="63"/>
        <v>AM</v>
      </c>
      <c r="C294" s="23" t="str">
        <f t="shared" si="54"/>
        <v>November</v>
      </c>
      <c r="D294" s="13" t="str">
        <f t="shared" si="55"/>
        <v>TUE</v>
      </c>
      <c r="E294" s="24">
        <v>591.5</v>
      </c>
      <c r="F294" s="24">
        <v>117.27</v>
      </c>
      <c r="G294" s="24">
        <v>0</v>
      </c>
      <c r="H294" s="24">
        <f t="shared" si="56"/>
        <v>23.66</v>
      </c>
      <c r="I294" s="24">
        <f t="shared" si="57"/>
        <v>1.9701359999999999</v>
      </c>
      <c r="J294" s="24">
        <v>0</v>
      </c>
      <c r="K294" s="24">
        <f t="shared" si="58"/>
        <v>91.639863999999989</v>
      </c>
      <c r="L294" s="25">
        <v>3</v>
      </c>
      <c r="M294" s="25">
        <v>3</v>
      </c>
      <c r="N294" s="26">
        <f t="shared" si="66"/>
        <v>3.05</v>
      </c>
      <c r="O294" s="24">
        <f t="shared" si="59"/>
        <v>6.4964999999999993</v>
      </c>
      <c r="P294" s="24">
        <f t="shared" si="60"/>
        <v>98.136363999999986</v>
      </c>
      <c r="Q294" s="29">
        <f t="shared" si="61"/>
        <v>98.136363999999986</v>
      </c>
      <c r="R294" s="30">
        <f>COUNTIF(RAW_DATA[[#This Row],[CONVERTED]],"&gt;0")</f>
        <v>1</v>
      </c>
      <c r="S294" s="30">
        <f>COUNTIFS(RAW_DATA[[#This Row],[AM/PM]],"AM",RAW_DATA[[#This Row],[CONVERTED]],"&gt;0")</f>
        <v>1</v>
      </c>
      <c r="T294" s="19">
        <f t="shared" si="64"/>
        <v>0</v>
      </c>
      <c r="U294" s="20" t="str">
        <f t="shared" si="62"/>
        <v>DOUBLE</v>
      </c>
    </row>
    <row r="295" spans="1:21" x14ac:dyDescent="0.35">
      <c r="A295" s="21">
        <f t="shared" si="65"/>
        <v>45237</v>
      </c>
      <c r="B295" s="22" t="str">
        <f t="shared" si="63"/>
        <v>PM</v>
      </c>
      <c r="C295" s="23" t="str">
        <f t="shared" si="54"/>
        <v>November</v>
      </c>
      <c r="D295" s="13" t="str">
        <f t="shared" si="55"/>
        <v>TUE</v>
      </c>
      <c r="E295" s="24">
        <v>947.5</v>
      </c>
      <c r="F295" s="24">
        <v>148.53</v>
      </c>
      <c r="G295" s="24">
        <v>58</v>
      </c>
      <c r="H295" s="24">
        <f t="shared" si="56"/>
        <v>37.9</v>
      </c>
      <c r="I295" s="24">
        <f t="shared" si="57"/>
        <v>2.495304</v>
      </c>
      <c r="J295" s="24">
        <v>18</v>
      </c>
      <c r="K295" s="24">
        <f t="shared" si="58"/>
        <v>108.13469600000001</v>
      </c>
      <c r="L295" s="25">
        <v>5</v>
      </c>
      <c r="M295" s="25">
        <v>2</v>
      </c>
      <c r="N295" s="26">
        <f t="shared" si="66"/>
        <v>5.0333333333333332</v>
      </c>
      <c r="O295" s="24">
        <f t="shared" si="59"/>
        <v>10.721</v>
      </c>
      <c r="P295" s="24">
        <f t="shared" si="60"/>
        <v>136.85569599999999</v>
      </c>
      <c r="Q295" s="29">
        <f t="shared" si="61"/>
        <v>176.85569600000002</v>
      </c>
      <c r="R295" s="30">
        <f>COUNTIF(RAW_DATA[[#This Row],[CONVERTED]],"&gt;0")</f>
        <v>1</v>
      </c>
      <c r="S295" s="30">
        <f>COUNTIFS(RAW_DATA[[#This Row],[AM/PM]],"AM",RAW_DATA[[#This Row],[CONVERTED]],"&gt;0")</f>
        <v>0</v>
      </c>
      <c r="T295" s="19">
        <f t="shared" si="64"/>
        <v>1</v>
      </c>
      <c r="U295" s="20" t="str">
        <f t="shared" si="62"/>
        <v>DOUBLE</v>
      </c>
    </row>
    <row r="296" spans="1:21" x14ac:dyDescent="0.35">
      <c r="A296" s="21">
        <f t="shared" si="65"/>
        <v>45238</v>
      </c>
      <c r="B296" s="22" t="str">
        <f t="shared" si="63"/>
        <v>AM</v>
      </c>
      <c r="C296" s="23" t="str">
        <f t="shared" si="54"/>
        <v>November</v>
      </c>
      <c r="D296" s="13" t="str">
        <f t="shared" si="55"/>
        <v>WED</v>
      </c>
      <c r="E296" s="24">
        <v>0</v>
      </c>
      <c r="F296" s="24">
        <v>0</v>
      </c>
      <c r="G296" s="24">
        <v>0</v>
      </c>
      <c r="H296" s="24">
        <f t="shared" si="56"/>
        <v>0</v>
      </c>
      <c r="I296" s="24">
        <f t="shared" si="57"/>
        <v>0</v>
      </c>
      <c r="J296" s="24">
        <v>0</v>
      </c>
      <c r="K296" s="24">
        <f t="shared" si="58"/>
        <v>0</v>
      </c>
      <c r="L296" s="25">
        <v>0</v>
      </c>
      <c r="M296" s="25">
        <v>0</v>
      </c>
      <c r="N296" s="26">
        <f t="shared" si="66"/>
        <v>0</v>
      </c>
      <c r="O296" s="24">
        <f t="shared" si="59"/>
        <v>0</v>
      </c>
      <c r="P296" s="24">
        <f t="shared" si="60"/>
        <v>0</v>
      </c>
      <c r="Q296" s="29">
        <f t="shared" si="61"/>
        <v>0</v>
      </c>
      <c r="R296" s="30">
        <f>COUNTIF(RAW_DATA[[#This Row],[CONVERTED]],"&gt;0")</f>
        <v>0</v>
      </c>
      <c r="S296" s="30">
        <f>COUNTIFS(RAW_DATA[[#This Row],[AM/PM]],"AM",RAW_DATA[[#This Row],[CONVERTED]],"&gt;0")</f>
        <v>0</v>
      </c>
      <c r="T296" s="19">
        <f t="shared" si="64"/>
        <v>0</v>
      </c>
      <c r="U296" s="20" t="str">
        <f t="shared" si="62"/>
        <v>SINGLE</v>
      </c>
    </row>
    <row r="297" spans="1:21" x14ac:dyDescent="0.35">
      <c r="A297" s="21">
        <f t="shared" si="65"/>
        <v>45238</v>
      </c>
      <c r="B297" s="22" t="str">
        <f t="shared" si="63"/>
        <v>PM</v>
      </c>
      <c r="C297" s="23" t="str">
        <f t="shared" si="54"/>
        <v>November</v>
      </c>
      <c r="D297" s="13" t="str">
        <f t="shared" si="55"/>
        <v>WED</v>
      </c>
      <c r="E297" s="24">
        <v>0</v>
      </c>
      <c r="F297" s="24">
        <v>0</v>
      </c>
      <c r="G297" s="24">
        <v>0</v>
      </c>
      <c r="H297" s="24">
        <f t="shared" si="56"/>
        <v>0</v>
      </c>
      <c r="I297" s="24">
        <f t="shared" si="57"/>
        <v>0</v>
      </c>
      <c r="J297" s="24">
        <v>0</v>
      </c>
      <c r="K297" s="24">
        <f t="shared" si="58"/>
        <v>0</v>
      </c>
      <c r="L297" s="25">
        <v>0</v>
      </c>
      <c r="M297" s="25">
        <v>0</v>
      </c>
      <c r="N297" s="26">
        <f t="shared" si="66"/>
        <v>0</v>
      </c>
      <c r="O297" s="24">
        <f t="shared" si="59"/>
        <v>0</v>
      </c>
      <c r="P297" s="24">
        <f t="shared" si="60"/>
        <v>0</v>
      </c>
      <c r="Q297" s="29">
        <f t="shared" si="61"/>
        <v>0</v>
      </c>
      <c r="R297" s="30">
        <f>COUNTIF(RAW_DATA[[#This Row],[CONVERTED]],"&gt;0")</f>
        <v>0</v>
      </c>
      <c r="S297" s="30">
        <f>COUNTIFS(RAW_DATA[[#This Row],[AM/PM]],"AM",RAW_DATA[[#This Row],[CONVERTED]],"&gt;0")</f>
        <v>0</v>
      </c>
      <c r="T297" s="19">
        <f t="shared" si="64"/>
        <v>0</v>
      </c>
      <c r="U297" s="20" t="str">
        <f t="shared" si="62"/>
        <v>SINGLE</v>
      </c>
    </row>
    <row r="298" spans="1:21" x14ac:dyDescent="0.35">
      <c r="A298" s="21">
        <f t="shared" si="65"/>
        <v>45239</v>
      </c>
      <c r="B298" s="22" t="str">
        <f t="shared" si="63"/>
        <v>AM</v>
      </c>
      <c r="C298" s="23" t="str">
        <f t="shared" si="54"/>
        <v>November</v>
      </c>
      <c r="D298" s="13" t="str">
        <f t="shared" si="55"/>
        <v>THU</v>
      </c>
      <c r="E298" s="24">
        <v>0</v>
      </c>
      <c r="F298" s="24">
        <v>0</v>
      </c>
      <c r="G298" s="24">
        <v>0</v>
      </c>
      <c r="H298" s="24">
        <f t="shared" si="56"/>
        <v>0</v>
      </c>
      <c r="I298" s="24">
        <f t="shared" si="57"/>
        <v>0</v>
      </c>
      <c r="J298" s="24">
        <v>0</v>
      </c>
      <c r="K298" s="24">
        <f t="shared" si="58"/>
        <v>0</v>
      </c>
      <c r="L298" s="25">
        <v>0</v>
      </c>
      <c r="M298" s="25">
        <v>0</v>
      </c>
      <c r="N298" s="26">
        <f t="shared" si="66"/>
        <v>0</v>
      </c>
      <c r="O298" s="24">
        <f t="shared" si="59"/>
        <v>0</v>
      </c>
      <c r="P298" s="24">
        <f t="shared" si="60"/>
        <v>0</v>
      </c>
      <c r="Q298" s="29">
        <f t="shared" si="61"/>
        <v>0</v>
      </c>
      <c r="R298" s="30">
        <f>COUNTIF(RAW_DATA[[#This Row],[CONVERTED]],"&gt;0")</f>
        <v>0</v>
      </c>
      <c r="S298" s="30">
        <f>COUNTIFS(RAW_DATA[[#This Row],[AM/PM]],"AM",RAW_DATA[[#This Row],[CONVERTED]],"&gt;0")</f>
        <v>0</v>
      </c>
      <c r="T298" s="19">
        <f t="shared" si="64"/>
        <v>0</v>
      </c>
      <c r="U298" s="20" t="str">
        <f t="shared" si="62"/>
        <v>SINGLE</v>
      </c>
    </row>
    <row r="299" spans="1:21" x14ac:dyDescent="0.35">
      <c r="A299" s="21">
        <f t="shared" si="65"/>
        <v>45239</v>
      </c>
      <c r="B299" s="22" t="str">
        <f t="shared" si="63"/>
        <v>PM</v>
      </c>
      <c r="C299" s="23" t="str">
        <f t="shared" si="54"/>
        <v>November</v>
      </c>
      <c r="D299" s="13" t="str">
        <f t="shared" si="55"/>
        <v>THU</v>
      </c>
      <c r="E299" s="24">
        <v>0</v>
      </c>
      <c r="F299" s="24">
        <v>0</v>
      </c>
      <c r="G299" s="24">
        <v>0</v>
      </c>
      <c r="H299" s="24">
        <f t="shared" si="56"/>
        <v>0</v>
      </c>
      <c r="I299" s="24">
        <f t="shared" si="57"/>
        <v>0</v>
      </c>
      <c r="J299" s="24">
        <v>0</v>
      </c>
      <c r="K299" s="24">
        <f t="shared" si="58"/>
        <v>0</v>
      </c>
      <c r="L299" s="25">
        <v>0</v>
      </c>
      <c r="M299" s="25">
        <v>0</v>
      </c>
      <c r="N299" s="26">
        <f t="shared" si="66"/>
        <v>0</v>
      </c>
      <c r="O299" s="24">
        <f t="shared" si="59"/>
        <v>0</v>
      </c>
      <c r="P299" s="24">
        <f t="shared" si="60"/>
        <v>0</v>
      </c>
      <c r="Q299" s="29">
        <f t="shared" si="61"/>
        <v>0</v>
      </c>
      <c r="R299" s="30">
        <f>COUNTIF(RAW_DATA[[#This Row],[CONVERTED]],"&gt;0")</f>
        <v>0</v>
      </c>
      <c r="S299" s="30">
        <f>COUNTIFS(RAW_DATA[[#This Row],[AM/PM]],"AM",RAW_DATA[[#This Row],[CONVERTED]],"&gt;0")</f>
        <v>0</v>
      </c>
      <c r="T299" s="19">
        <f t="shared" si="64"/>
        <v>0</v>
      </c>
      <c r="U299" s="20" t="str">
        <f t="shared" si="62"/>
        <v>SINGLE</v>
      </c>
    </row>
    <row r="300" spans="1:21" x14ac:dyDescent="0.35">
      <c r="A300" s="21">
        <f t="shared" si="65"/>
        <v>45240</v>
      </c>
      <c r="B300" s="22" t="str">
        <f t="shared" si="63"/>
        <v>AM</v>
      </c>
      <c r="C300" s="23" t="str">
        <f t="shared" si="54"/>
        <v>November</v>
      </c>
      <c r="D300" s="13" t="str">
        <f t="shared" si="55"/>
        <v>FRI</v>
      </c>
      <c r="E300" s="24">
        <v>0</v>
      </c>
      <c r="F300" s="24">
        <v>0</v>
      </c>
      <c r="G300" s="24">
        <v>0</v>
      </c>
      <c r="H300" s="24">
        <f t="shared" si="56"/>
        <v>0</v>
      </c>
      <c r="I300" s="24">
        <f t="shared" si="57"/>
        <v>0</v>
      </c>
      <c r="J300" s="24">
        <v>0</v>
      </c>
      <c r="K300" s="24">
        <f t="shared" si="58"/>
        <v>0</v>
      </c>
      <c r="L300" s="25">
        <v>0</v>
      </c>
      <c r="M300" s="25">
        <v>0</v>
      </c>
      <c r="N300" s="26">
        <f t="shared" si="66"/>
        <v>0</v>
      </c>
      <c r="O300" s="24">
        <f t="shared" si="59"/>
        <v>0</v>
      </c>
      <c r="P300" s="24">
        <f t="shared" si="60"/>
        <v>0</v>
      </c>
      <c r="Q300" s="29">
        <f t="shared" si="61"/>
        <v>0</v>
      </c>
      <c r="R300" s="30">
        <f>COUNTIF(RAW_DATA[[#This Row],[CONVERTED]],"&gt;0")</f>
        <v>0</v>
      </c>
      <c r="S300" s="30">
        <f>COUNTIFS(RAW_DATA[[#This Row],[AM/PM]],"AM",RAW_DATA[[#This Row],[CONVERTED]],"&gt;0")</f>
        <v>0</v>
      </c>
      <c r="T300" s="19">
        <f t="shared" si="64"/>
        <v>0</v>
      </c>
      <c r="U300" s="20" t="str">
        <f t="shared" si="62"/>
        <v>SINGLE</v>
      </c>
    </row>
    <row r="301" spans="1:21" x14ac:dyDescent="0.35">
      <c r="A301" s="21">
        <f t="shared" si="65"/>
        <v>45240</v>
      </c>
      <c r="B301" s="22" t="str">
        <f t="shared" si="63"/>
        <v>PM</v>
      </c>
      <c r="C301" s="23" t="str">
        <f t="shared" si="54"/>
        <v>November</v>
      </c>
      <c r="D301" s="13" t="str">
        <f t="shared" si="55"/>
        <v>FRI</v>
      </c>
      <c r="E301" s="24">
        <v>1505</v>
      </c>
      <c r="F301" s="24">
        <v>280.58999999999997</v>
      </c>
      <c r="G301" s="24">
        <v>6</v>
      </c>
      <c r="H301" s="24">
        <f t="shared" si="56"/>
        <v>60.2</v>
      </c>
      <c r="I301" s="24">
        <f t="shared" si="57"/>
        <v>4.7139119999999997</v>
      </c>
      <c r="J301" s="24">
        <v>2.5</v>
      </c>
      <c r="K301" s="24">
        <f t="shared" si="58"/>
        <v>215.67608799999999</v>
      </c>
      <c r="L301" s="25">
        <v>6</v>
      </c>
      <c r="M301" s="25">
        <v>46</v>
      </c>
      <c r="N301" s="26">
        <f t="shared" si="66"/>
        <v>6.7666666666666666</v>
      </c>
      <c r="O301" s="24">
        <f t="shared" si="59"/>
        <v>14.412999999999998</v>
      </c>
      <c r="P301" s="24">
        <f t="shared" si="60"/>
        <v>232.589088</v>
      </c>
      <c r="Q301" s="29">
        <f t="shared" si="61"/>
        <v>236.089088</v>
      </c>
      <c r="R301" s="30">
        <f>COUNTIF(RAW_DATA[[#This Row],[CONVERTED]],"&gt;0")</f>
        <v>1</v>
      </c>
      <c r="S301" s="30">
        <f>COUNTIFS(RAW_DATA[[#This Row],[AM/PM]],"AM",RAW_DATA[[#This Row],[CONVERTED]],"&gt;0")</f>
        <v>0</v>
      </c>
      <c r="T301" s="19">
        <f t="shared" si="64"/>
        <v>0</v>
      </c>
      <c r="U301" s="20" t="str">
        <f t="shared" si="62"/>
        <v>SINGLE</v>
      </c>
    </row>
    <row r="302" spans="1:21" x14ac:dyDescent="0.35">
      <c r="A302" s="21">
        <f t="shared" si="65"/>
        <v>45241</v>
      </c>
      <c r="B302" s="22" t="str">
        <f t="shared" si="63"/>
        <v>AM</v>
      </c>
      <c r="C302" s="23" t="str">
        <f t="shared" si="54"/>
        <v>November</v>
      </c>
      <c r="D302" s="13" t="str">
        <f t="shared" si="55"/>
        <v>SAT</v>
      </c>
      <c r="E302" s="24">
        <v>0</v>
      </c>
      <c r="F302" s="24">
        <v>0</v>
      </c>
      <c r="G302" s="24">
        <v>0</v>
      </c>
      <c r="H302" s="24">
        <f t="shared" si="56"/>
        <v>0</v>
      </c>
      <c r="I302" s="24">
        <f t="shared" si="57"/>
        <v>0</v>
      </c>
      <c r="J302" s="24">
        <v>0</v>
      </c>
      <c r="K302" s="24">
        <f t="shared" si="58"/>
        <v>0</v>
      </c>
      <c r="L302" s="25">
        <v>0</v>
      </c>
      <c r="M302" s="25">
        <v>0</v>
      </c>
      <c r="N302" s="26">
        <f t="shared" si="66"/>
        <v>0</v>
      </c>
      <c r="O302" s="24">
        <f t="shared" si="59"/>
        <v>0</v>
      </c>
      <c r="P302" s="24">
        <f t="shared" si="60"/>
        <v>0</v>
      </c>
      <c r="Q302" s="29">
        <f t="shared" si="61"/>
        <v>0</v>
      </c>
      <c r="R302" s="30">
        <f>COUNTIF(RAW_DATA[[#This Row],[CONVERTED]],"&gt;0")</f>
        <v>0</v>
      </c>
      <c r="S302" s="30">
        <f>COUNTIFS(RAW_DATA[[#This Row],[AM/PM]],"AM",RAW_DATA[[#This Row],[CONVERTED]],"&gt;0")</f>
        <v>0</v>
      </c>
      <c r="T302" s="19">
        <f t="shared" si="64"/>
        <v>0</v>
      </c>
      <c r="U302" s="20" t="str">
        <f t="shared" si="62"/>
        <v>SINGLE</v>
      </c>
    </row>
    <row r="303" spans="1:21" x14ac:dyDescent="0.35">
      <c r="A303" s="21">
        <f t="shared" si="65"/>
        <v>45241</v>
      </c>
      <c r="B303" s="22" t="str">
        <f t="shared" si="63"/>
        <v>PM</v>
      </c>
      <c r="C303" s="23" t="str">
        <f t="shared" si="54"/>
        <v>November</v>
      </c>
      <c r="D303" s="13" t="str">
        <f t="shared" si="55"/>
        <v>SAT</v>
      </c>
      <c r="E303" s="24">
        <v>1098</v>
      </c>
      <c r="F303" s="24">
        <v>145.76</v>
      </c>
      <c r="G303" s="24">
        <v>93</v>
      </c>
      <c r="H303" s="24">
        <f t="shared" si="56"/>
        <v>43.92</v>
      </c>
      <c r="I303" s="24">
        <f t="shared" si="57"/>
        <v>2.4487679999999998</v>
      </c>
      <c r="J303" s="24">
        <v>25</v>
      </c>
      <c r="K303" s="24">
        <f t="shared" si="58"/>
        <v>99.391231999999988</v>
      </c>
      <c r="L303" s="25">
        <v>6</v>
      </c>
      <c r="M303" s="25">
        <v>19</v>
      </c>
      <c r="N303" s="26">
        <f t="shared" si="66"/>
        <v>6.3166666666666664</v>
      </c>
      <c r="O303" s="24">
        <f t="shared" si="59"/>
        <v>13.454499999999999</v>
      </c>
      <c r="P303" s="24">
        <f t="shared" si="60"/>
        <v>137.845732</v>
      </c>
      <c r="Q303" s="29">
        <f t="shared" si="61"/>
        <v>205.845732</v>
      </c>
      <c r="R303" s="30">
        <f>COUNTIF(RAW_DATA[[#This Row],[CONVERTED]],"&gt;0")</f>
        <v>1</v>
      </c>
      <c r="S303" s="30">
        <f>COUNTIFS(RAW_DATA[[#This Row],[AM/PM]],"AM",RAW_DATA[[#This Row],[CONVERTED]],"&gt;0")</f>
        <v>0</v>
      </c>
      <c r="T303" s="19">
        <f t="shared" si="64"/>
        <v>0</v>
      </c>
      <c r="U303" s="20" t="str">
        <f t="shared" si="62"/>
        <v>SINGLE</v>
      </c>
    </row>
    <row r="304" spans="1:21" x14ac:dyDescent="0.35">
      <c r="A304" s="21">
        <f t="shared" si="65"/>
        <v>45242</v>
      </c>
      <c r="B304" s="22" t="str">
        <f t="shared" si="63"/>
        <v>AM</v>
      </c>
      <c r="C304" s="23" t="str">
        <f t="shared" si="54"/>
        <v>November</v>
      </c>
      <c r="D304" s="13" t="str">
        <f t="shared" si="55"/>
        <v>SUN</v>
      </c>
      <c r="E304" s="24">
        <v>0</v>
      </c>
      <c r="F304" s="24">
        <v>0</v>
      </c>
      <c r="G304" s="24">
        <v>0</v>
      </c>
      <c r="H304" s="24">
        <f t="shared" si="56"/>
        <v>0</v>
      </c>
      <c r="I304" s="24">
        <f t="shared" si="57"/>
        <v>0</v>
      </c>
      <c r="J304" s="24">
        <v>0</v>
      </c>
      <c r="K304" s="24">
        <f t="shared" si="58"/>
        <v>0</v>
      </c>
      <c r="L304" s="25">
        <v>0</v>
      </c>
      <c r="M304" s="25">
        <v>0</v>
      </c>
      <c r="N304" s="26">
        <f t="shared" si="66"/>
        <v>0</v>
      </c>
      <c r="O304" s="24">
        <f t="shared" si="59"/>
        <v>0</v>
      </c>
      <c r="P304" s="24">
        <f t="shared" si="60"/>
        <v>0</v>
      </c>
      <c r="Q304" s="29">
        <f t="shared" si="61"/>
        <v>0</v>
      </c>
      <c r="R304" s="30">
        <f>COUNTIF(RAW_DATA[[#This Row],[CONVERTED]],"&gt;0")</f>
        <v>0</v>
      </c>
      <c r="S304" s="30">
        <f>COUNTIFS(RAW_DATA[[#This Row],[AM/PM]],"AM",RAW_DATA[[#This Row],[CONVERTED]],"&gt;0")</f>
        <v>0</v>
      </c>
      <c r="T304" s="19">
        <f t="shared" si="64"/>
        <v>0</v>
      </c>
      <c r="U304" s="20" t="str">
        <f t="shared" si="62"/>
        <v>SINGLE</v>
      </c>
    </row>
    <row r="305" spans="1:21" x14ac:dyDescent="0.35">
      <c r="A305" s="21">
        <f t="shared" si="65"/>
        <v>45242</v>
      </c>
      <c r="B305" s="22" t="str">
        <f t="shared" si="63"/>
        <v>PM</v>
      </c>
      <c r="C305" s="23" t="str">
        <f t="shared" si="54"/>
        <v>November</v>
      </c>
      <c r="D305" s="13" t="str">
        <f t="shared" si="55"/>
        <v>SUN</v>
      </c>
      <c r="E305" s="24">
        <v>1284</v>
      </c>
      <c r="F305" s="24">
        <v>251.77</v>
      </c>
      <c r="G305" s="24">
        <v>0</v>
      </c>
      <c r="H305" s="24">
        <f t="shared" si="56"/>
        <v>51.36</v>
      </c>
      <c r="I305" s="24">
        <f t="shared" si="57"/>
        <v>4.2297359999999999</v>
      </c>
      <c r="J305" s="24">
        <v>0</v>
      </c>
      <c r="K305" s="24">
        <f t="shared" si="58"/>
        <v>196.18026400000002</v>
      </c>
      <c r="L305" s="25">
        <v>6</v>
      </c>
      <c r="M305" s="25">
        <f>5+28</f>
        <v>33</v>
      </c>
      <c r="N305" s="26">
        <f t="shared" si="66"/>
        <v>6.55</v>
      </c>
      <c r="O305" s="24">
        <f t="shared" si="59"/>
        <v>13.951499999999999</v>
      </c>
      <c r="P305" s="24">
        <f t="shared" si="60"/>
        <v>210.13176400000003</v>
      </c>
      <c r="Q305" s="29">
        <f t="shared" si="61"/>
        <v>210.13176400000003</v>
      </c>
      <c r="R305" s="30">
        <f>COUNTIF(RAW_DATA[[#This Row],[CONVERTED]],"&gt;0")</f>
        <v>1</v>
      </c>
      <c r="S305" s="30">
        <f>COUNTIFS(RAW_DATA[[#This Row],[AM/PM]],"AM",RAW_DATA[[#This Row],[CONVERTED]],"&gt;0")</f>
        <v>0</v>
      </c>
      <c r="T305" s="19">
        <f t="shared" si="64"/>
        <v>0</v>
      </c>
      <c r="U305" s="20" t="str">
        <f t="shared" si="62"/>
        <v>SINGLE</v>
      </c>
    </row>
    <row r="306" spans="1:21" x14ac:dyDescent="0.35">
      <c r="A306" s="21">
        <f t="shared" si="65"/>
        <v>45243</v>
      </c>
      <c r="B306" s="22" t="str">
        <f t="shared" si="63"/>
        <v>AM</v>
      </c>
      <c r="C306" s="23" t="str">
        <f t="shared" si="54"/>
        <v>November</v>
      </c>
      <c r="D306" s="13" t="str">
        <f t="shared" si="55"/>
        <v>MON</v>
      </c>
      <c r="E306" s="24">
        <v>568</v>
      </c>
      <c r="F306" s="24">
        <v>112.02</v>
      </c>
      <c r="G306" s="24">
        <v>0</v>
      </c>
      <c r="H306" s="24">
        <f t="shared" si="56"/>
        <v>22.72</v>
      </c>
      <c r="I306" s="24">
        <f t="shared" si="57"/>
        <v>1.8819359999999998</v>
      </c>
      <c r="J306" s="24">
        <v>0</v>
      </c>
      <c r="K306" s="24">
        <f t="shared" si="58"/>
        <v>87.418064000000001</v>
      </c>
      <c r="L306" s="25">
        <v>4</v>
      </c>
      <c r="M306" s="25">
        <f>52-14</f>
        <v>38</v>
      </c>
      <c r="N306" s="26">
        <f t="shared" si="66"/>
        <v>4.6333333333333337</v>
      </c>
      <c r="O306" s="24">
        <f t="shared" si="59"/>
        <v>9.8689999999999998</v>
      </c>
      <c r="P306" s="24">
        <f t="shared" si="60"/>
        <v>97.287064000000001</v>
      </c>
      <c r="Q306" s="29">
        <f t="shared" si="61"/>
        <v>97.287064000000001</v>
      </c>
      <c r="R306" s="30">
        <f>COUNTIF(RAW_DATA[[#This Row],[CONVERTED]],"&gt;0")</f>
        <v>1</v>
      </c>
      <c r="S306" s="30">
        <f>COUNTIFS(RAW_DATA[[#This Row],[AM/PM]],"AM",RAW_DATA[[#This Row],[CONVERTED]],"&gt;0")</f>
        <v>1</v>
      </c>
      <c r="T306" s="19">
        <f t="shared" si="64"/>
        <v>0</v>
      </c>
      <c r="U306" s="20" t="str">
        <f t="shared" si="62"/>
        <v>SINGLE</v>
      </c>
    </row>
    <row r="307" spans="1:21" x14ac:dyDescent="0.35">
      <c r="A307" s="21">
        <f t="shared" si="65"/>
        <v>45243</v>
      </c>
      <c r="B307" s="22" t="str">
        <f t="shared" si="63"/>
        <v>PM</v>
      </c>
      <c r="C307" s="23" t="str">
        <f t="shared" si="54"/>
        <v>November</v>
      </c>
      <c r="D307" s="13" t="str">
        <f t="shared" si="55"/>
        <v>MON</v>
      </c>
      <c r="E307" s="24">
        <v>0</v>
      </c>
      <c r="F307" s="24">
        <v>0</v>
      </c>
      <c r="G307" s="24">
        <v>0</v>
      </c>
      <c r="H307" s="24">
        <f t="shared" si="56"/>
        <v>0</v>
      </c>
      <c r="I307" s="24">
        <f t="shared" si="57"/>
        <v>0</v>
      </c>
      <c r="J307" s="24">
        <v>0</v>
      </c>
      <c r="K307" s="24">
        <f t="shared" si="58"/>
        <v>0</v>
      </c>
      <c r="L307" s="25">
        <v>0</v>
      </c>
      <c r="M307" s="25">
        <v>0</v>
      </c>
      <c r="N307" s="26">
        <f t="shared" si="66"/>
        <v>0</v>
      </c>
      <c r="O307" s="24">
        <f t="shared" si="59"/>
        <v>0</v>
      </c>
      <c r="P307" s="24">
        <f t="shared" si="60"/>
        <v>0</v>
      </c>
      <c r="Q307" s="29">
        <f t="shared" si="61"/>
        <v>0</v>
      </c>
      <c r="R307" s="30">
        <f>COUNTIF(RAW_DATA[[#This Row],[CONVERTED]],"&gt;0")</f>
        <v>0</v>
      </c>
      <c r="S307" s="30">
        <f>COUNTIFS(RAW_DATA[[#This Row],[AM/PM]],"AM",RAW_DATA[[#This Row],[CONVERTED]],"&gt;0")</f>
        <v>0</v>
      </c>
      <c r="T307" s="19">
        <f t="shared" si="64"/>
        <v>0</v>
      </c>
      <c r="U307" s="20" t="str">
        <f t="shared" si="62"/>
        <v>SINGLE</v>
      </c>
    </row>
    <row r="308" spans="1:21" x14ac:dyDescent="0.35">
      <c r="A308" s="21">
        <f t="shared" si="65"/>
        <v>45244</v>
      </c>
      <c r="B308" s="22" t="str">
        <f t="shared" si="63"/>
        <v>AM</v>
      </c>
      <c r="C308" s="23" t="str">
        <f t="shared" si="54"/>
        <v>November</v>
      </c>
      <c r="D308" s="13" t="str">
        <f t="shared" si="55"/>
        <v>TUE</v>
      </c>
      <c r="E308" s="24">
        <v>988</v>
      </c>
      <c r="F308" s="24">
        <v>166.58</v>
      </c>
      <c r="G308" s="24">
        <v>15</v>
      </c>
      <c r="H308" s="24">
        <f t="shared" si="56"/>
        <v>39.520000000000003</v>
      </c>
      <c r="I308" s="24">
        <f t="shared" si="57"/>
        <v>2.7985440000000001</v>
      </c>
      <c r="J308" s="24">
        <v>2.75</v>
      </c>
      <c r="K308" s="24">
        <f t="shared" si="58"/>
        <v>124.26145600000001</v>
      </c>
      <c r="L308" s="25">
        <v>4</v>
      </c>
      <c r="M308" s="25">
        <v>32</v>
      </c>
      <c r="N308" s="26">
        <f t="shared" si="66"/>
        <v>4.5333333333333332</v>
      </c>
      <c r="O308" s="24">
        <f t="shared" si="59"/>
        <v>9.6559999999999988</v>
      </c>
      <c r="P308" s="24">
        <f t="shared" si="60"/>
        <v>136.66745600000002</v>
      </c>
      <c r="Q308" s="29">
        <f t="shared" si="61"/>
        <v>148.91745600000002</v>
      </c>
      <c r="R308" s="30">
        <f>COUNTIF(RAW_DATA[[#This Row],[CONVERTED]],"&gt;0")</f>
        <v>1</v>
      </c>
      <c r="S308" s="30">
        <f>COUNTIFS(RAW_DATA[[#This Row],[AM/PM]],"AM",RAW_DATA[[#This Row],[CONVERTED]],"&gt;0")</f>
        <v>1</v>
      </c>
      <c r="T308" s="19">
        <f t="shared" si="64"/>
        <v>0</v>
      </c>
      <c r="U308" s="20" t="str">
        <f t="shared" si="62"/>
        <v>SINGLE</v>
      </c>
    </row>
    <row r="309" spans="1:21" x14ac:dyDescent="0.35">
      <c r="A309" s="21">
        <f t="shared" si="65"/>
        <v>45244</v>
      </c>
      <c r="B309" s="22" t="str">
        <f t="shared" si="63"/>
        <v>PM</v>
      </c>
      <c r="C309" s="23" t="str">
        <f t="shared" si="54"/>
        <v>November</v>
      </c>
      <c r="D309" s="13" t="str">
        <f t="shared" si="55"/>
        <v>TUE</v>
      </c>
      <c r="E309" s="24">
        <v>0</v>
      </c>
      <c r="F309" s="24">
        <v>0</v>
      </c>
      <c r="G309" s="24">
        <v>0</v>
      </c>
      <c r="H309" s="24">
        <f t="shared" si="56"/>
        <v>0</v>
      </c>
      <c r="I309" s="24">
        <f t="shared" si="57"/>
        <v>0</v>
      </c>
      <c r="J309" s="24">
        <v>0</v>
      </c>
      <c r="K309" s="24">
        <f t="shared" si="58"/>
        <v>0</v>
      </c>
      <c r="L309" s="25">
        <v>0</v>
      </c>
      <c r="M309" s="25">
        <v>0</v>
      </c>
      <c r="N309" s="26">
        <f t="shared" si="66"/>
        <v>0</v>
      </c>
      <c r="O309" s="24">
        <f t="shared" si="59"/>
        <v>0</v>
      </c>
      <c r="P309" s="24">
        <f t="shared" si="60"/>
        <v>0</v>
      </c>
      <c r="Q309" s="29">
        <f t="shared" si="61"/>
        <v>0</v>
      </c>
      <c r="R309" s="30">
        <f>COUNTIF(RAW_DATA[[#This Row],[CONVERTED]],"&gt;0")</f>
        <v>0</v>
      </c>
      <c r="S309" s="30">
        <f>COUNTIFS(RAW_DATA[[#This Row],[AM/PM]],"AM",RAW_DATA[[#This Row],[CONVERTED]],"&gt;0")</f>
        <v>0</v>
      </c>
      <c r="T309" s="19">
        <f t="shared" si="64"/>
        <v>0</v>
      </c>
      <c r="U309" s="20" t="str">
        <f t="shared" si="62"/>
        <v>SINGLE</v>
      </c>
    </row>
    <row r="310" spans="1:21" x14ac:dyDescent="0.35">
      <c r="A310" s="21">
        <f t="shared" si="65"/>
        <v>45245</v>
      </c>
      <c r="B310" s="22" t="str">
        <f t="shared" si="63"/>
        <v>AM</v>
      </c>
      <c r="C310" s="23" t="str">
        <f t="shared" si="54"/>
        <v>November</v>
      </c>
      <c r="D310" s="13" t="str">
        <f t="shared" si="55"/>
        <v>WED</v>
      </c>
      <c r="E310" s="24">
        <v>731</v>
      </c>
      <c r="F310" s="24">
        <v>129.71</v>
      </c>
      <c r="G310" s="24">
        <v>0</v>
      </c>
      <c r="H310" s="24">
        <f t="shared" si="56"/>
        <v>29.240000000000002</v>
      </c>
      <c r="I310" s="24">
        <f t="shared" si="57"/>
        <v>2.179128</v>
      </c>
      <c r="J310" s="24">
        <v>0</v>
      </c>
      <c r="K310" s="24">
        <f t="shared" si="58"/>
        <v>98.290872000000007</v>
      </c>
      <c r="L310" s="25">
        <v>3</v>
      </c>
      <c r="M310" s="25">
        <v>46</v>
      </c>
      <c r="N310" s="26">
        <f t="shared" si="66"/>
        <v>3.7666666666666666</v>
      </c>
      <c r="O310" s="24">
        <f t="shared" si="59"/>
        <v>8.0229999999999997</v>
      </c>
      <c r="P310" s="24">
        <f t="shared" si="60"/>
        <v>106.313872</v>
      </c>
      <c r="Q310" s="29">
        <f t="shared" si="61"/>
        <v>106.313872</v>
      </c>
      <c r="R310" s="30">
        <f>COUNTIF(RAW_DATA[[#This Row],[CONVERTED]],"&gt;0")</f>
        <v>1</v>
      </c>
      <c r="S310" s="30">
        <f>COUNTIFS(RAW_DATA[[#This Row],[AM/PM]],"AM",RAW_DATA[[#This Row],[CONVERTED]],"&gt;0")</f>
        <v>1</v>
      </c>
      <c r="T310" s="19">
        <f t="shared" si="64"/>
        <v>0</v>
      </c>
      <c r="U310" s="20" t="str">
        <f t="shared" si="62"/>
        <v>SINGLE</v>
      </c>
    </row>
    <row r="311" spans="1:21" x14ac:dyDescent="0.35">
      <c r="A311" s="21">
        <f t="shared" si="65"/>
        <v>45245</v>
      </c>
      <c r="B311" s="22" t="str">
        <f t="shared" si="63"/>
        <v>PM</v>
      </c>
      <c r="C311" s="23" t="str">
        <f t="shared" si="54"/>
        <v>November</v>
      </c>
      <c r="D311" s="13" t="str">
        <f t="shared" si="55"/>
        <v>WED</v>
      </c>
      <c r="E311" s="24">
        <v>0</v>
      </c>
      <c r="F311" s="24">
        <v>0</v>
      </c>
      <c r="G311" s="24">
        <v>0</v>
      </c>
      <c r="H311" s="24">
        <f t="shared" si="56"/>
        <v>0</v>
      </c>
      <c r="I311" s="24">
        <f t="shared" si="57"/>
        <v>0</v>
      </c>
      <c r="J311" s="24">
        <v>0</v>
      </c>
      <c r="K311" s="24">
        <f t="shared" si="58"/>
        <v>0</v>
      </c>
      <c r="L311" s="25">
        <v>0</v>
      </c>
      <c r="M311" s="25">
        <v>0</v>
      </c>
      <c r="N311" s="26">
        <f t="shared" si="66"/>
        <v>0</v>
      </c>
      <c r="O311" s="24">
        <f t="shared" si="59"/>
        <v>0</v>
      </c>
      <c r="P311" s="24">
        <f t="shared" si="60"/>
        <v>0</v>
      </c>
      <c r="Q311" s="29">
        <f t="shared" si="61"/>
        <v>0</v>
      </c>
      <c r="R311" s="30">
        <f>COUNTIF(RAW_DATA[[#This Row],[CONVERTED]],"&gt;0")</f>
        <v>0</v>
      </c>
      <c r="S311" s="30">
        <f>COUNTIFS(RAW_DATA[[#This Row],[AM/PM]],"AM",RAW_DATA[[#This Row],[CONVERTED]],"&gt;0")</f>
        <v>0</v>
      </c>
      <c r="T311" s="19">
        <f t="shared" si="64"/>
        <v>0</v>
      </c>
      <c r="U311" s="20" t="str">
        <f t="shared" si="62"/>
        <v>SINGLE</v>
      </c>
    </row>
    <row r="312" spans="1:21" x14ac:dyDescent="0.35">
      <c r="A312" s="21">
        <f t="shared" si="65"/>
        <v>45246</v>
      </c>
      <c r="B312" s="22" t="str">
        <f t="shared" si="63"/>
        <v>AM</v>
      </c>
      <c r="C312" s="23" t="str">
        <f t="shared" si="54"/>
        <v>November</v>
      </c>
      <c r="D312" s="13" t="str">
        <f t="shared" si="55"/>
        <v>THU</v>
      </c>
      <c r="E312" s="24">
        <v>0</v>
      </c>
      <c r="F312" s="24">
        <v>0</v>
      </c>
      <c r="G312" s="24">
        <v>0</v>
      </c>
      <c r="H312" s="24">
        <f t="shared" si="56"/>
        <v>0</v>
      </c>
      <c r="I312" s="24">
        <f t="shared" si="57"/>
        <v>0</v>
      </c>
      <c r="J312" s="24">
        <v>0</v>
      </c>
      <c r="K312" s="24">
        <f t="shared" si="58"/>
        <v>0</v>
      </c>
      <c r="L312" s="25">
        <v>0</v>
      </c>
      <c r="M312" s="25">
        <v>0</v>
      </c>
      <c r="N312" s="26">
        <f t="shared" si="66"/>
        <v>0</v>
      </c>
      <c r="O312" s="24">
        <f t="shared" si="59"/>
        <v>0</v>
      </c>
      <c r="P312" s="24">
        <f t="shared" si="60"/>
        <v>0</v>
      </c>
      <c r="Q312" s="29">
        <f t="shared" si="61"/>
        <v>0</v>
      </c>
      <c r="R312" s="30">
        <f>COUNTIF(RAW_DATA[[#This Row],[CONVERTED]],"&gt;0")</f>
        <v>0</v>
      </c>
      <c r="S312" s="30">
        <f>COUNTIFS(RAW_DATA[[#This Row],[AM/PM]],"AM",RAW_DATA[[#This Row],[CONVERTED]],"&gt;0")</f>
        <v>0</v>
      </c>
      <c r="T312" s="19">
        <f t="shared" si="64"/>
        <v>0</v>
      </c>
      <c r="U312" s="20" t="str">
        <f t="shared" si="62"/>
        <v>SINGLE</v>
      </c>
    </row>
    <row r="313" spans="1:21" x14ac:dyDescent="0.35">
      <c r="A313" s="21">
        <f t="shared" si="65"/>
        <v>45246</v>
      </c>
      <c r="B313" s="22" t="str">
        <f t="shared" si="63"/>
        <v>PM</v>
      </c>
      <c r="C313" s="23" t="str">
        <f t="shared" si="54"/>
        <v>November</v>
      </c>
      <c r="D313" s="13" t="str">
        <f t="shared" si="55"/>
        <v>THU</v>
      </c>
      <c r="E313" s="24">
        <v>0</v>
      </c>
      <c r="F313" s="24">
        <v>0</v>
      </c>
      <c r="G313" s="24">
        <v>0</v>
      </c>
      <c r="H313" s="24">
        <f t="shared" si="56"/>
        <v>0</v>
      </c>
      <c r="I313" s="24">
        <f t="shared" si="57"/>
        <v>0</v>
      </c>
      <c r="J313" s="24">
        <v>0</v>
      </c>
      <c r="K313" s="24">
        <f t="shared" si="58"/>
        <v>0</v>
      </c>
      <c r="L313" s="25">
        <v>0</v>
      </c>
      <c r="M313" s="25">
        <v>0</v>
      </c>
      <c r="N313" s="26">
        <f t="shared" si="66"/>
        <v>0</v>
      </c>
      <c r="O313" s="24">
        <f t="shared" si="59"/>
        <v>0</v>
      </c>
      <c r="P313" s="24">
        <f t="shared" si="60"/>
        <v>0</v>
      </c>
      <c r="Q313" s="29">
        <f t="shared" si="61"/>
        <v>0</v>
      </c>
      <c r="R313" s="30">
        <f>COUNTIF(RAW_DATA[[#This Row],[CONVERTED]],"&gt;0")</f>
        <v>0</v>
      </c>
      <c r="S313" s="30">
        <f>COUNTIFS(RAW_DATA[[#This Row],[AM/PM]],"AM",RAW_DATA[[#This Row],[CONVERTED]],"&gt;0")</f>
        <v>0</v>
      </c>
      <c r="T313" s="19">
        <f t="shared" si="64"/>
        <v>0</v>
      </c>
      <c r="U313" s="20" t="str">
        <f t="shared" si="62"/>
        <v>SINGLE</v>
      </c>
    </row>
    <row r="314" spans="1:21" x14ac:dyDescent="0.35">
      <c r="A314" s="21">
        <f t="shared" si="65"/>
        <v>45247</v>
      </c>
      <c r="B314" s="22" t="str">
        <f t="shared" si="63"/>
        <v>AM</v>
      </c>
      <c r="C314" s="23" t="str">
        <f t="shared" si="54"/>
        <v>November</v>
      </c>
      <c r="D314" s="13" t="str">
        <f t="shared" si="55"/>
        <v>FRI</v>
      </c>
      <c r="E314" s="24">
        <v>0</v>
      </c>
      <c r="F314" s="24">
        <v>0</v>
      </c>
      <c r="G314" s="24">
        <v>0</v>
      </c>
      <c r="H314" s="24">
        <f t="shared" si="56"/>
        <v>0</v>
      </c>
      <c r="I314" s="24">
        <f t="shared" si="57"/>
        <v>0</v>
      </c>
      <c r="J314" s="24">
        <v>0</v>
      </c>
      <c r="K314" s="24">
        <f t="shared" si="58"/>
        <v>0</v>
      </c>
      <c r="L314" s="25">
        <v>0</v>
      </c>
      <c r="M314" s="25">
        <v>0</v>
      </c>
      <c r="N314" s="26">
        <f t="shared" si="66"/>
        <v>0</v>
      </c>
      <c r="O314" s="24">
        <f t="shared" si="59"/>
        <v>0</v>
      </c>
      <c r="P314" s="24">
        <f t="shared" si="60"/>
        <v>0</v>
      </c>
      <c r="Q314" s="29">
        <f t="shared" si="61"/>
        <v>0</v>
      </c>
      <c r="R314" s="30">
        <f>COUNTIF(RAW_DATA[[#This Row],[CONVERTED]],"&gt;0")</f>
        <v>0</v>
      </c>
      <c r="S314" s="30">
        <f>COUNTIFS(RAW_DATA[[#This Row],[AM/PM]],"AM",RAW_DATA[[#This Row],[CONVERTED]],"&gt;0")</f>
        <v>0</v>
      </c>
      <c r="T314" s="19">
        <f t="shared" si="64"/>
        <v>0</v>
      </c>
      <c r="U314" s="20" t="str">
        <f t="shared" si="62"/>
        <v>SINGLE</v>
      </c>
    </row>
    <row r="315" spans="1:21" x14ac:dyDescent="0.35">
      <c r="A315" s="21">
        <f t="shared" si="65"/>
        <v>45247</v>
      </c>
      <c r="B315" s="22" t="str">
        <f t="shared" si="63"/>
        <v>PM</v>
      </c>
      <c r="C315" s="23" t="str">
        <f t="shared" si="54"/>
        <v>November</v>
      </c>
      <c r="D315" s="13" t="str">
        <f t="shared" si="55"/>
        <v>FRI</v>
      </c>
      <c r="E315" s="24">
        <v>1036.5</v>
      </c>
      <c r="F315" s="24">
        <v>195.1</v>
      </c>
      <c r="G315" s="24">
        <v>0</v>
      </c>
      <c r="H315" s="24">
        <f t="shared" si="56"/>
        <v>41.46</v>
      </c>
      <c r="I315" s="24">
        <f t="shared" si="57"/>
        <v>3.2776799999999997</v>
      </c>
      <c r="J315" s="24">
        <v>0</v>
      </c>
      <c r="K315" s="24">
        <f t="shared" si="58"/>
        <v>150.36232000000001</v>
      </c>
      <c r="L315" s="25">
        <v>5</v>
      </c>
      <c r="M315" s="25">
        <v>51</v>
      </c>
      <c r="N315" s="26">
        <f t="shared" si="66"/>
        <v>5.85</v>
      </c>
      <c r="O315" s="24">
        <f t="shared" si="59"/>
        <v>12.460499999999998</v>
      </c>
      <c r="P315" s="24">
        <f t="shared" si="60"/>
        <v>162.82282000000001</v>
      </c>
      <c r="Q315" s="29">
        <f t="shared" si="61"/>
        <v>162.82282000000001</v>
      </c>
      <c r="R315" s="30">
        <f>COUNTIF(RAW_DATA[[#This Row],[CONVERTED]],"&gt;0")</f>
        <v>1</v>
      </c>
      <c r="S315" s="30">
        <f>COUNTIFS(RAW_DATA[[#This Row],[AM/PM]],"AM",RAW_DATA[[#This Row],[CONVERTED]],"&gt;0")</f>
        <v>0</v>
      </c>
      <c r="T315" s="19">
        <f t="shared" si="64"/>
        <v>0</v>
      </c>
      <c r="U315" s="20" t="str">
        <f t="shared" si="62"/>
        <v>SINGLE</v>
      </c>
    </row>
    <row r="316" spans="1:21" x14ac:dyDescent="0.35">
      <c r="A316" s="21">
        <f t="shared" si="65"/>
        <v>45248</v>
      </c>
      <c r="B316" s="22" t="str">
        <f t="shared" si="63"/>
        <v>AM</v>
      </c>
      <c r="C316" s="23" t="str">
        <f t="shared" si="54"/>
        <v>November</v>
      </c>
      <c r="D316" s="13" t="str">
        <f t="shared" si="55"/>
        <v>SAT</v>
      </c>
      <c r="E316" s="24">
        <v>0</v>
      </c>
      <c r="F316" s="24">
        <v>0</v>
      </c>
      <c r="G316" s="24">
        <v>0</v>
      </c>
      <c r="H316" s="24">
        <f t="shared" si="56"/>
        <v>0</v>
      </c>
      <c r="I316" s="24">
        <f t="shared" si="57"/>
        <v>0</v>
      </c>
      <c r="J316" s="24">
        <v>0</v>
      </c>
      <c r="K316" s="24">
        <f t="shared" si="58"/>
        <v>0</v>
      </c>
      <c r="L316" s="25">
        <v>0</v>
      </c>
      <c r="M316" s="25">
        <v>0</v>
      </c>
      <c r="N316" s="26">
        <f t="shared" si="66"/>
        <v>0</v>
      </c>
      <c r="O316" s="24">
        <f t="shared" si="59"/>
        <v>0</v>
      </c>
      <c r="P316" s="24">
        <f t="shared" si="60"/>
        <v>0</v>
      </c>
      <c r="Q316" s="29">
        <f t="shared" si="61"/>
        <v>0</v>
      </c>
      <c r="R316" s="30">
        <f>COUNTIF(RAW_DATA[[#This Row],[CONVERTED]],"&gt;0")</f>
        <v>0</v>
      </c>
      <c r="S316" s="30">
        <f>COUNTIFS(RAW_DATA[[#This Row],[AM/PM]],"AM",RAW_DATA[[#This Row],[CONVERTED]],"&gt;0")</f>
        <v>0</v>
      </c>
      <c r="T316" s="19">
        <f t="shared" si="64"/>
        <v>0</v>
      </c>
      <c r="U316" s="20" t="str">
        <f t="shared" si="62"/>
        <v>SINGLE</v>
      </c>
    </row>
    <row r="317" spans="1:21" x14ac:dyDescent="0.35">
      <c r="A317" s="21">
        <f t="shared" si="65"/>
        <v>45248</v>
      </c>
      <c r="B317" s="22" t="str">
        <f t="shared" si="63"/>
        <v>PM</v>
      </c>
      <c r="C317" s="23" t="str">
        <f t="shared" si="54"/>
        <v>November</v>
      </c>
      <c r="D317" s="13" t="str">
        <f t="shared" si="55"/>
        <v>SAT</v>
      </c>
      <c r="E317" s="24">
        <v>1264</v>
      </c>
      <c r="F317" s="24">
        <v>207.97</v>
      </c>
      <c r="G317" s="24">
        <v>47</v>
      </c>
      <c r="H317" s="24">
        <f t="shared" si="56"/>
        <v>50.56</v>
      </c>
      <c r="I317" s="24">
        <f t="shared" si="57"/>
        <v>3.4938959999999999</v>
      </c>
      <c r="J317" s="24">
        <v>3.5</v>
      </c>
      <c r="K317" s="24">
        <f t="shared" si="58"/>
        <v>153.91610399999999</v>
      </c>
      <c r="L317" s="25">
        <v>4</v>
      </c>
      <c r="M317" s="25">
        <v>35</v>
      </c>
      <c r="N317" s="26">
        <f t="shared" si="66"/>
        <v>4.583333333333333</v>
      </c>
      <c r="O317" s="24">
        <f t="shared" si="59"/>
        <v>9.7624999999999993</v>
      </c>
      <c r="P317" s="24">
        <f t="shared" si="60"/>
        <v>167.17860399999998</v>
      </c>
      <c r="Q317" s="29">
        <f t="shared" si="61"/>
        <v>210.67860399999998</v>
      </c>
      <c r="R317" s="30">
        <f>COUNTIF(RAW_DATA[[#This Row],[CONVERTED]],"&gt;0")</f>
        <v>1</v>
      </c>
      <c r="S317" s="30">
        <f>COUNTIFS(RAW_DATA[[#This Row],[AM/PM]],"AM",RAW_DATA[[#This Row],[CONVERTED]],"&gt;0")</f>
        <v>0</v>
      </c>
      <c r="T317" s="19">
        <f t="shared" si="64"/>
        <v>0</v>
      </c>
      <c r="U317" s="20" t="str">
        <f t="shared" si="62"/>
        <v>SINGLE</v>
      </c>
    </row>
    <row r="318" spans="1:21" x14ac:dyDescent="0.35">
      <c r="A318" s="21">
        <f t="shared" si="65"/>
        <v>45249</v>
      </c>
      <c r="B318" s="22" t="str">
        <f t="shared" si="63"/>
        <v>AM</v>
      </c>
      <c r="C318" s="23" t="str">
        <f t="shared" si="54"/>
        <v>November</v>
      </c>
      <c r="D318" s="13" t="str">
        <f t="shared" si="55"/>
        <v>SUN</v>
      </c>
      <c r="E318" s="24">
        <v>0</v>
      </c>
      <c r="F318" s="24">
        <v>0</v>
      </c>
      <c r="G318" s="24">
        <v>0</v>
      </c>
      <c r="H318" s="24">
        <f t="shared" si="56"/>
        <v>0</v>
      </c>
      <c r="I318" s="24">
        <f t="shared" si="57"/>
        <v>0</v>
      </c>
      <c r="J318" s="24">
        <v>0</v>
      </c>
      <c r="K318" s="24">
        <f t="shared" si="58"/>
        <v>0</v>
      </c>
      <c r="L318" s="25">
        <v>0</v>
      </c>
      <c r="M318" s="25">
        <v>0</v>
      </c>
      <c r="N318" s="26">
        <f t="shared" si="66"/>
        <v>0</v>
      </c>
      <c r="O318" s="24">
        <f t="shared" si="59"/>
        <v>0</v>
      </c>
      <c r="P318" s="24">
        <f t="shared" si="60"/>
        <v>0</v>
      </c>
      <c r="Q318" s="29">
        <f t="shared" si="61"/>
        <v>0</v>
      </c>
      <c r="R318" s="30">
        <f>COUNTIF(RAW_DATA[[#This Row],[CONVERTED]],"&gt;0")</f>
        <v>0</v>
      </c>
      <c r="S318" s="30">
        <f>COUNTIFS(RAW_DATA[[#This Row],[AM/PM]],"AM",RAW_DATA[[#This Row],[CONVERTED]],"&gt;0")</f>
        <v>0</v>
      </c>
      <c r="T318" s="19">
        <f t="shared" si="64"/>
        <v>0</v>
      </c>
      <c r="U318" s="20" t="str">
        <f t="shared" si="62"/>
        <v>SINGLE</v>
      </c>
    </row>
    <row r="319" spans="1:21" x14ac:dyDescent="0.35">
      <c r="A319" s="21">
        <f t="shared" si="65"/>
        <v>45249</v>
      </c>
      <c r="B319" s="22" t="str">
        <f t="shared" si="63"/>
        <v>PM</v>
      </c>
      <c r="C319" s="23" t="str">
        <f t="shared" si="54"/>
        <v>November</v>
      </c>
      <c r="D319" s="13" t="str">
        <f t="shared" si="55"/>
        <v>SUN</v>
      </c>
      <c r="E319" s="24">
        <v>0</v>
      </c>
      <c r="F319" s="24">
        <v>0</v>
      </c>
      <c r="G319" s="24">
        <v>0</v>
      </c>
      <c r="H319" s="24">
        <f t="shared" si="56"/>
        <v>0</v>
      </c>
      <c r="I319" s="24">
        <f t="shared" si="57"/>
        <v>0</v>
      </c>
      <c r="J319" s="24">
        <v>0</v>
      </c>
      <c r="K319" s="24">
        <f t="shared" si="58"/>
        <v>0</v>
      </c>
      <c r="L319" s="25">
        <v>0</v>
      </c>
      <c r="M319" s="25">
        <v>0</v>
      </c>
      <c r="N319" s="26">
        <f t="shared" si="66"/>
        <v>0</v>
      </c>
      <c r="O319" s="24">
        <f t="shared" si="59"/>
        <v>0</v>
      </c>
      <c r="P319" s="24">
        <f t="shared" si="60"/>
        <v>0</v>
      </c>
      <c r="Q319" s="29">
        <f t="shared" si="61"/>
        <v>0</v>
      </c>
      <c r="R319" s="30">
        <f>COUNTIF(RAW_DATA[[#This Row],[CONVERTED]],"&gt;0")</f>
        <v>0</v>
      </c>
      <c r="S319" s="30">
        <f>COUNTIFS(RAW_DATA[[#This Row],[AM/PM]],"AM",RAW_DATA[[#This Row],[CONVERTED]],"&gt;0")</f>
        <v>0</v>
      </c>
      <c r="T319" s="19">
        <f t="shared" si="64"/>
        <v>0</v>
      </c>
      <c r="U319" s="20" t="str">
        <f t="shared" si="62"/>
        <v>SINGLE</v>
      </c>
    </row>
    <row r="320" spans="1:21" x14ac:dyDescent="0.35">
      <c r="A320" s="21">
        <f t="shared" si="65"/>
        <v>45250</v>
      </c>
      <c r="B320" s="22" t="str">
        <f t="shared" si="63"/>
        <v>AM</v>
      </c>
      <c r="C320" s="23" t="str">
        <f t="shared" si="54"/>
        <v>November</v>
      </c>
      <c r="D320" s="13" t="str">
        <f t="shared" si="55"/>
        <v>MON</v>
      </c>
      <c r="E320" s="24">
        <v>0</v>
      </c>
      <c r="F320" s="24">
        <v>0</v>
      </c>
      <c r="G320" s="24">
        <v>0</v>
      </c>
      <c r="H320" s="24">
        <f t="shared" si="56"/>
        <v>0</v>
      </c>
      <c r="I320" s="24">
        <f t="shared" si="57"/>
        <v>0</v>
      </c>
      <c r="J320" s="24">
        <v>0</v>
      </c>
      <c r="K320" s="24">
        <f t="shared" si="58"/>
        <v>0</v>
      </c>
      <c r="L320" s="25">
        <v>0</v>
      </c>
      <c r="M320" s="25">
        <v>0</v>
      </c>
      <c r="N320" s="26">
        <f t="shared" si="66"/>
        <v>0</v>
      </c>
      <c r="O320" s="24">
        <f t="shared" si="59"/>
        <v>0</v>
      </c>
      <c r="P320" s="24">
        <f t="shared" si="60"/>
        <v>0</v>
      </c>
      <c r="Q320" s="29">
        <f t="shared" si="61"/>
        <v>0</v>
      </c>
      <c r="R320" s="30">
        <f>COUNTIF(RAW_DATA[[#This Row],[CONVERTED]],"&gt;0")</f>
        <v>0</v>
      </c>
      <c r="S320" s="30">
        <f>COUNTIFS(RAW_DATA[[#This Row],[AM/PM]],"AM",RAW_DATA[[#This Row],[CONVERTED]],"&gt;0")</f>
        <v>0</v>
      </c>
      <c r="T320" s="19">
        <f t="shared" si="64"/>
        <v>0</v>
      </c>
      <c r="U320" s="20" t="str">
        <f t="shared" si="62"/>
        <v>SINGLE</v>
      </c>
    </row>
    <row r="321" spans="1:21" x14ac:dyDescent="0.35">
      <c r="A321" s="21">
        <f t="shared" si="65"/>
        <v>45250</v>
      </c>
      <c r="B321" s="22" t="str">
        <f t="shared" si="63"/>
        <v>PM</v>
      </c>
      <c r="C321" s="23" t="str">
        <f t="shared" si="54"/>
        <v>November</v>
      </c>
      <c r="D321" s="13" t="str">
        <f t="shared" si="55"/>
        <v>MON</v>
      </c>
      <c r="E321" s="24">
        <v>1271</v>
      </c>
      <c r="F321" s="24">
        <v>288.26</v>
      </c>
      <c r="G321" s="24">
        <v>0</v>
      </c>
      <c r="H321" s="24">
        <f t="shared" si="56"/>
        <v>50.84</v>
      </c>
      <c r="I321" s="24">
        <f t="shared" si="57"/>
        <v>4.8427679999999995</v>
      </c>
      <c r="J321" s="24">
        <v>0</v>
      </c>
      <c r="K321" s="24">
        <f t="shared" si="58"/>
        <v>232.57723199999998</v>
      </c>
      <c r="L321" s="25">
        <v>6</v>
      </c>
      <c r="M321" s="25">
        <v>27</v>
      </c>
      <c r="N321" s="26">
        <f t="shared" si="66"/>
        <v>6.45</v>
      </c>
      <c r="O321" s="24">
        <f t="shared" si="59"/>
        <v>13.7385</v>
      </c>
      <c r="P321" s="24">
        <f t="shared" si="60"/>
        <v>246.31573199999997</v>
      </c>
      <c r="Q321" s="29">
        <f t="shared" si="61"/>
        <v>246.31573199999997</v>
      </c>
      <c r="R321" s="30">
        <f>COUNTIF(RAW_DATA[[#This Row],[CONVERTED]],"&gt;0")</f>
        <v>1</v>
      </c>
      <c r="S321" s="30">
        <f>COUNTIFS(RAW_DATA[[#This Row],[AM/PM]],"AM",RAW_DATA[[#This Row],[CONVERTED]],"&gt;0")</f>
        <v>0</v>
      </c>
      <c r="T321" s="19">
        <f t="shared" si="64"/>
        <v>0</v>
      </c>
      <c r="U321" s="20" t="str">
        <f t="shared" si="62"/>
        <v>SINGLE</v>
      </c>
    </row>
    <row r="322" spans="1:21" x14ac:dyDescent="0.35">
      <c r="A322" s="21">
        <f t="shared" si="65"/>
        <v>45251</v>
      </c>
      <c r="B322" s="22" t="str">
        <f t="shared" si="63"/>
        <v>AM</v>
      </c>
      <c r="C322" s="23" t="str">
        <f t="shared" ref="C322:C385" si="67">TEXT(A322,"mmmm")</f>
        <v>November</v>
      </c>
      <c r="D322" s="13" t="str">
        <f t="shared" ref="D322:D385" si="68">CHOOSE(WEEKDAY(A322),"SUN","MON","TUE","WED","THU","FRI","SAT")</f>
        <v>TUE</v>
      </c>
      <c r="E322" s="24">
        <v>410</v>
      </c>
      <c r="F322" s="24">
        <v>80.06</v>
      </c>
      <c r="G322" s="24">
        <v>0</v>
      </c>
      <c r="H322" s="24">
        <f t="shared" ref="H322:H385" si="69">E322*0.04</f>
        <v>16.399999999999999</v>
      </c>
      <c r="I322" s="24">
        <f t="shared" ref="I322:I385" si="70">F322*0.0168</f>
        <v>1.345008</v>
      </c>
      <c r="J322" s="24">
        <v>0</v>
      </c>
      <c r="K322" s="24">
        <f t="shared" ref="K322:K385" si="71">F322-(H322+I322)</f>
        <v>62.314992000000004</v>
      </c>
      <c r="L322" s="25">
        <v>3</v>
      </c>
      <c r="M322" s="25">
        <v>15</v>
      </c>
      <c r="N322" s="26">
        <f t="shared" si="66"/>
        <v>3.25</v>
      </c>
      <c r="O322" s="24">
        <f t="shared" ref="O322:O385" si="72">N322*2.13</f>
        <v>6.9224999999999994</v>
      </c>
      <c r="P322" s="24">
        <f t="shared" ref="P322:P385" si="73">K322+J322+O322</f>
        <v>69.237492000000003</v>
      </c>
      <c r="Q322" s="29">
        <f t="shared" ref="Q322:Q385" si="74">G322+K322+O322</f>
        <v>69.237492000000003</v>
      </c>
      <c r="R322" s="30">
        <f>COUNTIF(RAW_DATA[[#This Row],[CONVERTED]],"&gt;0")</f>
        <v>1</v>
      </c>
      <c r="S322" s="30">
        <f>COUNTIFS(RAW_DATA[[#This Row],[AM/PM]],"AM",RAW_DATA[[#This Row],[CONVERTED]],"&gt;0")</f>
        <v>1</v>
      </c>
      <c r="T322" s="19">
        <f t="shared" si="64"/>
        <v>0</v>
      </c>
      <c r="U322" s="20" t="str">
        <f t="shared" ref="U322:U385" si="75">IF(AND(S322=1,T323=1,B322="AM"),"DOUBLE",IF(AND(S321=1,N322&gt;0),"DOUBLE","SINGLE"))</f>
        <v>DOUBLE</v>
      </c>
    </row>
    <row r="323" spans="1:21" x14ac:dyDescent="0.35">
      <c r="A323" s="21">
        <f t="shared" si="65"/>
        <v>45251</v>
      </c>
      <c r="B323" s="22" t="str">
        <f t="shared" ref="B323:B386" si="76">IF(B322="AM","PM","AM")</f>
        <v>PM</v>
      </c>
      <c r="C323" s="23" t="str">
        <f t="shared" si="67"/>
        <v>November</v>
      </c>
      <c r="D323" s="13" t="str">
        <f t="shared" si="68"/>
        <v>TUE</v>
      </c>
      <c r="E323" s="24">
        <v>1448</v>
      </c>
      <c r="F323" s="24">
        <v>274.3</v>
      </c>
      <c r="G323" s="24">
        <v>20</v>
      </c>
      <c r="H323" s="24">
        <f t="shared" si="69"/>
        <v>57.92</v>
      </c>
      <c r="I323" s="24">
        <f t="shared" si="70"/>
        <v>4.6082400000000003</v>
      </c>
      <c r="J323" s="24">
        <v>0</v>
      </c>
      <c r="K323" s="24">
        <f t="shared" si="71"/>
        <v>211.77176</v>
      </c>
      <c r="L323" s="25">
        <v>4</v>
      </c>
      <c r="M323" s="25">
        <v>45</v>
      </c>
      <c r="N323" s="26">
        <f t="shared" si="66"/>
        <v>4.75</v>
      </c>
      <c r="O323" s="24">
        <f t="shared" si="72"/>
        <v>10.1175</v>
      </c>
      <c r="P323" s="24">
        <f t="shared" si="73"/>
        <v>221.88926000000001</v>
      </c>
      <c r="Q323" s="29">
        <f t="shared" si="74"/>
        <v>241.88926000000001</v>
      </c>
      <c r="R323" s="30">
        <f>COUNTIF(RAW_DATA[[#This Row],[CONVERTED]],"&gt;0")</f>
        <v>1</v>
      </c>
      <c r="S323" s="30">
        <f>COUNTIFS(RAW_DATA[[#This Row],[AM/PM]],"AM",RAW_DATA[[#This Row],[CONVERTED]],"&gt;0")</f>
        <v>0</v>
      </c>
      <c r="T323" s="19">
        <f t="shared" ref="T323:T386" si="77">IF(AND($S322=1,$N323&gt;0),1,0)</f>
        <v>1</v>
      </c>
      <c r="U323" s="20" t="str">
        <f t="shared" si="75"/>
        <v>DOUBLE</v>
      </c>
    </row>
    <row r="324" spans="1:21" x14ac:dyDescent="0.35">
      <c r="A324" s="21">
        <f t="shared" ref="A324:A387" si="78">IF(B323 = "AM",A323,A323+1)</f>
        <v>45252</v>
      </c>
      <c r="B324" s="22" t="str">
        <f t="shared" si="76"/>
        <v>AM</v>
      </c>
      <c r="C324" s="23" t="str">
        <f t="shared" si="67"/>
        <v>November</v>
      </c>
      <c r="D324" s="13" t="str">
        <f t="shared" si="68"/>
        <v>WED</v>
      </c>
      <c r="E324" s="24">
        <v>306</v>
      </c>
      <c r="F324" s="24">
        <v>51.88</v>
      </c>
      <c r="G324" s="24">
        <v>0</v>
      </c>
      <c r="H324" s="24">
        <f t="shared" si="69"/>
        <v>12.24</v>
      </c>
      <c r="I324" s="24">
        <f t="shared" si="70"/>
        <v>0.87158400000000003</v>
      </c>
      <c r="J324" s="24">
        <v>0</v>
      </c>
      <c r="K324" s="24">
        <f t="shared" si="71"/>
        <v>38.768416000000002</v>
      </c>
      <c r="L324" s="25">
        <v>4</v>
      </c>
      <c r="M324" s="25">
        <v>35</v>
      </c>
      <c r="N324" s="26">
        <f t="shared" si="66"/>
        <v>4.583333333333333</v>
      </c>
      <c r="O324" s="24">
        <f t="shared" si="72"/>
        <v>9.7624999999999993</v>
      </c>
      <c r="P324" s="24">
        <f t="shared" si="73"/>
        <v>48.530916000000005</v>
      </c>
      <c r="Q324" s="29">
        <f t="shared" si="74"/>
        <v>48.530916000000005</v>
      </c>
      <c r="R324" s="30">
        <f>COUNTIF(RAW_DATA[[#This Row],[CONVERTED]],"&gt;0")</f>
        <v>1</v>
      </c>
      <c r="S324" s="30">
        <f>COUNTIFS(RAW_DATA[[#This Row],[AM/PM]],"AM",RAW_DATA[[#This Row],[CONVERTED]],"&gt;0")</f>
        <v>1</v>
      </c>
      <c r="T324" s="19">
        <f t="shared" si="77"/>
        <v>0</v>
      </c>
      <c r="U324" s="20" t="str">
        <f t="shared" si="75"/>
        <v>SINGLE</v>
      </c>
    </row>
    <row r="325" spans="1:21" x14ac:dyDescent="0.35">
      <c r="A325" s="21">
        <f t="shared" si="78"/>
        <v>45252</v>
      </c>
      <c r="B325" s="22" t="str">
        <f t="shared" si="76"/>
        <v>PM</v>
      </c>
      <c r="C325" s="23" t="str">
        <f t="shared" si="67"/>
        <v>November</v>
      </c>
      <c r="D325" s="13" t="str">
        <f t="shared" si="68"/>
        <v>WED</v>
      </c>
      <c r="E325" s="24">
        <v>0</v>
      </c>
      <c r="F325" s="24">
        <v>0</v>
      </c>
      <c r="G325" s="24">
        <v>0</v>
      </c>
      <c r="H325" s="24">
        <f t="shared" si="69"/>
        <v>0</v>
      </c>
      <c r="I325" s="24">
        <f t="shared" si="70"/>
        <v>0</v>
      </c>
      <c r="J325" s="24">
        <v>0</v>
      </c>
      <c r="K325" s="24">
        <f t="shared" si="71"/>
        <v>0</v>
      </c>
      <c r="L325" s="25">
        <v>0</v>
      </c>
      <c r="M325" s="25">
        <v>0</v>
      </c>
      <c r="N325" s="26">
        <f t="shared" si="66"/>
        <v>0</v>
      </c>
      <c r="O325" s="24">
        <f t="shared" si="72"/>
        <v>0</v>
      </c>
      <c r="P325" s="24">
        <f t="shared" si="73"/>
        <v>0</v>
      </c>
      <c r="Q325" s="29">
        <f t="shared" si="74"/>
        <v>0</v>
      </c>
      <c r="R325" s="30">
        <f>COUNTIF(RAW_DATA[[#This Row],[CONVERTED]],"&gt;0")</f>
        <v>0</v>
      </c>
      <c r="S325" s="30">
        <f>COUNTIFS(RAW_DATA[[#This Row],[AM/PM]],"AM",RAW_DATA[[#This Row],[CONVERTED]],"&gt;0")</f>
        <v>0</v>
      </c>
      <c r="T325" s="19">
        <f t="shared" si="77"/>
        <v>0</v>
      </c>
      <c r="U325" s="20" t="str">
        <f t="shared" si="75"/>
        <v>SINGLE</v>
      </c>
    </row>
    <row r="326" spans="1:21" x14ac:dyDescent="0.35">
      <c r="A326" s="21">
        <f t="shared" si="78"/>
        <v>45253</v>
      </c>
      <c r="B326" s="22" t="str">
        <f t="shared" si="76"/>
        <v>AM</v>
      </c>
      <c r="C326" s="23" t="str">
        <f t="shared" si="67"/>
        <v>November</v>
      </c>
      <c r="D326" s="13" t="str">
        <f t="shared" si="68"/>
        <v>THU</v>
      </c>
      <c r="E326" s="24">
        <v>0</v>
      </c>
      <c r="F326" s="24">
        <v>0</v>
      </c>
      <c r="G326" s="24">
        <v>0</v>
      </c>
      <c r="H326" s="24">
        <f t="shared" si="69"/>
        <v>0</v>
      </c>
      <c r="I326" s="24">
        <f t="shared" si="70"/>
        <v>0</v>
      </c>
      <c r="J326" s="24">
        <v>0</v>
      </c>
      <c r="K326" s="24">
        <f t="shared" si="71"/>
        <v>0</v>
      </c>
      <c r="L326" s="25">
        <v>0</v>
      </c>
      <c r="M326" s="25">
        <v>0</v>
      </c>
      <c r="N326" s="26">
        <f t="shared" si="66"/>
        <v>0</v>
      </c>
      <c r="O326" s="24">
        <f t="shared" si="72"/>
        <v>0</v>
      </c>
      <c r="P326" s="24">
        <f t="shared" si="73"/>
        <v>0</v>
      </c>
      <c r="Q326" s="29">
        <f t="shared" si="74"/>
        <v>0</v>
      </c>
      <c r="R326" s="30">
        <f>COUNTIF(RAW_DATA[[#This Row],[CONVERTED]],"&gt;0")</f>
        <v>0</v>
      </c>
      <c r="S326" s="30">
        <f>COUNTIFS(RAW_DATA[[#This Row],[AM/PM]],"AM",RAW_DATA[[#This Row],[CONVERTED]],"&gt;0")</f>
        <v>0</v>
      </c>
      <c r="T326" s="19">
        <f t="shared" si="77"/>
        <v>0</v>
      </c>
      <c r="U326" s="20" t="str">
        <f t="shared" si="75"/>
        <v>SINGLE</v>
      </c>
    </row>
    <row r="327" spans="1:21" x14ac:dyDescent="0.35">
      <c r="A327" s="21">
        <f t="shared" si="78"/>
        <v>45253</v>
      </c>
      <c r="B327" s="22" t="str">
        <f t="shared" si="76"/>
        <v>PM</v>
      </c>
      <c r="C327" s="23" t="str">
        <f t="shared" si="67"/>
        <v>November</v>
      </c>
      <c r="D327" s="13" t="str">
        <f t="shared" si="68"/>
        <v>THU</v>
      </c>
      <c r="E327" s="24">
        <v>0</v>
      </c>
      <c r="F327" s="24">
        <v>0</v>
      </c>
      <c r="G327" s="24">
        <v>0</v>
      </c>
      <c r="H327" s="24">
        <f t="shared" si="69"/>
        <v>0</v>
      </c>
      <c r="I327" s="24">
        <f t="shared" si="70"/>
        <v>0</v>
      </c>
      <c r="J327" s="24">
        <v>0</v>
      </c>
      <c r="K327" s="24">
        <f t="shared" si="71"/>
        <v>0</v>
      </c>
      <c r="L327" s="25">
        <v>0</v>
      </c>
      <c r="M327" s="25">
        <v>0</v>
      </c>
      <c r="N327" s="26">
        <f t="shared" si="66"/>
        <v>0</v>
      </c>
      <c r="O327" s="24">
        <f t="shared" si="72"/>
        <v>0</v>
      </c>
      <c r="P327" s="24">
        <f t="shared" si="73"/>
        <v>0</v>
      </c>
      <c r="Q327" s="29">
        <f t="shared" si="74"/>
        <v>0</v>
      </c>
      <c r="R327" s="30">
        <f>COUNTIF(RAW_DATA[[#This Row],[CONVERTED]],"&gt;0")</f>
        <v>0</v>
      </c>
      <c r="S327" s="30">
        <f>COUNTIFS(RAW_DATA[[#This Row],[AM/PM]],"AM",RAW_DATA[[#This Row],[CONVERTED]],"&gt;0")</f>
        <v>0</v>
      </c>
      <c r="T327" s="19">
        <f t="shared" si="77"/>
        <v>0</v>
      </c>
      <c r="U327" s="20" t="str">
        <f t="shared" si="75"/>
        <v>SINGLE</v>
      </c>
    </row>
    <row r="328" spans="1:21" x14ac:dyDescent="0.35">
      <c r="A328" s="21">
        <f t="shared" si="78"/>
        <v>45254</v>
      </c>
      <c r="B328" s="22" t="str">
        <f t="shared" si="76"/>
        <v>AM</v>
      </c>
      <c r="C328" s="23" t="str">
        <f t="shared" si="67"/>
        <v>November</v>
      </c>
      <c r="D328" s="13" t="str">
        <f t="shared" si="68"/>
        <v>FRI</v>
      </c>
      <c r="E328" s="24">
        <v>0</v>
      </c>
      <c r="F328" s="24">
        <v>0</v>
      </c>
      <c r="G328" s="24">
        <v>0</v>
      </c>
      <c r="H328" s="24">
        <f t="shared" si="69"/>
        <v>0</v>
      </c>
      <c r="I328" s="24">
        <f t="shared" si="70"/>
        <v>0</v>
      </c>
      <c r="J328" s="24">
        <v>0</v>
      </c>
      <c r="K328" s="24">
        <f t="shared" si="71"/>
        <v>0</v>
      </c>
      <c r="L328" s="25">
        <v>0</v>
      </c>
      <c r="M328" s="25">
        <v>0</v>
      </c>
      <c r="N328" s="26">
        <f t="shared" si="66"/>
        <v>0</v>
      </c>
      <c r="O328" s="24">
        <f t="shared" si="72"/>
        <v>0</v>
      </c>
      <c r="P328" s="24">
        <f t="shared" si="73"/>
        <v>0</v>
      </c>
      <c r="Q328" s="29">
        <f t="shared" si="74"/>
        <v>0</v>
      </c>
      <c r="R328" s="30">
        <f>COUNTIF(RAW_DATA[[#This Row],[CONVERTED]],"&gt;0")</f>
        <v>0</v>
      </c>
      <c r="S328" s="30">
        <f>COUNTIFS(RAW_DATA[[#This Row],[AM/PM]],"AM",RAW_DATA[[#This Row],[CONVERTED]],"&gt;0")</f>
        <v>0</v>
      </c>
      <c r="T328" s="19">
        <f t="shared" si="77"/>
        <v>0</v>
      </c>
      <c r="U328" s="20" t="str">
        <f t="shared" si="75"/>
        <v>SINGLE</v>
      </c>
    </row>
    <row r="329" spans="1:21" x14ac:dyDescent="0.35">
      <c r="A329" s="21">
        <f t="shared" si="78"/>
        <v>45254</v>
      </c>
      <c r="B329" s="22" t="str">
        <f t="shared" si="76"/>
        <v>PM</v>
      </c>
      <c r="C329" s="23" t="str">
        <f t="shared" si="67"/>
        <v>November</v>
      </c>
      <c r="D329" s="13" t="str">
        <f t="shared" si="68"/>
        <v>FRI</v>
      </c>
      <c r="E329" s="24">
        <v>835.5</v>
      </c>
      <c r="F329" s="24">
        <v>151.80000000000001</v>
      </c>
      <c r="G329" s="24">
        <v>0</v>
      </c>
      <c r="H329" s="24">
        <f t="shared" si="69"/>
        <v>33.42</v>
      </c>
      <c r="I329" s="24">
        <f t="shared" si="70"/>
        <v>2.5502400000000001</v>
      </c>
      <c r="J329" s="24">
        <v>0</v>
      </c>
      <c r="K329" s="24">
        <f t="shared" si="71"/>
        <v>115.82976000000001</v>
      </c>
      <c r="L329" s="25">
        <v>4</v>
      </c>
      <c r="M329" s="25">
        <v>18</v>
      </c>
      <c r="N329" s="26">
        <f t="shared" si="66"/>
        <v>4.3</v>
      </c>
      <c r="O329" s="24">
        <f t="shared" si="72"/>
        <v>9.1589999999999989</v>
      </c>
      <c r="P329" s="24">
        <f t="shared" si="73"/>
        <v>124.98876000000001</v>
      </c>
      <c r="Q329" s="29">
        <f t="shared" si="74"/>
        <v>124.98876000000001</v>
      </c>
      <c r="R329" s="30">
        <f>COUNTIF(RAW_DATA[[#This Row],[CONVERTED]],"&gt;0")</f>
        <v>1</v>
      </c>
      <c r="S329" s="30">
        <f>COUNTIFS(RAW_DATA[[#This Row],[AM/PM]],"AM",RAW_DATA[[#This Row],[CONVERTED]],"&gt;0")</f>
        <v>0</v>
      </c>
      <c r="T329" s="19">
        <f t="shared" si="77"/>
        <v>0</v>
      </c>
      <c r="U329" s="20" t="str">
        <f t="shared" si="75"/>
        <v>SINGLE</v>
      </c>
    </row>
    <row r="330" spans="1:21" x14ac:dyDescent="0.35">
      <c r="A330" s="21">
        <f t="shared" si="78"/>
        <v>45255</v>
      </c>
      <c r="B330" s="22" t="str">
        <f t="shared" si="76"/>
        <v>AM</v>
      </c>
      <c r="C330" s="23" t="str">
        <f t="shared" si="67"/>
        <v>November</v>
      </c>
      <c r="D330" s="13" t="str">
        <f t="shared" si="68"/>
        <v>SAT</v>
      </c>
      <c r="E330" s="24">
        <v>0</v>
      </c>
      <c r="F330" s="24">
        <v>0</v>
      </c>
      <c r="G330" s="24">
        <v>0</v>
      </c>
      <c r="H330" s="24">
        <f t="shared" si="69"/>
        <v>0</v>
      </c>
      <c r="I330" s="24">
        <f t="shared" si="70"/>
        <v>0</v>
      </c>
      <c r="J330" s="24">
        <v>0</v>
      </c>
      <c r="K330" s="24">
        <f t="shared" si="71"/>
        <v>0</v>
      </c>
      <c r="L330" s="25">
        <v>0</v>
      </c>
      <c r="M330" s="25">
        <v>0</v>
      </c>
      <c r="N330" s="26">
        <f t="shared" si="66"/>
        <v>0</v>
      </c>
      <c r="O330" s="24">
        <f t="shared" si="72"/>
        <v>0</v>
      </c>
      <c r="P330" s="24">
        <f t="shared" si="73"/>
        <v>0</v>
      </c>
      <c r="Q330" s="29">
        <f t="shared" si="74"/>
        <v>0</v>
      </c>
      <c r="R330" s="30">
        <f>COUNTIF(RAW_DATA[[#This Row],[CONVERTED]],"&gt;0")</f>
        <v>0</v>
      </c>
      <c r="S330" s="30">
        <f>COUNTIFS(RAW_DATA[[#This Row],[AM/PM]],"AM",RAW_DATA[[#This Row],[CONVERTED]],"&gt;0")</f>
        <v>0</v>
      </c>
      <c r="T330" s="19">
        <f t="shared" si="77"/>
        <v>0</v>
      </c>
      <c r="U330" s="20" t="str">
        <f t="shared" si="75"/>
        <v>SINGLE</v>
      </c>
    </row>
    <row r="331" spans="1:21" x14ac:dyDescent="0.35">
      <c r="A331" s="21">
        <f t="shared" si="78"/>
        <v>45255</v>
      </c>
      <c r="B331" s="22" t="str">
        <f t="shared" si="76"/>
        <v>PM</v>
      </c>
      <c r="C331" s="23" t="str">
        <f t="shared" si="67"/>
        <v>November</v>
      </c>
      <c r="D331" s="13" t="str">
        <f t="shared" si="68"/>
        <v>SAT</v>
      </c>
      <c r="E331" s="24">
        <v>0</v>
      </c>
      <c r="F331" s="24">
        <v>0</v>
      </c>
      <c r="G331" s="24">
        <v>0</v>
      </c>
      <c r="H331" s="24">
        <f t="shared" si="69"/>
        <v>0</v>
      </c>
      <c r="I331" s="24">
        <f t="shared" si="70"/>
        <v>0</v>
      </c>
      <c r="J331" s="24">
        <v>0</v>
      </c>
      <c r="K331" s="24">
        <f t="shared" si="71"/>
        <v>0</v>
      </c>
      <c r="L331" s="25">
        <v>0</v>
      </c>
      <c r="M331" s="25">
        <v>0</v>
      </c>
      <c r="N331" s="26">
        <f t="shared" si="66"/>
        <v>0</v>
      </c>
      <c r="O331" s="24">
        <f t="shared" si="72"/>
        <v>0</v>
      </c>
      <c r="P331" s="24">
        <f t="shared" si="73"/>
        <v>0</v>
      </c>
      <c r="Q331" s="29">
        <f t="shared" si="74"/>
        <v>0</v>
      </c>
      <c r="R331" s="30">
        <f>COUNTIF(RAW_DATA[[#This Row],[CONVERTED]],"&gt;0")</f>
        <v>0</v>
      </c>
      <c r="S331" s="30">
        <f>COUNTIFS(RAW_DATA[[#This Row],[AM/PM]],"AM",RAW_DATA[[#This Row],[CONVERTED]],"&gt;0")</f>
        <v>0</v>
      </c>
      <c r="T331" s="19">
        <f t="shared" si="77"/>
        <v>0</v>
      </c>
      <c r="U331" s="20" t="str">
        <f t="shared" si="75"/>
        <v>SINGLE</v>
      </c>
    </row>
    <row r="332" spans="1:21" x14ac:dyDescent="0.35">
      <c r="A332" s="21">
        <f t="shared" si="78"/>
        <v>45256</v>
      </c>
      <c r="B332" s="22" t="str">
        <f t="shared" si="76"/>
        <v>AM</v>
      </c>
      <c r="C332" s="23" t="str">
        <f t="shared" si="67"/>
        <v>November</v>
      </c>
      <c r="D332" s="13" t="str">
        <f t="shared" si="68"/>
        <v>SUN</v>
      </c>
      <c r="E332" s="24">
        <v>0</v>
      </c>
      <c r="F332" s="24">
        <v>0</v>
      </c>
      <c r="G332" s="24">
        <v>0</v>
      </c>
      <c r="H332" s="24">
        <f t="shared" si="69"/>
        <v>0</v>
      </c>
      <c r="I332" s="24">
        <f t="shared" si="70"/>
        <v>0</v>
      </c>
      <c r="J332" s="24">
        <v>0</v>
      </c>
      <c r="K332" s="24">
        <f t="shared" si="71"/>
        <v>0</v>
      </c>
      <c r="L332" s="25">
        <v>0</v>
      </c>
      <c r="M332" s="25">
        <v>0</v>
      </c>
      <c r="N332" s="26">
        <f t="shared" si="66"/>
        <v>0</v>
      </c>
      <c r="O332" s="24">
        <f t="shared" si="72"/>
        <v>0</v>
      </c>
      <c r="P332" s="24">
        <f t="shared" si="73"/>
        <v>0</v>
      </c>
      <c r="Q332" s="29">
        <f t="shared" si="74"/>
        <v>0</v>
      </c>
      <c r="R332" s="30">
        <f>COUNTIF(RAW_DATA[[#This Row],[CONVERTED]],"&gt;0")</f>
        <v>0</v>
      </c>
      <c r="S332" s="30">
        <f>COUNTIFS(RAW_DATA[[#This Row],[AM/PM]],"AM",RAW_DATA[[#This Row],[CONVERTED]],"&gt;0")</f>
        <v>0</v>
      </c>
      <c r="T332" s="19">
        <f t="shared" si="77"/>
        <v>0</v>
      </c>
      <c r="U332" s="20" t="str">
        <f t="shared" si="75"/>
        <v>SINGLE</v>
      </c>
    </row>
    <row r="333" spans="1:21" x14ac:dyDescent="0.35">
      <c r="A333" s="21">
        <f t="shared" si="78"/>
        <v>45256</v>
      </c>
      <c r="B333" s="22" t="str">
        <f t="shared" si="76"/>
        <v>PM</v>
      </c>
      <c r="C333" s="23" t="str">
        <f t="shared" si="67"/>
        <v>November</v>
      </c>
      <c r="D333" s="13" t="str">
        <f t="shared" si="68"/>
        <v>SUN</v>
      </c>
      <c r="E333" s="24">
        <v>0</v>
      </c>
      <c r="F333" s="24">
        <v>0</v>
      </c>
      <c r="G333" s="24">
        <v>0</v>
      </c>
      <c r="H333" s="24">
        <f t="shared" si="69"/>
        <v>0</v>
      </c>
      <c r="I333" s="24">
        <f t="shared" si="70"/>
        <v>0</v>
      </c>
      <c r="J333" s="24">
        <v>0</v>
      </c>
      <c r="K333" s="24">
        <f t="shared" si="71"/>
        <v>0</v>
      </c>
      <c r="L333" s="25">
        <v>0</v>
      </c>
      <c r="M333" s="25">
        <v>0</v>
      </c>
      <c r="N333" s="26">
        <f t="shared" si="66"/>
        <v>0</v>
      </c>
      <c r="O333" s="24">
        <f t="shared" si="72"/>
        <v>0</v>
      </c>
      <c r="P333" s="24">
        <f t="shared" si="73"/>
        <v>0</v>
      </c>
      <c r="Q333" s="29">
        <f t="shared" si="74"/>
        <v>0</v>
      </c>
      <c r="R333" s="30">
        <f>COUNTIF(RAW_DATA[[#This Row],[CONVERTED]],"&gt;0")</f>
        <v>0</v>
      </c>
      <c r="S333" s="30">
        <f>COUNTIFS(RAW_DATA[[#This Row],[AM/PM]],"AM",RAW_DATA[[#This Row],[CONVERTED]],"&gt;0")</f>
        <v>0</v>
      </c>
      <c r="T333" s="19">
        <f t="shared" si="77"/>
        <v>0</v>
      </c>
      <c r="U333" s="20" t="str">
        <f t="shared" si="75"/>
        <v>SINGLE</v>
      </c>
    </row>
    <row r="334" spans="1:21" x14ac:dyDescent="0.35">
      <c r="A334" s="21">
        <f t="shared" si="78"/>
        <v>45257</v>
      </c>
      <c r="B334" s="22" t="str">
        <f t="shared" si="76"/>
        <v>AM</v>
      </c>
      <c r="C334" s="23" t="str">
        <f t="shared" si="67"/>
        <v>November</v>
      </c>
      <c r="D334" s="13" t="str">
        <f t="shared" si="68"/>
        <v>MON</v>
      </c>
      <c r="E334" s="24">
        <v>0</v>
      </c>
      <c r="F334" s="24">
        <v>0</v>
      </c>
      <c r="G334" s="24">
        <v>0</v>
      </c>
      <c r="H334" s="24">
        <f t="shared" si="69"/>
        <v>0</v>
      </c>
      <c r="I334" s="24">
        <f t="shared" si="70"/>
        <v>0</v>
      </c>
      <c r="J334" s="24">
        <v>0</v>
      </c>
      <c r="K334" s="24">
        <f t="shared" si="71"/>
        <v>0</v>
      </c>
      <c r="L334" s="25">
        <v>0</v>
      </c>
      <c r="M334" s="25">
        <v>0</v>
      </c>
      <c r="N334" s="26">
        <f t="shared" si="66"/>
        <v>0</v>
      </c>
      <c r="O334" s="24">
        <f t="shared" si="72"/>
        <v>0</v>
      </c>
      <c r="P334" s="24">
        <f t="shared" si="73"/>
        <v>0</v>
      </c>
      <c r="Q334" s="29">
        <f t="shared" si="74"/>
        <v>0</v>
      </c>
      <c r="R334" s="30">
        <f>COUNTIF(RAW_DATA[[#This Row],[CONVERTED]],"&gt;0")</f>
        <v>0</v>
      </c>
      <c r="S334" s="30">
        <f>COUNTIFS(RAW_DATA[[#This Row],[AM/PM]],"AM",RAW_DATA[[#This Row],[CONVERTED]],"&gt;0")</f>
        <v>0</v>
      </c>
      <c r="T334" s="19">
        <f t="shared" si="77"/>
        <v>0</v>
      </c>
      <c r="U334" s="20" t="str">
        <f t="shared" si="75"/>
        <v>SINGLE</v>
      </c>
    </row>
    <row r="335" spans="1:21" x14ac:dyDescent="0.35">
      <c r="A335" s="21">
        <f t="shared" si="78"/>
        <v>45257</v>
      </c>
      <c r="B335" s="22" t="str">
        <f t="shared" si="76"/>
        <v>PM</v>
      </c>
      <c r="C335" s="23" t="str">
        <f t="shared" si="67"/>
        <v>November</v>
      </c>
      <c r="D335" s="13" t="str">
        <f t="shared" si="68"/>
        <v>MON</v>
      </c>
      <c r="E335" s="24">
        <v>535</v>
      </c>
      <c r="F335" s="24">
        <v>104.83</v>
      </c>
      <c r="G335" s="24">
        <v>0</v>
      </c>
      <c r="H335" s="24">
        <f t="shared" si="69"/>
        <v>21.400000000000002</v>
      </c>
      <c r="I335" s="24">
        <f t="shared" si="70"/>
        <v>1.7611439999999998</v>
      </c>
      <c r="J335" s="24">
        <v>0</v>
      </c>
      <c r="K335" s="24">
        <f t="shared" si="71"/>
        <v>81.668856000000005</v>
      </c>
      <c r="L335" s="25">
        <v>5</v>
      </c>
      <c r="M335" s="25">
        <v>16</v>
      </c>
      <c r="N335" s="26">
        <f t="shared" si="66"/>
        <v>5.2666666666666666</v>
      </c>
      <c r="O335" s="24">
        <f t="shared" si="72"/>
        <v>11.218</v>
      </c>
      <c r="P335" s="24">
        <f t="shared" si="73"/>
        <v>92.886856000000009</v>
      </c>
      <c r="Q335" s="29">
        <f t="shared" si="74"/>
        <v>92.886856000000009</v>
      </c>
      <c r="R335" s="30">
        <f>COUNTIF(RAW_DATA[[#This Row],[CONVERTED]],"&gt;0")</f>
        <v>1</v>
      </c>
      <c r="S335" s="30">
        <f>COUNTIFS(RAW_DATA[[#This Row],[AM/PM]],"AM",RAW_DATA[[#This Row],[CONVERTED]],"&gt;0")</f>
        <v>0</v>
      </c>
      <c r="T335" s="19">
        <f t="shared" si="77"/>
        <v>0</v>
      </c>
      <c r="U335" s="20" t="str">
        <f t="shared" si="75"/>
        <v>SINGLE</v>
      </c>
    </row>
    <row r="336" spans="1:21" x14ac:dyDescent="0.35">
      <c r="A336" s="21">
        <f t="shared" si="78"/>
        <v>45258</v>
      </c>
      <c r="B336" s="22" t="str">
        <f t="shared" si="76"/>
        <v>AM</v>
      </c>
      <c r="C336" s="23" t="str">
        <f t="shared" si="67"/>
        <v>November</v>
      </c>
      <c r="D336" s="13" t="str">
        <f t="shared" si="68"/>
        <v>TUE</v>
      </c>
      <c r="E336" s="24">
        <v>509</v>
      </c>
      <c r="F336" s="24">
        <v>38.65</v>
      </c>
      <c r="G336" s="24">
        <v>59</v>
      </c>
      <c r="H336" s="24">
        <f t="shared" si="69"/>
        <v>20.36</v>
      </c>
      <c r="I336" s="24">
        <f t="shared" si="70"/>
        <v>0.6493199999999999</v>
      </c>
      <c r="J336" s="24">
        <v>3.55</v>
      </c>
      <c r="K336" s="24">
        <f t="shared" si="71"/>
        <v>17.64068</v>
      </c>
      <c r="L336" s="25">
        <v>4</v>
      </c>
      <c r="M336" s="25">
        <v>30</v>
      </c>
      <c r="N336" s="26">
        <f t="shared" si="66"/>
        <v>4.5</v>
      </c>
      <c r="O336" s="24">
        <f t="shared" si="72"/>
        <v>9.5849999999999991</v>
      </c>
      <c r="P336" s="24">
        <f t="shared" si="73"/>
        <v>30.775680000000001</v>
      </c>
      <c r="Q336" s="29">
        <f t="shared" si="74"/>
        <v>86.225679999999997</v>
      </c>
      <c r="R336" s="30">
        <f>COUNTIF(RAW_DATA[[#This Row],[CONVERTED]],"&gt;0")</f>
        <v>1</v>
      </c>
      <c r="S336" s="30">
        <f>COUNTIFS(RAW_DATA[[#This Row],[AM/PM]],"AM",RAW_DATA[[#This Row],[CONVERTED]],"&gt;0")</f>
        <v>1</v>
      </c>
      <c r="T336" s="19">
        <f t="shared" si="77"/>
        <v>0</v>
      </c>
      <c r="U336" s="20" t="str">
        <f t="shared" si="75"/>
        <v>SINGLE</v>
      </c>
    </row>
    <row r="337" spans="1:21" x14ac:dyDescent="0.35">
      <c r="A337" s="21">
        <f t="shared" si="78"/>
        <v>45258</v>
      </c>
      <c r="B337" s="22" t="str">
        <f t="shared" si="76"/>
        <v>PM</v>
      </c>
      <c r="C337" s="23" t="str">
        <f t="shared" si="67"/>
        <v>November</v>
      </c>
      <c r="D337" s="13" t="str">
        <f t="shared" si="68"/>
        <v>TUE</v>
      </c>
      <c r="E337" s="24">
        <v>0</v>
      </c>
      <c r="F337" s="24">
        <v>0</v>
      </c>
      <c r="G337" s="24">
        <v>0</v>
      </c>
      <c r="H337" s="24">
        <f t="shared" si="69"/>
        <v>0</v>
      </c>
      <c r="I337" s="24">
        <f t="shared" si="70"/>
        <v>0</v>
      </c>
      <c r="J337" s="24">
        <v>0</v>
      </c>
      <c r="K337" s="24">
        <f t="shared" si="71"/>
        <v>0</v>
      </c>
      <c r="L337" s="25">
        <v>0</v>
      </c>
      <c r="M337" s="25">
        <v>0</v>
      </c>
      <c r="N337" s="26">
        <f t="shared" ref="N337:N400" si="79">((L337*60)+M337)/60</f>
        <v>0</v>
      </c>
      <c r="O337" s="24">
        <f t="shared" si="72"/>
        <v>0</v>
      </c>
      <c r="P337" s="24">
        <f t="shared" si="73"/>
        <v>0</v>
      </c>
      <c r="Q337" s="29">
        <f t="shared" si="74"/>
        <v>0</v>
      </c>
      <c r="R337" s="30">
        <f>COUNTIF(RAW_DATA[[#This Row],[CONVERTED]],"&gt;0")</f>
        <v>0</v>
      </c>
      <c r="S337" s="30">
        <f>COUNTIFS(RAW_DATA[[#This Row],[AM/PM]],"AM",RAW_DATA[[#This Row],[CONVERTED]],"&gt;0")</f>
        <v>0</v>
      </c>
      <c r="T337" s="19">
        <f t="shared" si="77"/>
        <v>0</v>
      </c>
      <c r="U337" s="20" t="str">
        <f t="shared" si="75"/>
        <v>SINGLE</v>
      </c>
    </row>
    <row r="338" spans="1:21" x14ac:dyDescent="0.35">
      <c r="A338" s="21">
        <f t="shared" si="78"/>
        <v>45259</v>
      </c>
      <c r="B338" s="22" t="str">
        <f t="shared" si="76"/>
        <v>AM</v>
      </c>
      <c r="C338" s="23" t="str">
        <f t="shared" si="67"/>
        <v>November</v>
      </c>
      <c r="D338" s="13" t="str">
        <f t="shared" si="68"/>
        <v>WED</v>
      </c>
      <c r="E338" s="24">
        <v>0</v>
      </c>
      <c r="F338" s="24">
        <v>0</v>
      </c>
      <c r="G338" s="24">
        <v>0</v>
      </c>
      <c r="H338" s="24">
        <f t="shared" si="69"/>
        <v>0</v>
      </c>
      <c r="I338" s="24">
        <f t="shared" si="70"/>
        <v>0</v>
      </c>
      <c r="J338" s="24">
        <v>0</v>
      </c>
      <c r="K338" s="24">
        <f t="shared" si="71"/>
        <v>0</v>
      </c>
      <c r="L338" s="25">
        <v>0</v>
      </c>
      <c r="M338" s="25">
        <v>0</v>
      </c>
      <c r="N338" s="26">
        <f t="shared" si="79"/>
        <v>0</v>
      </c>
      <c r="O338" s="24">
        <f t="shared" si="72"/>
        <v>0</v>
      </c>
      <c r="P338" s="24">
        <f t="shared" si="73"/>
        <v>0</v>
      </c>
      <c r="Q338" s="29">
        <f t="shared" si="74"/>
        <v>0</v>
      </c>
      <c r="R338" s="30">
        <f>COUNTIF(RAW_DATA[[#This Row],[CONVERTED]],"&gt;0")</f>
        <v>0</v>
      </c>
      <c r="S338" s="30">
        <f>COUNTIFS(RAW_DATA[[#This Row],[AM/PM]],"AM",RAW_DATA[[#This Row],[CONVERTED]],"&gt;0")</f>
        <v>0</v>
      </c>
      <c r="T338" s="19">
        <f t="shared" si="77"/>
        <v>0</v>
      </c>
      <c r="U338" s="20" t="str">
        <f t="shared" si="75"/>
        <v>SINGLE</v>
      </c>
    </row>
    <row r="339" spans="1:21" x14ac:dyDescent="0.35">
      <c r="A339" s="21">
        <f t="shared" si="78"/>
        <v>45259</v>
      </c>
      <c r="B339" s="22" t="str">
        <f t="shared" si="76"/>
        <v>PM</v>
      </c>
      <c r="C339" s="23" t="str">
        <f t="shared" si="67"/>
        <v>November</v>
      </c>
      <c r="D339" s="13" t="str">
        <f t="shared" si="68"/>
        <v>WED</v>
      </c>
      <c r="E339" s="24">
        <v>0</v>
      </c>
      <c r="F339" s="24">
        <v>0</v>
      </c>
      <c r="G339" s="24">
        <v>0</v>
      </c>
      <c r="H339" s="24">
        <f t="shared" si="69"/>
        <v>0</v>
      </c>
      <c r="I339" s="24">
        <f t="shared" si="70"/>
        <v>0</v>
      </c>
      <c r="J339" s="24">
        <v>0</v>
      </c>
      <c r="K339" s="24">
        <f t="shared" si="71"/>
        <v>0</v>
      </c>
      <c r="L339" s="25">
        <v>0</v>
      </c>
      <c r="M339" s="25">
        <v>0</v>
      </c>
      <c r="N339" s="26">
        <f t="shared" si="79"/>
        <v>0</v>
      </c>
      <c r="O339" s="24">
        <f t="shared" si="72"/>
        <v>0</v>
      </c>
      <c r="P339" s="24">
        <f t="shared" si="73"/>
        <v>0</v>
      </c>
      <c r="Q339" s="29">
        <f t="shared" si="74"/>
        <v>0</v>
      </c>
      <c r="R339" s="30">
        <f>COUNTIF(RAW_DATA[[#This Row],[CONVERTED]],"&gt;0")</f>
        <v>0</v>
      </c>
      <c r="S339" s="30">
        <f>COUNTIFS(RAW_DATA[[#This Row],[AM/PM]],"AM",RAW_DATA[[#This Row],[CONVERTED]],"&gt;0")</f>
        <v>0</v>
      </c>
      <c r="T339" s="19">
        <f t="shared" si="77"/>
        <v>0</v>
      </c>
      <c r="U339" s="20" t="str">
        <f t="shared" si="75"/>
        <v>SINGLE</v>
      </c>
    </row>
    <row r="340" spans="1:21" x14ac:dyDescent="0.35">
      <c r="A340" s="21">
        <f t="shared" si="78"/>
        <v>45260</v>
      </c>
      <c r="B340" s="22" t="str">
        <f t="shared" si="76"/>
        <v>AM</v>
      </c>
      <c r="C340" s="23" t="str">
        <f t="shared" si="67"/>
        <v>November</v>
      </c>
      <c r="D340" s="13" t="str">
        <f t="shared" si="68"/>
        <v>THU</v>
      </c>
      <c r="E340" s="24">
        <v>0</v>
      </c>
      <c r="F340" s="24">
        <v>0</v>
      </c>
      <c r="G340" s="24">
        <v>0</v>
      </c>
      <c r="H340" s="24">
        <f t="shared" si="69"/>
        <v>0</v>
      </c>
      <c r="I340" s="24">
        <f t="shared" si="70"/>
        <v>0</v>
      </c>
      <c r="J340" s="24">
        <v>0</v>
      </c>
      <c r="K340" s="24">
        <f t="shared" si="71"/>
        <v>0</v>
      </c>
      <c r="L340" s="25">
        <v>0</v>
      </c>
      <c r="M340" s="25">
        <v>0</v>
      </c>
      <c r="N340" s="26">
        <f t="shared" si="79"/>
        <v>0</v>
      </c>
      <c r="O340" s="24">
        <f t="shared" si="72"/>
        <v>0</v>
      </c>
      <c r="P340" s="24">
        <f t="shared" si="73"/>
        <v>0</v>
      </c>
      <c r="Q340" s="29">
        <f t="shared" si="74"/>
        <v>0</v>
      </c>
      <c r="R340" s="30">
        <f>COUNTIF(RAW_DATA[[#This Row],[CONVERTED]],"&gt;0")</f>
        <v>0</v>
      </c>
      <c r="S340" s="30">
        <f>COUNTIFS(RAW_DATA[[#This Row],[AM/PM]],"AM",RAW_DATA[[#This Row],[CONVERTED]],"&gt;0")</f>
        <v>0</v>
      </c>
      <c r="T340" s="19">
        <f t="shared" si="77"/>
        <v>0</v>
      </c>
      <c r="U340" s="20" t="str">
        <f t="shared" si="75"/>
        <v>SINGLE</v>
      </c>
    </row>
    <row r="341" spans="1:21" x14ac:dyDescent="0.35">
      <c r="A341" s="21">
        <f t="shared" si="78"/>
        <v>45260</v>
      </c>
      <c r="B341" s="22" t="str">
        <f t="shared" si="76"/>
        <v>PM</v>
      </c>
      <c r="C341" s="23" t="str">
        <f t="shared" si="67"/>
        <v>November</v>
      </c>
      <c r="D341" s="13" t="str">
        <f t="shared" si="68"/>
        <v>THU</v>
      </c>
      <c r="E341" s="24">
        <v>438.5</v>
      </c>
      <c r="F341" s="24">
        <v>94.04</v>
      </c>
      <c r="G341" s="24">
        <v>0</v>
      </c>
      <c r="H341" s="24">
        <f t="shared" si="69"/>
        <v>17.54</v>
      </c>
      <c r="I341" s="24">
        <f t="shared" si="70"/>
        <v>1.5798719999999999</v>
      </c>
      <c r="J341" s="24">
        <v>0</v>
      </c>
      <c r="K341" s="24">
        <f t="shared" si="71"/>
        <v>74.920128000000005</v>
      </c>
      <c r="L341" s="25">
        <v>3</v>
      </c>
      <c r="M341" s="25">
        <v>53</v>
      </c>
      <c r="N341" s="26">
        <f t="shared" si="79"/>
        <v>3.8833333333333333</v>
      </c>
      <c r="O341" s="24">
        <f t="shared" si="72"/>
        <v>8.2714999999999996</v>
      </c>
      <c r="P341" s="24">
        <f t="shared" si="73"/>
        <v>83.191628000000009</v>
      </c>
      <c r="Q341" s="29">
        <f t="shared" si="74"/>
        <v>83.191628000000009</v>
      </c>
      <c r="R341" s="30">
        <f>COUNTIF(RAW_DATA[[#This Row],[CONVERTED]],"&gt;0")</f>
        <v>1</v>
      </c>
      <c r="S341" s="30">
        <f>COUNTIFS(RAW_DATA[[#This Row],[AM/PM]],"AM",RAW_DATA[[#This Row],[CONVERTED]],"&gt;0")</f>
        <v>0</v>
      </c>
      <c r="T341" s="19">
        <f t="shared" si="77"/>
        <v>0</v>
      </c>
      <c r="U341" s="20" t="str">
        <f t="shared" si="75"/>
        <v>SINGLE</v>
      </c>
    </row>
    <row r="342" spans="1:21" x14ac:dyDescent="0.35">
      <c r="A342" s="21">
        <f t="shared" si="78"/>
        <v>45261</v>
      </c>
      <c r="B342" s="22" t="str">
        <f t="shared" si="76"/>
        <v>AM</v>
      </c>
      <c r="C342" s="23" t="str">
        <f t="shared" si="67"/>
        <v>December</v>
      </c>
      <c r="D342" s="13" t="str">
        <f t="shared" si="68"/>
        <v>FRI</v>
      </c>
      <c r="E342" s="24">
        <v>0</v>
      </c>
      <c r="F342" s="24">
        <v>0</v>
      </c>
      <c r="G342" s="24">
        <v>0</v>
      </c>
      <c r="H342" s="24">
        <f t="shared" si="69"/>
        <v>0</v>
      </c>
      <c r="I342" s="24">
        <f t="shared" si="70"/>
        <v>0</v>
      </c>
      <c r="J342" s="24">
        <v>0</v>
      </c>
      <c r="K342" s="24">
        <f t="shared" si="71"/>
        <v>0</v>
      </c>
      <c r="L342" s="25">
        <v>0</v>
      </c>
      <c r="M342" s="25">
        <v>0</v>
      </c>
      <c r="N342" s="26">
        <f t="shared" si="79"/>
        <v>0</v>
      </c>
      <c r="O342" s="24">
        <f t="shared" si="72"/>
        <v>0</v>
      </c>
      <c r="P342" s="24">
        <f t="shared" si="73"/>
        <v>0</v>
      </c>
      <c r="Q342" s="29">
        <f t="shared" si="74"/>
        <v>0</v>
      </c>
      <c r="R342" s="30">
        <f>COUNTIF(RAW_DATA[[#This Row],[CONVERTED]],"&gt;0")</f>
        <v>0</v>
      </c>
      <c r="S342" s="30">
        <f>COUNTIFS(RAW_DATA[[#This Row],[AM/PM]],"AM",RAW_DATA[[#This Row],[CONVERTED]],"&gt;0")</f>
        <v>0</v>
      </c>
      <c r="T342" s="19">
        <f t="shared" si="77"/>
        <v>0</v>
      </c>
      <c r="U342" s="20" t="str">
        <f t="shared" si="75"/>
        <v>SINGLE</v>
      </c>
    </row>
    <row r="343" spans="1:21" x14ac:dyDescent="0.35">
      <c r="A343" s="21">
        <f t="shared" si="78"/>
        <v>45261</v>
      </c>
      <c r="B343" s="22" t="str">
        <f t="shared" si="76"/>
        <v>PM</v>
      </c>
      <c r="C343" s="23" t="str">
        <f t="shared" si="67"/>
        <v>December</v>
      </c>
      <c r="D343" s="13" t="str">
        <f t="shared" si="68"/>
        <v>FRI</v>
      </c>
      <c r="E343" s="24">
        <v>1084.5</v>
      </c>
      <c r="F343" s="24">
        <v>199.02</v>
      </c>
      <c r="G343" s="24">
        <v>14</v>
      </c>
      <c r="H343" s="24">
        <f t="shared" si="69"/>
        <v>43.38</v>
      </c>
      <c r="I343" s="24">
        <f t="shared" si="70"/>
        <v>3.3435359999999998</v>
      </c>
      <c r="J343" s="24">
        <v>0</v>
      </c>
      <c r="K343" s="24">
        <f t="shared" si="71"/>
        <v>152.29646400000001</v>
      </c>
      <c r="L343" s="25">
        <v>5</v>
      </c>
      <c r="M343" s="25">
        <v>33</v>
      </c>
      <c r="N343" s="26">
        <f t="shared" si="79"/>
        <v>5.55</v>
      </c>
      <c r="O343" s="24">
        <f t="shared" si="72"/>
        <v>11.821499999999999</v>
      </c>
      <c r="P343" s="24">
        <f t="shared" si="73"/>
        <v>164.117964</v>
      </c>
      <c r="Q343" s="29">
        <f t="shared" si="74"/>
        <v>178.117964</v>
      </c>
      <c r="R343" s="30">
        <f>COUNTIF(RAW_DATA[[#This Row],[CONVERTED]],"&gt;0")</f>
        <v>1</v>
      </c>
      <c r="S343" s="30">
        <f>COUNTIFS(RAW_DATA[[#This Row],[AM/PM]],"AM",RAW_DATA[[#This Row],[CONVERTED]],"&gt;0")</f>
        <v>0</v>
      </c>
      <c r="T343" s="19">
        <f t="shared" si="77"/>
        <v>0</v>
      </c>
      <c r="U343" s="20" t="str">
        <f t="shared" si="75"/>
        <v>SINGLE</v>
      </c>
    </row>
    <row r="344" spans="1:21" x14ac:dyDescent="0.35">
      <c r="A344" s="21">
        <f t="shared" si="78"/>
        <v>45262</v>
      </c>
      <c r="B344" s="22" t="str">
        <f t="shared" si="76"/>
        <v>AM</v>
      </c>
      <c r="C344" s="23" t="str">
        <f t="shared" si="67"/>
        <v>December</v>
      </c>
      <c r="D344" s="13" t="str">
        <f t="shared" si="68"/>
        <v>SAT</v>
      </c>
      <c r="E344" s="24">
        <v>0</v>
      </c>
      <c r="F344" s="24">
        <v>0</v>
      </c>
      <c r="G344" s="24">
        <v>0</v>
      </c>
      <c r="H344" s="24">
        <f t="shared" si="69"/>
        <v>0</v>
      </c>
      <c r="I344" s="24">
        <f t="shared" si="70"/>
        <v>0</v>
      </c>
      <c r="J344" s="24">
        <v>0</v>
      </c>
      <c r="K344" s="24">
        <f t="shared" si="71"/>
        <v>0</v>
      </c>
      <c r="L344" s="25">
        <v>0</v>
      </c>
      <c r="M344" s="25">
        <v>0</v>
      </c>
      <c r="N344" s="26">
        <f t="shared" si="79"/>
        <v>0</v>
      </c>
      <c r="O344" s="24">
        <f t="shared" si="72"/>
        <v>0</v>
      </c>
      <c r="P344" s="24">
        <f t="shared" si="73"/>
        <v>0</v>
      </c>
      <c r="Q344" s="29">
        <f t="shared" si="74"/>
        <v>0</v>
      </c>
      <c r="R344" s="30">
        <f>COUNTIF(RAW_DATA[[#This Row],[CONVERTED]],"&gt;0")</f>
        <v>0</v>
      </c>
      <c r="S344" s="30">
        <f>COUNTIFS(RAW_DATA[[#This Row],[AM/PM]],"AM",RAW_DATA[[#This Row],[CONVERTED]],"&gt;0")</f>
        <v>0</v>
      </c>
      <c r="T344" s="19">
        <f t="shared" si="77"/>
        <v>0</v>
      </c>
      <c r="U344" s="20" t="str">
        <f t="shared" si="75"/>
        <v>SINGLE</v>
      </c>
    </row>
    <row r="345" spans="1:21" x14ac:dyDescent="0.35">
      <c r="A345" s="21">
        <f t="shared" si="78"/>
        <v>45262</v>
      </c>
      <c r="B345" s="22" t="str">
        <f t="shared" si="76"/>
        <v>PM</v>
      </c>
      <c r="C345" s="23" t="str">
        <f t="shared" si="67"/>
        <v>December</v>
      </c>
      <c r="D345" s="13" t="str">
        <f t="shared" si="68"/>
        <v>SAT</v>
      </c>
      <c r="E345" s="24">
        <v>0</v>
      </c>
      <c r="F345" s="24">
        <v>0</v>
      </c>
      <c r="G345" s="24">
        <v>0</v>
      </c>
      <c r="H345" s="24">
        <f t="shared" si="69"/>
        <v>0</v>
      </c>
      <c r="I345" s="24">
        <f t="shared" si="70"/>
        <v>0</v>
      </c>
      <c r="J345" s="24">
        <v>0</v>
      </c>
      <c r="K345" s="24">
        <f t="shared" si="71"/>
        <v>0</v>
      </c>
      <c r="L345" s="25">
        <v>0</v>
      </c>
      <c r="M345" s="25">
        <v>0</v>
      </c>
      <c r="N345" s="26">
        <f t="shared" si="79"/>
        <v>0</v>
      </c>
      <c r="O345" s="24">
        <f t="shared" si="72"/>
        <v>0</v>
      </c>
      <c r="P345" s="24">
        <f t="shared" si="73"/>
        <v>0</v>
      </c>
      <c r="Q345" s="29">
        <f t="shared" si="74"/>
        <v>0</v>
      </c>
      <c r="R345" s="30">
        <f>COUNTIF(RAW_DATA[[#This Row],[CONVERTED]],"&gt;0")</f>
        <v>0</v>
      </c>
      <c r="S345" s="30">
        <f>COUNTIFS(RAW_DATA[[#This Row],[AM/PM]],"AM",RAW_DATA[[#This Row],[CONVERTED]],"&gt;0")</f>
        <v>0</v>
      </c>
      <c r="T345" s="19">
        <f t="shared" si="77"/>
        <v>0</v>
      </c>
      <c r="U345" s="20" t="str">
        <f t="shared" si="75"/>
        <v>SINGLE</v>
      </c>
    </row>
    <row r="346" spans="1:21" x14ac:dyDescent="0.35">
      <c r="A346" s="21">
        <f t="shared" si="78"/>
        <v>45263</v>
      </c>
      <c r="B346" s="22" t="str">
        <f t="shared" si="76"/>
        <v>AM</v>
      </c>
      <c r="C346" s="23" t="str">
        <f t="shared" si="67"/>
        <v>December</v>
      </c>
      <c r="D346" s="13" t="str">
        <f t="shared" si="68"/>
        <v>SUN</v>
      </c>
      <c r="E346" s="24">
        <v>0</v>
      </c>
      <c r="F346" s="24">
        <v>0</v>
      </c>
      <c r="G346" s="24">
        <v>0</v>
      </c>
      <c r="H346" s="24">
        <f t="shared" si="69"/>
        <v>0</v>
      </c>
      <c r="I346" s="24">
        <f t="shared" si="70"/>
        <v>0</v>
      </c>
      <c r="J346" s="24">
        <v>0</v>
      </c>
      <c r="K346" s="24">
        <f t="shared" si="71"/>
        <v>0</v>
      </c>
      <c r="L346" s="25">
        <v>0</v>
      </c>
      <c r="M346" s="25">
        <v>0</v>
      </c>
      <c r="N346" s="26">
        <f t="shared" si="79"/>
        <v>0</v>
      </c>
      <c r="O346" s="24">
        <f t="shared" si="72"/>
        <v>0</v>
      </c>
      <c r="P346" s="24">
        <f t="shared" si="73"/>
        <v>0</v>
      </c>
      <c r="Q346" s="29">
        <f t="shared" si="74"/>
        <v>0</v>
      </c>
      <c r="R346" s="30">
        <f>COUNTIF(RAW_DATA[[#This Row],[CONVERTED]],"&gt;0")</f>
        <v>0</v>
      </c>
      <c r="S346" s="30">
        <f>COUNTIFS(RAW_DATA[[#This Row],[AM/PM]],"AM",RAW_DATA[[#This Row],[CONVERTED]],"&gt;0")</f>
        <v>0</v>
      </c>
      <c r="T346" s="19">
        <f t="shared" si="77"/>
        <v>0</v>
      </c>
      <c r="U346" s="20" t="str">
        <f t="shared" si="75"/>
        <v>SINGLE</v>
      </c>
    </row>
    <row r="347" spans="1:21" x14ac:dyDescent="0.35">
      <c r="A347" s="21">
        <f t="shared" si="78"/>
        <v>45263</v>
      </c>
      <c r="B347" s="22" t="str">
        <f t="shared" si="76"/>
        <v>PM</v>
      </c>
      <c r="C347" s="23" t="str">
        <f t="shared" si="67"/>
        <v>December</v>
      </c>
      <c r="D347" s="13" t="str">
        <f t="shared" si="68"/>
        <v>SUN</v>
      </c>
      <c r="E347" s="24">
        <v>1199</v>
      </c>
      <c r="F347" s="24">
        <v>244.05</v>
      </c>
      <c r="G347" s="24">
        <v>0</v>
      </c>
      <c r="H347" s="24">
        <f t="shared" si="69"/>
        <v>47.96</v>
      </c>
      <c r="I347" s="24">
        <f t="shared" si="70"/>
        <v>4.1000399999999999</v>
      </c>
      <c r="J347" s="24">
        <v>0</v>
      </c>
      <c r="K347" s="24">
        <f t="shared" si="71"/>
        <v>191.98996</v>
      </c>
      <c r="L347" s="25">
        <v>4</v>
      </c>
      <c r="M347" s="25">
        <v>29</v>
      </c>
      <c r="N347" s="26">
        <f t="shared" si="79"/>
        <v>4.4833333333333334</v>
      </c>
      <c r="O347" s="24">
        <f t="shared" si="72"/>
        <v>9.5495000000000001</v>
      </c>
      <c r="P347" s="24">
        <f t="shared" si="73"/>
        <v>201.53945999999999</v>
      </c>
      <c r="Q347" s="29">
        <f t="shared" si="74"/>
        <v>201.53945999999999</v>
      </c>
      <c r="R347" s="30">
        <f>COUNTIF(RAW_DATA[[#This Row],[CONVERTED]],"&gt;0")</f>
        <v>1</v>
      </c>
      <c r="S347" s="30">
        <f>COUNTIFS(RAW_DATA[[#This Row],[AM/PM]],"AM",RAW_DATA[[#This Row],[CONVERTED]],"&gt;0")</f>
        <v>0</v>
      </c>
      <c r="T347" s="19">
        <f t="shared" si="77"/>
        <v>0</v>
      </c>
      <c r="U347" s="20" t="str">
        <f t="shared" si="75"/>
        <v>SINGLE</v>
      </c>
    </row>
    <row r="348" spans="1:21" x14ac:dyDescent="0.35">
      <c r="A348" s="21">
        <f t="shared" si="78"/>
        <v>45264</v>
      </c>
      <c r="B348" s="22" t="str">
        <f t="shared" si="76"/>
        <v>AM</v>
      </c>
      <c r="C348" s="23" t="str">
        <f t="shared" si="67"/>
        <v>December</v>
      </c>
      <c r="D348" s="13" t="str">
        <f t="shared" si="68"/>
        <v>MON</v>
      </c>
      <c r="E348" s="24">
        <v>0</v>
      </c>
      <c r="F348" s="24">
        <v>0</v>
      </c>
      <c r="G348" s="24">
        <v>0</v>
      </c>
      <c r="H348" s="24">
        <f t="shared" si="69"/>
        <v>0</v>
      </c>
      <c r="I348" s="24">
        <f t="shared" si="70"/>
        <v>0</v>
      </c>
      <c r="J348" s="24">
        <v>0</v>
      </c>
      <c r="K348" s="24">
        <f t="shared" si="71"/>
        <v>0</v>
      </c>
      <c r="L348" s="25">
        <v>0</v>
      </c>
      <c r="M348" s="25">
        <v>0</v>
      </c>
      <c r="N348" s="26">
        <f t="shared" si="79"/>
        <v>0</v>
      </c>
      <c r="O348" s="24">
        <f t="shared" si="72"/>
        <v>0</v>
      </c>
      <c r="P348" s="24">
        <f t="shared" si="73"/>
        <v>0</v>
      </c>
      <c r="Q348" s="29">
        <f t="shared" si="74"/>
        <v>0</v>
      </c>
      <c r="R348" s="30">
        <f>COUNTIF(RAW_DATA[[#This Row],[CONVERTED]],"&gt;0")</f>
        <v>0</v>
      </c>
      <c r="S348" s="30">
        <f>COUNTIFS(RAW_DATA[[#This Row],[AM/PM]],"AM",RAW_DATA[[#This Row],[CONVERTED]],"&gt;0")</f>
        <v>0</v>
      </c>
      <c r="T348" s="19">
        <f t="shared" si="77"/>
        <v>0</v>
      </c>
      <c r="U348" s="20" t="str">
        <f t="shared" si="75"/>
        <v>SINGLE</v>
      </c>
    </row>
    <row r="349" spans="1:21" x14ac:dyDescent="0.35">
      <c r="A349" s="21">
        <f t="shared" si="78"/>
        <v>45264</v>
      </c>
      <c r="B349" s="22" t="str">
        <f t="shared" si="76"/>
        <v>PM</v>
      </c>
      <c r="C349" s="23" t="str">
        <f t="shared" si="67"/>
        <v>December</v>
      </c>
      <c r="D349" s="13" t="str">
        <f t="shared" si="68"/>
        <v>MON</v>
      </c>
      <c r="E349" s="24">
        <v>465</v>
      </c>
      <c r="F349" s="24">
        <v>95.09</v>
      </c>
      <c r="G349" s="24">
        <v>0</v>
      </c>
      <c r="H349" s="24">
        <f t="shared" si="69"/>
        <v>18.600000000000001</v>
      </c>
      <c r="I349" s="24">
        <f t="shared" si="70"/>
        <v>1.597512</v>
      </c>
      <c r="J349" s="24">
        <v>0</v>
      </c>
      <c r="K349" s="24">
        <f t="shared" si="71"/>
        <v>74.892488</v>
      </c>
      <c r="L349" s="25">
        <v>5</v>
      </c>
      <c r="M349" s="25">
        <v>12</v>
      </c>
      <c r="N349" s="26">
        <f t="shared" si="79"/>
        <v>5.2</v>
      </c>
      <c r="O349" s="24">
        <f t="shared" si="72"/>
        <v>11.076000000000001</v>
      </c>
      <c r="P349" s="24">
        <f t="shared" si="73"/>
        <v>85.968488000000008</v>
      </c>
      <c r="Q349" s="29">
        <f t="shared" si="74"/>
        <v>85.968488000000008</v>
      </c>
      <c r="R349" s="30">
        <f>COUNTIF(RAW_DATA[[#This Row],[CONVERTED]],"&gt;0")</f>
        <v>1</v>
      </c>
      <c r="S349" s="30">
        <f>COUNTIFS(RAW_DATA[[#This Row],[AM/PM]],"AM",RAW_DATA[[#This Row],[CONVERTED]],"&gt;0")</f>
        <v>0</v>
      </c>
      <c r="T349" s="19">
        <f t="shared" si="77"/>
        <v>0</v>
      </c>
      <c r="U349" s="20" t="str">
        <f t="shared" si="75"/>
        <v>SINGLE</v>
      </c>
    </row>
    <row r="350" spans="1:21" x14ac:dyDescent="0.35">
      <c r="A350" s="21">
        <f t="shared" si="78"/>
        <v>45265</v>
      </c>
      <c r="B350" s="22" t="str">
        <f t="shared" si="76"/>
        <v>AM</v>
      </c>
      <c r="C350" s="23" t="str">
        <f t="shared" si="67"/>
        <v>December</v>
      </c>
      <c r="D350" s="13" t="str">
        <f t="shared" si="68"/>
        <v>TUE</v>
      </c>
      <c r="E350" s="24">
        <v>0</v>
      </c>
      <c r="F350" s="24">
        <v>0</v>
      </c>
      <c r="G350" s="24">
        <v>0</v>
      </c>
      <c r="H350" s="24">
        <f t="shared" si="69"/>
        <v>0</v>
      </c>
      <c r="I350" s="24">
        <f t="shared" si="70"/>
        <v>0</v>
      </c>
      <c r="J350" s="24">
        <v>0</v>
      </c>
      <c r="K350" s="24">
        <f t="shared" si="71"/>
        <v>0</v>
      </c>
      <c r="L350" s="25">
        <v>0</v>
      </c>
      <c r="M350" s="25">
        <v>0</v>
      </c>
      <c r="N350" s="26">
        <f t="shared" si="79"/>
        <v>0</v>
      </c>
      <c r="O350" s="24">
        <f t="shared" si="72"/>
        <v>0</v>
      </c>
      <c r="P350" s="24">
        <f t="shared" si="73"/>
        <v>0</v>
      </c>
      <c r="Q350" s="29">
        <f t="shared" si="74"/>
        <v>0</v>
      </c>
      <c r="R350" s="30">
        <f>COUNTIF(RAW_DATA[[#This Row],[CONVERTED]],"&gt;0")</f>
        <v>0</v>
      </c>
      <c r="S350" s="30">
        <f>COUNTIFS(RAW_DATA[[#This Row],[AM/PM]],"AM",RAW_DATA[[#This Row],[CONVERTED]],"&gt;0")</f>
        <v>0</v>
      </c>
      <c r="T350" s="19">
        <f t="shared" si="77"/>
        <v>0</v>
      </c>
      <c r="U350" s="20" t="str">
        <f t="shared" si="75"/>
        <v>SINGLE</v>
      </c>
    </row>
    <row r="351" spans="1:21" x14ac:dyDescent="0.35">
      <c r="A351" s="21">
        <f t="shared" si="78"/>
        <v>45265</v>
      </c>
      <c r="B351" s="22" t="str">
        <f t="shared" si="76"/>
        <v>PM</v>
      </c>
      <c r="C351" s="23" t="str">
        <f t="shared" si="67"/>
        <v>December</v>
      </c>
      <c r="D351" s="13" t="str">
        <f t="shared" si="68"/>
        <v>TUE</v>
      </c>
      <c r="E351" s="24">
        <v>0</v>
      </c>
      <c r="F351" s="24">
        <v>0</v>
      </c>
      <c r="G351" s="24">
        <v>0</v>
      </c>
      <c r="H351" s="24">
        <f t="shared" si="69"/>
        <v>0</v>
      </c>
      <c r="I351" s="24">
        <f t="shared" si="70"/>
        <v>0</v>
      </c>
      <c r="J351" s="24">
        <v>0</v>
      </c>
      <c r="K351" s="24">
        <f t="shared" si="71"/>
        <v>0</v>
      </c>
      <c r="L351" s="25">
        <v>0</v>
      </c>
      <c r="M351" s="25">
        <v>0</v>
      </c>
      <c r="N351" s="26">
        <f t="shared" si="79"/>
        <v>0</v>
      </c>
      <c r="O351" s="24">
        <f t="shared" si="72"/>
        <v>0</v>
      </c>
      <c r="P351" s="24">
        <f t="shared" si="73"/>
        <v>0</v>
      </c>
      <c r="Q351" s="29">
        <f t="shared" si="74"/>
        <v>0</v>
      </c>
      <c r="R351" s="30">
        <f>COUNTIF(RAW_DATA[[#This Row],[CONVERTED]],"&gt;0")</f>
        <v>0</v>
      </c>
      <c r="S351" s="30">
        <f>COUNTIFS(RAW_DATA[[#This Row],[AM/PM]],"AM",RAW_DATA[[#This Row],[CONVERTED]],"&gt;0")</f>
        <v>0</v>
      </c>
      <c r="T351" s="19">
        <f t="shared" si="77"/>
        <v>0</v>
      </c>
      <c r="U351" s="20" t="str">
        <f t="shared" si="75"/>
        <v>SINGLE</v>
      </c>
    </row>
    <row r="352" spans="1:21" x14ac:dyDescent="0.35">
      <c r="A352" s="21">
        <f t="shared" si="78"/>
        <v>45266</v>
      </c>
      <c r="B352" s="22" t="str">
        <f t="shared" si="76"/>
        <v>AM</v>
      </c>
      <c r="C352" s="23" t="str">
        <f t="shared" si="67"/>
        <v>December</v>
      </c>
      <c r="D352" s="13" t="str">
        <f t="shared" si="68"/>
        <v>WED</v>
      </c>
      <c r="E352" s="24">
        <v>698.5</v>
      </c>
      <c r="F352" s="24">
        <v>127.8</v>
      </c>
      <c r="G352" s="24">
        <v>0</v>
      </c>
      <c r="H352" s="24">
        <f t="shared" si="69"/>
        <v>27.94</v>
      </c>
      <c r="I352" s="24">
        <f t="shared" si="70"/>
        <v>2.1470399999999996</v>
      </c>
      <c r="J352" s="24">
        <v>0</v>
      </c>
      <c r="K352" s="24">
        <f t="shared" si="71"/>
        <v>97.712959999999995</v>
      </c>
      <c r="L352" s="25">
        <v>4</v>
      </c>
      <c r="M352" s="25">
        <v>31</v>
      </c>
      <c r="N352" s="26">
        <f t="shared" si="79"/>
        <v>4.5166666666666666</v>
      </c>
      <c r="O352" s="24">
        <f t="shared" si="72"/>
        <v>9.6204999999999998</v>
      </c>
      <c r="P352" s="24">
        <f t="shared" si="73"/>
        <v>107.33346</v>
      </c>
      <c r="Q352" s="29">
        <f t="shared" si="74"/>
        <v>107.33346</v>
      </c>
      <c r="R352" s="30">
        <f>COUNTIF(RAW_DATA[[#This Row],[CONVERTED]],"&gt;0")</f>
        <v>1</v>
      </c>
      <c r="S352" s="30">
        <f>COUNTIFS(RAW_DATA[[#This Row],[AM/PM]],"AM",RAW_DATA[[#This Row],[CONVERTED]],"&gt;0")</f>
        <v>1</v>
      </c>
      <c r="T352" s="19">
        <f t="shared" si="77"/>
        <v>0</v>
      </c>
      <c r="U352" s="20" t="str">
        <f t="shared" si="75"/>
        <v>SINGLE</v>
      </c>
    </row>
    <row r="353" spans="1:21" x14ac:dyDescent="0.35">
      <c r="A353" s="21">
        <f t="shared" si="78"/>
        <v>45266</v>
      </c>
      <c r="B353" s="22" t="str">
        <f t="shared" si="76"/>
        <v>PM</v>
      </c>
      <c r="C353" s="23" t="str">
        <f t="shared" si="67"/>
        <v>December</v>
      </c>
      <c r="D353" s="13" t="str">
        <f t="shared" si="68"/>
        <v>WED</v>
      </c>
      <c r="E353" s="24">
        <v>0</v>
      </c>
      <c r="F353" s="24">
        <v>0</v>
      </c>
      <c r="G353" s="24">
        <v>0</v>
      </c>
      <c r="H353" s="24">
        <f t="shared" si="69"/>
        <v>0</v>
      </c>
      <c r="I353" s="24">
        <f t="shared" si="70"/>
        <v>0</v>
      </c>
      <c r="J353" s="24">
        <v>0</v>
      </c>
      <c r="K353" s="24">
        <f t="shared" si="71"/>
        <v>0</v>
      </c>
      <c r="L353" s="25">
        <v>0</v>
      </c>
      <c r="M353" s="25">
        <v>0</v>
      </c>
      <c r="N353" s="26">
        <f t="shared" si="79"/>
        <v>0</v>
      </c>
      <c r="O353" s="24">
        <f t="shared" si="72"/>
        <v>0</v>
      </c>
      <c r="P353" s="24">
        <f t="shared" si="73"/>
        <v>0</v>
      </c>
      <c r="Q353" s="29">
        <f t="shared" si="74"/>
        <v>0</v>
      </c>
      <c r="R353" s="30">
        <f>COUNTIF(RAW_DATA[[#This Row],[CONVERTED]],"&gt;0")</f>
        <v>0</v>
      </c>
      <c r="S353" s="30">
        <f>COUNTIFS(RAW_DATA[[#This Row],[AM/PM]],"AM",RAW_DATA[[#This Row],[CONVERTED]],"&gt;0")</f>
        <v>0</v>
      </c>
      <c r="T353" s="19">
        <f t="shared" si="77"/>
        <v>0</v>
      </c>
      <c r="U353" s="20" t="str">
        <f t="shared" si="75"/>
        <v>SINGLE</v>
      </c>
    </row>
    <row r="354" spans="1:21" x14ac:dyDescent="0.35">
      <c r="A354" s="21">
        <f t="shared" si="78"/>
        <v>45267</v>
      </c>
      <c r="B354" s="22" t="str">
        <f t="shared" si="76"/>
        <v>AM</v>
      </c>
      <c r="C354" s="23" t="str">
        <f t="shared" si="67"/>
        <v>December</v>
      </c>
      <c r="D354" s="13" t="str">
        <f t="shared" si="68"/>
        <v>THU</v>
      </c>
      <c r="E354" s="24">
        <v>0</v>
      </c>
      <c r="F354" s="24">
        <v>0</v>
      </c>
      <c r="G354" s="24">
        <v>0</v>
      </c>
      <c r="H354" s="24">
        <f t="shared" si="69"/>
        <v>0</v>
      </c>
      <c r="I354" s="24">
        <f t="shared" si="70"/>
        <v>0</v>
      </c>
      <c r="J354" s="24">
        <v>0</v>
      </c>
      <c r="K354" s="24">
        <f t="shared" si="71"/>
        <v>0</v>
      </c>
      <c r="L354" s="25">
        <v>0</v>
      </c>
      <c r="M354" s="25">
        <v>0</v>
      </c>
      <c r="N354" s="26">
        <f t="shared" si="79"/>
        <v>0</v>
      </c>
      <c r="O354" s="24">
        <f t="shared" si="72"/>
        <v>0</v>
      </c>
      <c r="P354" s="24">
        <f t="shared" si="73"/>
        <v>0</v>
      </c>
      <c r="Q354" s="29">
        <f t="shared" si="74"/>
        <v>0</v>
      </c>
      <c r="R354" s="30">
        <f>COUNTIF(RAW_DATA[[#This Row],[CONVERTED]],"&gt;0")</f>
        <v>0</v>
      </c>
      <c r="S354" s="30">
        <f>COUNTIFS(RAW_DATA[[#This Row],[AM/PM]],"AM",RAW_DATA[[#This Row],[CONVERTED]],"&gt;0")</f>
        <v>0</v>
      </c>
      <c r="T354" s="19">
        <f t="shared" si="77"/>
        <v>0</v>
      </c>
      <c r="U354" s="20" t="str">
        <f t="shared" si="75"/>
        <v>SINGLE</v>
      </c>
    </row>
    <row r="355" spans="1:21" x14ac:dyDescent="0.35">
      <c r="A355" s="21">
        <f t="shared" si="78"/>
        <v>45267</v>
      </c>
      <c r="B355" s="22" t="str">
        <f t="shared" si="76"/>
        <v>PM</v>
      </c>
      <c r="C355" s="23" t="str">
        <f t="shared" si="67"/>
        <v>December</v>
      </c>
      <c r="D355" s="13" t="str">
        <f t="shared" si="68"/>
        <v>THU</v>
      </c>
      <c r="E355" s="24">
        <v>0</v>
      </c>
      <c r="F355" s="24">
        <v>0</v>
      </c>
      <c r="G355" s="24">
        <v>0</v>
      </c>
      <c r="H355" s="24">
        <f t="shared" si="69"/>
        <v>0</v>
      </c>
      <c r="I355" s="24">
        <f t="shared" si="70"/>
        <v>0</v>
      </c>
      <c r="J355" s="24">
        <v>0</v>
      </c>
      <c r="K355" s="24">
        <f t="shared" si="71"/>
        <v>0</v>
      </c>
      <c r="L355" s="25">
        <v>0</v>
      </c>
      <c r="M355" s="25">
        <v>0</v>
      </c>
      <c r="N355" s="26">
        <f t="shared" si="79"/>
        <v>0</v>
      </c>
      <c r="O355" s="24">
        <f t="shared" si="72"/>
        <v>0</v>
      </c>
      <c r="P355" s="24">
        <f t="shared" si="73"/>
        <v>0</v>
      </c>
      <c r="Q355" s="29">
        <f t="shared" si="74"/>
        <v>0</v>
      </c>
      <c r="R355" s="30">
        <f>COUNTIF(RAW_DATA[[#This Row],[CONVERTED]],"&gt;0")</f>
        <v>0</v>
      </c>
      <c r="S355" s="30">
        <f>COUNTIFS(RAW_DATA[[#This Row],[AM/PM]],"AM",RAW_DATA[[#This Row],[CONVERTED]],"&gt;0")</f>
        <v>0</v>
      </c>
      <c r="T355" s="19">
        <f t="shared" si="77"/>
        <v>0</v>
      </c>
      <c r="U355" s="20" t="str">
        <f t="shared" si="75"/>
        <v>SINGLE</v>
      </c>
    </row>
    <row r="356" spans="1:21" x14ac:dyDescent="0.35">
      <c r="A356" s="21">
        <f t="shared" si="78"/>
        <v>45268</v>
      </c>
      <c r="B356" s="22" t="str">
        <f t="shared" si="76"/>
        <v>AM</v>
      </c>
      <c r="C356" s="23" t="str">
        <f t="shared" si="67"/>
        <v>December</v>
      </c>
      <c r="D356" s="13" t="str">
        <f t="shared" si="68"/>
        <v>FRI</v>
      </c>
      <c r="E356" s="24">
        <v>0</v>
      </c>
      <c r="F356" s="24">
        <v>0</v>
      </c>
      <c r="G356" s="24">
        <v>0</v>
      </c>
      <c r="H356" s="24">
        <f t="shared" si="69"/>
        <v>0</v>
      </c>
      <c r="I356" s="24">
        <f t="shared" si="70"/>
        <v>0</v>
      </c>
      <c r="J356" s="24">
        <v>0</v>
      </c>
      <c r="K356" s="24">
        <f t="shared" si="71"/>
        <v>0</v>
      </c>
      <c r="L356" s="25">
        <v>0</v>
      </c>
      <c r="M356" s="25">
        <v>0</v>
      </c>
      <c r="N356" s="26">
        <f t="shared" si="79"/>
        <v>0</v>
      </c>
      <c r="O356" s="24">
        <f t="shared" si="72"/>
        <v>0</v>
      </c>
      <c r="P356" s="24">
        <f t="shared" si="73"/>
        <v>0</v>
      </c>
      <c r="Q356" s="29">
        <f t="shared" si="74"/>
        <v>0</v>
      </c>
      <c r="R356" s="30">
        <f>COUNTIF(RAW_DATA[[#This Row],[CONVERTED]],"&gt;0")</f>
        <v>0</v>
      </c>
      <c r="S356" s="30">
        <f>COUNTIFS(RAW_DATA[[#This Row],[AM/PM]],"AM",RAW_DATA[[#This Row],[CONVERTED]],"&gt;0")</f>
        <v>0</v>
      </c>
      <c r="T356" s="19">
        <f t="shared" si="77"/>
        <v>0</v>
      </c>
      <c r="U356" s="20" t="str">
        <f t="shared" si="75"/>
        <v>SINGLE</v>
      </c>
    </row>
    <row r="357" spans="1:21" x14ac:dyDescent="0.35">
      <c r="A357" s="21">
        <f t="shared" si="78"/>
        <v>45268</v>
      </c>
      <c r="B357" s="22" t="str">
        <f t="shared" si="76"/>
        <v>PM</v>
      </c>
      <c r="C357" s="23" t="str">
        <f t="shared" si="67"/>
        <v>December</v>
      </c>
      <c r="D357" s="13" t="str">
        <f t="shared" si="68"/>
        <v>FRI</v>
      </c>
      <c r="E357" s="24">
        <v>1617</v>
      </c>
      <c r="F357" s="24">
        <v>286.61</v>
      </c>
      <c r="G357" s="24">
        <v>32</v>
      </c>
      <c r="H357" s="24">
        <f t="shared" si="69"/>
        <v>64.680000000000007</v>
      </c>
      <c r="I357" s="24">
        <f t="shared" si="70"/>
        <v>4.815048</v>
      </c>
      <c r="J357" s="24">
        <v>9</v>
      </c>
      <c r="K357" s="24">
        <f t="shared" si="71"/>
        <v>217.11495200000002</v>
      </c>
      <c r="L357" s="25">
        <v>5</v>
      </c>
      <c r="M357" s="25">
        <v>18</v>
      </c>
      <c r="N357" s="26">
        <f t="shared" si="79"/>
        <v>5.3</v>
      </c>
      <c r="O357" s="24">
        <f t="shared" si="72"/>
        <v>11.289</v>
      </c>
      <c r="P357" s="24">
        <f t="shared" si="73"/>
        <v>237.403952</v>
      </c>
      <c r="Q357" s="29">
        <f t="shared" si="74"/>
        <v>260.403952</v>
      </c>
      <c r="R357" s="30">
        <f>COUNTIF(RAW_DATA[[#This Row],[CONVERTED]],"&gt;0")</f>
        <v>1</v>
      </c>
      <c r="S357" s="30">
        <f>COUNTIFS(RAW_DATA[[#This Row],[AM/PM]],"AM",RAW_DATA[[#This Row],[CONVERTED]],"&gt;0")</f>
        <v>0</v>
      </c>
      <c r="T357" s="19">
        <f t="shared" si="77"/>
        <v>0</v>
      </c>
      <c r="U357" s="20" t="str">
        <f t="shared" si="75"/>
        <v>SINGLE</v>
      </c>
    </row>
    <row r="358" spans="1:21" x14ac:dyDescent="0.35">
      <c r="A358" s="21">
        <f t="shared" si="78"/>
        <v>45269</v>
      </c>
      <c r="B358" s="22" t="str">
        <f t="shared" si="76"/>
        <v>AM</v>
      </c>
      <c r="C358" s="23" t="str">
        <f t="shared" si="67"/>
        <v>December</v>
      </c>
      <c r="D358" s="13" t="str">
        <f t="shared" si="68"/>
        <v>SAT</v>
      </c>
      <c r="E358" s="24">
        <v>322</v>
      </c>
      <c r="F358" s="24">
        <v>35.32</v>
      </c>
      <c r="G358" s="24">
        <v>30</v>
      </c>
      <c r="H358" s="24">
        <f t="shared" si="69"/>
        <v>12.88</v>
      </c>
      <c r="I358" s="24">
        <f t="shared" si="70"/>
        <v>0.59337600000000001</v>
      </c>
      <c r="J358" s="24">
        <v>0</v>
      </c>
      <c r="K358" s="24">
        <f t="shared" si="71"/>
        <v>21.846623999999998</v>
      </c>
      <c r="L358" s="25">
        <v>2</v>
      </c>
      <c r="M358" s="25">
        <v>56</v>
      </c>
      <c r="N358" s="26">
        <f t="shared" si="79"/>
        <v>2.9333333333333331</v>
      </c>
      <c r="O358" s="24">
        <f t="shared" si="72"/>
        <v>6.2479999999999993</v>
      </c>
      <c r="P358" s="24">
        <f t="shared" si="73"/>
        <v>28.094623999999996</v>
      </c>
      <c r="Q358" s="29">
        <f t="shared" si="74"/>
        <v>58.094623999999996</v>
      </c>
      <c r="R358" s="30">
        <f>COUNTIF(RAW_DATA[[#This Row],[CONVERTED]],"&gt;0")</f>
        <v>1</v>
      </c>
      <c r="S358" s="30">
        <f>COUNTIFS(RAW_DATA[[#This Row],[AM/PM]],"AM",RAW_DATA[[#This Row],[CONVERTED]],"&gt;0")</f>
        <v>1</v>
      </c>
      <c r="T358" s="19">
        <f t="shared" si="77"/>
        <v>0</v>
      </c>
      <c r="U358" s="20" t="str">
        <f t="shared" si="75"/>
        <v>DOUBLE</v>
      </c>
    </row>
    <row r="359" spans="1:21" x14ac:dyDescent="0.35">
      <c r="A359" s="21">
        <f t="shared" si="78"/>
        <v>45269</v>
      </c>
      <c r="B359" s="22" t="str">
        <f t="shared" si="76"/>
        <v>PM</v>
      </c>
      <c r="C359" s="23" t="str">
        <f t="shared" si="67"/>
        <v>December</v>
      </c>
      <c r="D359" s="13" t="str">
        <f t="shared" si="68"/>
        <v>SAT</v>
      </c>
      <c r="E359" s="24">
        <v>1072</v>
      </c>
      <c r="F359" s="24">
        <v>196.72</v>
      </c>
      <c r="G359" s="24">
        <v>12</v>
      </c>
      <c r="H359" s="24">
        <f t="shared" si="69"/>
        <v>42.88</v>
      </c>
      <c r="I359" s="24">
        <f t="shared" si="70"/>
        <v>3.3048959999999998</v>
      </c>
      <c r="J359" s="24">
        <v>6.5</v>
      </c>
      <c r="K359" s="24">
        <f t="shared" si="71"/>
        <v>150.53510399999999</v>
      </c>
      <c r="L359" s="25">
        <v>4</v>
      </c>
      <c r="M359" s="25">
        <v>53</v>
      </c>
      <c r="N359" s="26">
        <f t="shared" si="79"/>
        <v>4.8833333333333337</v>
      </c>
      <c r="O359" s="24">
        <f t="shared" si="72"/>
        <v>10.4015</v>
      </c>
      <c r="P359" s="24">
        <f t="shared" si="73"/>
        <v>167.43660399999999</v>
      </c>
      <c r="Q359" s="29">
        <f t="shared" si="74"/>
        <v>172.93660399999999</v>
      </c>
      <c r="R359" s="30">
        <f>COUNTIF(RAW_DATA[[#This Row],[CONVERTED]],"&gt;0")</f>
        <v>1</v>
      </c>
      <c r="S359" s="30">
        <f>COUNTIFS(RAW_DATA[[#This Row],[AM/PM]],"AM",RAW_DATA[[#This Row],[CONVERTED]],"&gt;0")</f>
        <v>0</v>
      </c>
      <c r="T359" s="19">
        <f t="shared" si="77"/>
        <v>1</v>
      </c>
      <c r="U359" s="20" t="str">
        <f t="shared" si="75"/>
        <v>DOUBLE</v>
      </c>
    </row>
    <row r="360" spans="1:21" x14ac:dyDescent="0.35">
      <c r="A360" s="21">
        <f t="shared" si="78"/>
        <v>45270</v>
      </c>
      <c r="B360" s="22" t="str">
        <f t="shared" si="76"/>
        <v>AM</v>
      </c>
      <c r="C360" s="23" t="str">
        <f t="shared" si="67"/>
        <v>December</v>
      </c>
      <c r="D360" s="13" t="str">
        <f t="shared" si="68"/>
        <v>SUN</v>
      </c>
      <c r="E360" s="24">
        <v>0</v>
      </c>
      <c r="F360" s="24">
        <v>0</v>
      </c>
      <c r="G360" s="24">
        <v>0</v>
      </c>
      <c r="H360" s="24">
        <f t="shared" si="69"/>
        <v>0</v>
      </c>
      <c r="I360" s="24">
        <f t="shared" si="70"/>
        <v>0</v>
      </c>
      <c r="J360" s="24">
        <v>0</v>
      </c>
      <c r="K360" s="24">
        <f t="shared" si="71"/>
        <v>0</v>
      </c>
      <c r="L360" s="25">
        <v>0</v>
      </c>
      <c r="M360" s="25">
        <v>0</v>
      </c>
      <c r="N360" s="26">
        <f t="shared" si="79"/>
        <v>0</v>
      </c>
      <c r="O360" s="24">
        <f t="shared" si="72"/>
        <v>0</v>
      </c>
      <c r="P360" s="24">
        <f t="shared" si="73"/>
        <v>0</v>
      </c>
      <c r="Q360" s="29">
        <f t="shared" si="74"/>
        <v>0</v>
      </c>
      <c r="R360" s="30">
        <f>COUNTIF(RAW_DATA[[#This Row],[CONVERTED]],"&gt;0")</f>
        <v>0</v>
      </c>
      <c r="S360" s="30">
        <f>COUNTIFS(RAW_DATA[[#This Row],[AM/PM]],"AM",RAW_DATA[[#This Row],[CONVERTED]],"&gt;0")</f>
        <v>0</v>
      </c>
      <c r="T360" s="19">
        <f t="shared" si="77"/>
        <v>0</v>
      </c>
      <c r="U360" s="20" t="str">
        <f t="shared" si="75"/>
        <v>SINGLE</v>
      </c>
    </row>
    <row r="361" spans="1:21" x14ac:dyDescent="0.35">
      <c r="A361" s="21">
        <f t="shared" si="78"/>
        <v>45270</v>
      </c>
      <c r="B361" s="22" t="str">
        <f t="shared" si="76"/>
        <v>PM</v>
      </c>
      <c r="C361" s="23" t="str">
        <f t="shared" si="67"/>
        <v>December</v>
      </c>
      <c r="D361" s="13" t="str">
        <f t="shared" si="68"/>
        <v>SUN</v>
      </c>
      <c r="E361" s="24">
        <v>0</v>
      </c>
      <c r="F361" s="24">
        <v>0</v>
      </c>
      <c r="G361" s="24">
        <v>0</v>
      </c>
      <c r="H361" s="24">
        <f t="shared" si="69"/>
        <v>0</v>
      </c>
      <c r="I361" s="24">
        <f t="shared" si="70"/>
        <v>0</v>
      </c>
      <c r="J361" s="24">
        <v>0</v>
      </c>
      <c r="K361" s="24">
        <f t="shared" si="71"/>
        <v>0</v>
      </c>
      <c r="L361" s="25">
        <v>0</v>
      </c>
      <c r="M361" s="25">
        <v>0</v>
      </c>
      <c r="N361" s="26">
        <f t="shared" si="79"/>
        <v>0</v>
      </c>
      <c r="O361" s="24">
        <f t="shared" si="72"/>
        <v>0</v>
      </c>
      <c r="P361" s="24">
        <f t="shared" si="73"/>
        <v>0</v>
      </c>
      <c r="Q361" s="29">
        <f t="shared" si="74"/>
        <v>0</v>
      </c>
      <c r="R361" s="30">
        <f>COUNTIF(RAW_DATA[[#This Row],[CONVERTED]],"&gt;0")</f>
        <v>0</v>
      </c>
      <c r="S361" s="30">
        <f>COUNTIFS(RAW_DATA[[#This Row],[AM/PM]],"AM",RAW_DATA[[#This Row],[CONVERTED]],"&gt;0")</f>
        <v>0</v>
      </c>
      <c r="T361" s="19">
        <f t="shared" si="77"/>
        <v>0</v>
      </c>
      <c r="U361" s="20" t="str">
        <f t="shared" si="75"/>
        <v>SINGLE</v>
      </c>
    </row>
    <row r="362" spans="1:21" x14ac:dyDescent="0.35">
      <c r="A362" s="21">
        <f t="shared" si="78"/>
        <v>45271</v>
      </c>
      <c r="B362" s="22" t="str">
        <f t="shared" si="76"/>
        <v>AM</v>
      </c>
      <c r="C362" s="23" t="str">
        <f t="shared" si="67"/>
        <v>December</v>
      </c>
      <c r="D362" s="13" t="str">
        <f t="shared" si="68"/>
        <v>MON</v>
      </c>
      <c r="E362" s="24">
        <v>0</v>
      </c>
      <c r="F362" s="24">
        <v>0</v>
      </c>
      <c r="G362" s="24">
        <v>0</v>
      </c>
      <c r="H362" s="24">
        <f t="shared" si="69"/>
        <v>0</v>
      </c>
      <c r="I362" s="24">
        <f t="shared" si="70"/>
        <v>0</v>
      </c>
      <c r="J362" s="24">
        <v>0</v>
      </c>
      <c r="K362" s="24">
        <f t="shared" si="71"/>
        <v>0</v>
      </c>
      <c r="L362" s="25">
        <v>0</v>
      </c>
      <c r="M362" s="25">
        <v>0</v>
      </c>
      <c r="N362" s="26">
        <f t="shared" si="79"/>
        <v>0</v>
      </c>
      <c r="O362" s="24">
        <f t="shared" si="72"/>
        <v>0</v>
      </c>
      <c r="P362" s="24">
        <f t="shared" si="73"/>
        <v>0</v>
      </c>
      <c r="Q362" s="29">
        <f t="shared" si="74"/>
        <v>0</v>
      </c>
      <c r="R362" s="30">
        <f>COUNTIF(RAW_DATA[[#This Row],[CONVERTED]],"&gt;0")</f>
        <v>0</v>
      </c>
      <c r="S362" s="30">
        <f>COUNTIFS(RAW_DATA[[#This Row],[AM/PM]],"AM",RAW_DATA[[#This Row],[CONVERTED]],"&gt;0")</f>
        <v>0</v>
      </c>
      <c r="T362" s="19">
        <f t="shared" si="77"/>
        <v>0</v>
      </c>
      <c r="U362" s="20" t="str">
        <f t="shared" si="75"/>
        <v>SINGLE</v>
      </c>
    </row>
    <row r="363" spans="1:21" x14ac:dyDescent="0.35">
      <c r="A363" s="21">
        <f t="shared" si="78"/>
        <v>45271</v>
      </c>
      <c r="B363" s="22" t="str">
        <f t="shared" si="76"/>
        <v>PM</v>
      </c>
      <c r="C363" s="23" t="str">
        <f t="shared" si="67"/>
        <v>December</v>
      </c>
      <c r="D363" s="13" t="str">
        <f t="shared" si="68"/>
        <v>MON</v>
      </c>
      <c r="E363" s="24">
        <v>1044.5</v>
      </c>
      <c r="F363" s="24">
        <v>191.93</v>
      </c>
      <c r="G363" s="24">
        <v>25</v>
      </c>
      <c r="H363" s="24">
        <f t="shared" si="69"/>
        <v>41.78</v>
      </c>
      <c r="I363" s="24">
        <f t="shared" si="70"/>
        <v>3.224424</v>
      </c>
      <c r="J363" s="24">
        <v>0</v>
      </c>
      <c r="K363" s="24">
        <f t="shared" si="71"/>
        <v>146.92557600000001</v>
      </c>
      <c r="L363" s="25">
        <v>4</v>
      </c>
      <c r="M363" s="25">
        <v>10</v>
      </c>
      <c r="N363" s="26">
        <f t="shared" si="79"/>
        <v>4.166666666666667</v>
      </c>
      <c r="O363" s="24">
        <f t="shared" si="72"/>
        <v>8.875</v>
      </c>
      <c r="P363" s="24">
        <f t="shared" si="73"/>
        <v>155.80057600000001</v>
      </c>
      <c r="Q363" s="29">
        <f t="shared" si="74"/>
        <v>180.80057600000001</v>
      </c>
      <c r="R363" s="30">
        <f>COUNTIF(RAW_DATA[[#This Row],[CONVERTED]],"&gt;0")</f>
        <v>1</v>
      </c>
      <c r="S363" s="30">
        <f>COUNTIFS(RAW_DATA[[#This Row],[AM/PM]],"AM",RAW_DATA[[#This Row],[CONVERTED]],"&gt;0")</f>
        <v>0</v>
      </c>
      <c r="T363" s="19">
        <f t="shared" si="77"/>
        <v>0</v>
      </c>
      <c r="U363" s="20" t="str">
        <f t="shared" si="75"/>
        <v>SINGLE</v>
      </c>
    </row>
    <row r="364" spans="1:21" x14ac:dyDescent="0.35">
      <c r="A364" s="21">
        <f t="shared" si="78"/>
        <v>45272</v>
      </c>
      <c r="B364" s="22" t="str">
        <f t="shared" si="76"/>
        <v>AM</v>
      </c>
      <c r="C364" s="23" t="str">
        <f t="shared" si="67"/>
        <v>December</v>
      </c>
      <c r="D364" s="13" t="str">
        <f t="shared" si="68"/>
        <v>TUE</v>
      </c>
      <c r="E364" s="24">
        <v>0</v>
      </c>
      <c r="F364" s="24">
        <v>0</v>
      </c>
      <c r="G364" s="24">
        <v>0</v>
      </c>
      <c r="H364" s="24">
        <f t="shared" si="69"/>
        <v>0</v>
      </c>
      <c r="I364" s="24">
        <f t="shared" si="70"/>
        <v>0</v>
      </c>
      <c r="J364" s="24">
        <v>0</v>
      </c>
      <c r="K364" s="24">
        <f t="shared" si="71"/>
        <v>0</v>
      </c>
      <c r="L364" s="25">
        <v>0</v>
      </c>
      <c r="M364" s="25">
        <v>0</v>
      </c>
      <c r="N364" s="26">
        <f t="shared" si="79"/>
        <v>0</v>
      </c>
      <c r="O364" s="24">
        <f t="shared" si="72"/>
        <v>0</v>
      </c>
      <c r="P364" s="24">
        <f t="shared" si="73"/>
        <v>0</v>
      </c>
      <c r="Q364" s="29">
        <f t="shared" si="74"/>
        <v>0</v>
      </c>
      <c r="R364" s="30">
        <f>COUNTIF(RAW_DATA[[#This Row],[CONVERTED]],"&gt;0")</f>
        <v>0</v>
      </c>
      <c r="S364" s="30">
        <f>COUNTIFS(RAW_DATA[[#This Row],[AM/PM]],"AM",RAW_DATA[[#This Row],[CONVERTED]],"&gt;0")</f>
        <v>0</v>
      </c>
      <c r="T364" s="19">
        <f t="shared" si="77"/>
        <v>0</v>
      </c>
      <c r="U364" s="20" t="str">
        <f t="shared" si="75"/>
        <v>SINGLE</v>
      </c>
    </row>
    <row r="365" spans="1:21" x14ac:dyDescent="0.35">
      <c r="A365" s="21">
        <f t="shared" si="78"/>
        <v>45272</v>
      </c>
      <c r="B365" s="22" t="str">
        <f t="shared" si="76"/>
        <v>PM</v>
      </c>
      <c r="C365" s="23" t="str">
        <f t="shared" si="67"/>
        <v>December</v>
      </c>
      <c r="D365" s="13" t="str">
        <f t="shared" si="68"/>
        <v>TUE</v>
      </c>
      <c r="E365" s="24">
        <v>0</v>
      </c>
      <c r="F365" s="24">
        <v>0</v>
      </c>
      <c r="G365" s="24">
        <v>0</v>
      </c>
      <c r="H365" s="24">
        <f t="shared" si="69"/>
        <v>0</v>
      </c>
      <c r="I365" s="24">
        <f t="shared" si="70"/>
        <v>0</v>
      </c>
      <c r="J365" s="24">
        <v>0</v>
      </c>
      <c r="K365" s="24">
        <f t="shared" si="71"/>
        <v>0</v>
      </c>
      <c r="L365" s="25">
        <v>0</v>
      </c>
      <c r="M365" s="25">
        <v>0</v>
      </c>
      <c r="N365" s="26">
        <f t="shared" si="79"/>
        <v>0</v>
      </c>
      <c r="O365" s="24">
        <f t="shared" si="72"/>
        <v>0</v>
      </c>
      <c r="P365" s="24">
        <f t="shared" si="73"/>
        <v>0</v>
      </c>
      <c r="Q365" s="29">
        <f t="shared" si="74"/>
        <v>0</v>
      </c>
      <c r="R365" s="30">
        <f>COUNTIF(RAW_DATA[[#This Row],[CONVERTED]],"&gt;0")</f>
        <v>0</v>
      </c>
      <c r="S365" s="30">
        <f>COUNTIFS(RAW_DATA[[#This Row],[AM/PM]],"AM",RAW_DATA[[#This Row],[CONVERTED]],"&gt;0")</f>
        <v>0</v>
      </c>
      <c r="T365" s="19">
        <f t="shared" si="77"/>
        <v>0</v>
      </c>
      <c r="U365" s="20" t="str">
        <f t="shared" si="75"/>
        <v>SINGLE</v>
      </c>
    </row>
    <row r="366" spans="1:21" x14ac:dyDescent="0.35">
      <c r="A366" s="21">
        <f t="shared" si="78"/>
        <v>45273</v>
      </c>
      <c r="B366" s="22" t="str">
        <f t="shared" si="76"/>
        <v>AM</v>
      </c>
      <c r="C366" s="23" t="str">
        <f t="shared" si="67"/>
        <v>December</v>
      </c>
      <c r="D366" s="13" t="str">
        <f t="shared" si="68"/>
        <v>WED</v>
      </c>
      <c r="E366" s="24">
        <v>695</v>
      </c>
      <c r="F366" s="24">
        <v>147.33000000000001</v>
      </c>
      <c r="G366" s="24">
        <v>0</v>
      </c>
      <c r="H366" s="24">
        <f t="shared" si="69"/>
        <v>27.8</v>
      </c>
      <c r="I366" s="24">
        <f t="shared" si="70"/>
        <v>2.4751440000000002</v>
      </c>
      <c r="J366" s="24">
        <v>0</v>
      </c>
      <c r="K366" s="24">
        <f t="shared" si="71"/>
        <v>117.05485600000002</v>
      </c>
      <c r="L366" s="25">
        <v>5</v>
      </c>
      <c r="M366" s="25">
        <v>8</v>
      </c>
      <c r="N366" s="26">
        <f t="shared" si="79"/>
        <v>5.1333333333333337</v>
      </c>
      <c r="O366" s="24">
        <f t="shared" si="72"/>
        <v>10.934000000000001</v>
      </c>
      <c r="P366" s="24">
        <f t="shared" si="73"/>
        <v>127.98885600000001</v>
      </c>
      <c r="Q366" s="29">
        <f t="shared" si="74"/>
        <v>127.98885600000001</v>
      </c>
      <c r="R366" s="30">
        <f>COUNTIF(RAW_DATA[[#This Row],[CONVERTED]],"&gt;0")</f>
        <v>1</v>
      </c>
      <c r="S366" s="30">
        <f>COUNTIFS(RAW_DATA[[#This Row],[AM/PM]],"AM",RAW_DATA[[#This Row],[CONVERTED]],"&gt;0")</f>
        <v>1</v>
      </c>
      <c r="T366" s="19">
        <f t="shared" si="77"/>
        <v>0</v>
      </c>
      <c r="U366" s="20" t="str">
        <f t="shared" si="75"/>
        <v>SINGLE</v>
      </c>
    </row>
    <row r="367" spans="1:21" x14ac:dyDescent="0.35">
      <c r="A367" s="21">
        <f t="shared" si="78"/>
        <v>45273</v>
      </c>
      <c r="B367" s="22" t="str">
        <f t="shared" si="76"/>
        <v>PM</v>
      </c>
      <c r="C367" s="23" t="str">
        <f t="shared" si="67"/>
        <v>December</v>
      </c>
      <c r="D367" s="13" t="str">
        <f t="shared" si="68"/>
        <v>WED</v>
      </c>
      <c r="E367" s="24">
        <v>0</v>
      </c>
      <c r="F367" s="24">
        <v>0</v>
      </c>
      <c r="G367" s="24">
        <v>0</v>
      </c>
      <c r="H367" s="24">
        <f t="shared" si="69"/>
        <v>0</v>
      </c>
      <c r="I367" s="24">
        <f t="shared" si="70"/>
        <v>0</v>
      </c>
      <c r="J367" s="24">
        <v>0</v>
      </c>
      <c r="K367" s="24">
        <f t="shared" si="71"/>
        <v>0</v>
      </c>
      <c r="L367" s="25">
        <v>0</v>
      </c>
      <c r="M367" s="25">
        <v>0</v>
      </c>
      <c r="N367" s="26">
        <f t="shared" si="79"/>
        <v>0</v>
      </c>
      <c r="O367" s="24">
        <f t="shared" si="72"/>
        <v>0</v>
      </c>
      <c r="P367" s="24">
        <f t="shared" si="73"/>
        <v>0</v>
      </c>
      <c r="Q367" s="29">
        <f t="shared" si="74"/>
        <v>0</v>
      </c>
      <c r="R367" s="30">
        <f>COUNTIF(RAW_DATA[[#This Row],[CONVERTED]],"&gt;0")</f>
        <v>0</v>
      </c>
      <c r="S367" s="30">
        <f>COUNTIFS(RAW_DATA[[#This Row],[AM/PM]],"AM",RAW_DATA[[#This Row],[CONVERTED]],"&gt;0")</f>
        <v>0</v>
      </c>
      <c r="T367" s="19">
        <f t="shared" si="77"/>
        <v>0</v>
      </c>
      <c r="U367" s="20" t="str">
        <f t="shared" si="75"/>
        <v>SINGLE</v>
      </c>
    </row>
    <row r="368" spans="1:21" x14ac:dyDescent="0.35">
      <c r="A368" s="21">
        <f t="shared" si="78"/>
        <v>45274</v>
      </c>
      <c r="B368" s="22" t="str">
        <f t="shared" si="76"/>
        <v>AM</v>
      </c>
      <c r="C368" s="23" t="str">
        <f t="shared" si="67"/>
        <v>December</v>
      </c>
      <c r="D368" s="13" t="str">
        <f t="shared" si="68"/>
        <v>THU</v>
      </c>
      <c r="E368" s="24">
        <v>0</v>
      </c>
      <c r="F368" s="24">
        <v>0</v>
      </c>
      <c r="G368" s="24">
        <v>0</v>
      </c>
      <c r="H368" s="24">
        <f t="shared" si="69"/>
        <v>0</v>
      </c>
      <c r="I368" s="24">
        <f t="shared" si="70"/>
        <v>0</v>
      </c>
      <c r="J368" s="24">
        <v>0</v>
      </c>
      <c r="K368" s="24">
        <f t="shared" si="71"/>
        <v>0</v>
      </c>
      <c r="L368" s="25">
        <v>0</v>
      </c>
      <c r="M368" s="25">
        <v>0</v>
      </c>
      <c r="N368" s="26">
        <f t="shared" si="79"/>
        <v>0</v>
      </c>
      <c r="O368" s="24">
        <f t="shared" si="72"/>
        <v>0</v>
      </c>
      <c r="P368" s="24">
        <f t="shared" si="73"/>
        <v>0</v>
      </c>
      <c r="Q368" s="29">
        <f t="shared" si="74"/>
        <v>0</v>
      </c>
      <c r="R368" s="30">
        <f>COUNTIF(RAW_DATA[[#This Row],[CONVERTED]],"&gt;0")</f>
        <v>0</v>
      </c>
      <c r="S368" s="30">
        <f>COUNTIFS(RAW_DATA[[#This Row],[AM/PM]],"AM",RAW_DATA[[#This Row],[CONVERTED]],"&gt;0")</f>
        <v>0</v>
      </c>
      <c r="T368" s="19">
        <f t="shared" si="77"/>
        <v>0</v>
      </c>
      <c r="U368" s="20" t="str">
        <f t="shared" si="75"/>
        <v>SINGLE</v>
      </c>
    </row>
    <row r="369" spans="1:21" x14ac:dyDescent="0.35">
      <c r="A369" s="21">
        <f t="shared" si="78"/>
        <v>45274</v>
      </c>
      <c r="B369" s="22" t="str">
        <f t="shared" si="76"/>
        <v>PM</v>
      </c>
      <c r="C369" s="23" t="str">
        <f t="shared" si="67"/>
        <v>December</v>
      </c>
      <c r="D369" s="13" t="str">
        <f t="shared" si="68"/>
        <v>THU</v>
      </c>
      <c r="E369" s="24">
        <v>0</v>
      </c>
      <c r="F369" s="24">
        <v>0</v>
      </c>
      <c r="G369" s="24">
        <v>0</v>
      </c>
      <c r="H369" s="24">
        <f t="shared" si="69"/>
        <v>0</v>
      </c>
      <c r="I369" s="24">
        <f t="shared" si="70"/>
        <v>0</v>
      </c>
      <c r="J369" s="24">
        <v>0</v>
      </c>
      <c r="K369" s="24">
        <f t="shared" si="71"/>
        <v>0</v>
      </c>
      <c r="L369" s="25">
        <v>0</v>
      </c>
      <c r="M369" s="25">
        <v>0</v>
      </c>
      <c r="N369" s="26">
        <f t="shared" si="79"/>
        <v>0</v>
      </c>
      <c r="O369" s="24">
        <f t="shared" si="72"/>
        <v>0</v>
      </c>
      <c r="P369" s="24">
        <f t="shared" si="73"/>
        <v>0</v>
      </c>
      <c r="Q369" s="29">
        <f t="shared" si="74"/>
        <v>0</v>
      </c>
      <c r="R369" s="30">
        <f>COUNTIF(RAW_DATA[[#This Row],[CONVERTED]],"&gt;0")</f>
        <v>0</v>
      </c>
      <c r="S369" s="30">
        <f>COUNTIFS(RAW_DATA[[#This Row],[AM/PM]],"AM",RAW_DATA[[#This Row],[CONVERTED]],"&gt;0")</f>
        <v>0</v>
      </c>
      <c r="T369" s="19">
        <f t="shared" si="77"/>
        <v>0</v>
      </c>
      <c r="U369" s="20" t="str">
        <f t="shared" si="75"/>
        <v>SINGLE</v>
      </c>
    </row>
    <row r="370" spans="1:21" x14ac:dyDescent="0.35">
      <c r="A370" s="21">
        <f t="shared" si="78"/>
        <v>45275</v>
      </c>
      <c r="B370" s="22" t="str">
        <f t="shared" si="76"/>
        <v>AM</v>
      </c>
      <c r="C370" s="23" t="str">
        <f t="shared" si="67"/>
        <v>December</v>
      </c>
      <c r="D370" s="13" t="str">
        <f t="shared" si="68"/>
        <v>FRI</v>
      </c>
      <c r="E370" s="24">
        <v>0</v>
      </c>
      <c r="F370" s="24">
        <v>0</v>
      </c>
      <c r="G370" s="24">
        <v>0</v>
      </c>
      <c r="H370" s="24">
        <f t="shared" si="69"/>
        <v>0</v>
      </c>
      <c r="I370" s="24">
        <f t="shared" si="70"/>
        <v>0</v>
      </c>
      <c r="J370" s="24">
        <v>0</v>
      </c>
      <c r="K370" s="24">
        <f t="shared" si="71"/>
        <v>0</v>
      </c>
      <c r="L370" s="25">
        <v>0</v>
      </c>
      <c r="M370" s="25">
        <v>0</v>
      </c>
      <c r="N370" s="26">
        <f t="shared" si="79"/>
        <v>0</v>
      </c>
      <c r="O370" s="24">
        <f t="shared" si="72"/>
        <v>0</v>
      </c>
      <c r="P370" s="24">
        <f t="shared" si="73"/>
        <v>0</v>
      </c>
      <c r="Q370" s="29">
        <f t="shared" si="74"/>
        <v>0</v>
      </c>
      <c r="R370" s="30">
        <f>COUNTIF(RAW_DATA[[#This Row],[CONVERTED]],"&gt;0")</f>
        <v>0</v>
      </c>
      <c r="S370" s="30">
        <f>COUNTIFS(RAW_DATA[[#This Row],[AM/PM]],"AM",RAW_DATA[[#This Row],[CONVERTED]],"&gt;0")</f>
        <v>0</v>
      </c>
      <c r="T370" s="19">
        <f t="shared" si="77"/>
        <v>0</v>
      </c>
      <c r="U370" s="20" t="str">
        <f t="shared" si="75"/>
        <v>SINGLE</v>
      </c>
    </row>
    <row r="371" spans="1:21" x14ac:dyDescent="0.35">
      <c r="A371" s="21">
        <f t="shared" si="78"/>
        <v>45275</v>
      </c>
      <c r="B371" s="22" t="str">
        <f t="shared" si="76"/>
        <v>PM</v>
      </c>
      <c r="C371" s="23" t="str">
        <f t="shared" si="67"/>
        <v>December</v>
      </c>
      <c r="D371" s="13" t="str">
        <f t="shared" si="68"/>
        <v>FRI</v>
      </c>
      <c r="E371" s="24">
        <v>659</v>
      </c>
      <c r="F371" s="24">
        <v>86.1</v>
      </c>
      <c r="G371" s="24">
        <v>56</v>
      </c>
      <c r="H371" s="24">
        <f t="shared" si="69"/>
        <v>26.36</v>
      </c>
      <c r="I371" s="24">
        <f t="shared" si="70"/>
        <v>1.4464799999999998</v>
      </c>
      <c r="J371" s="24">
        <v>0</v>
      </c>
      <c r="K371" s="24">
        <f t="shared" si="71"/>
        <v>58.293519999999994</v>
      </c>
      <c r="L371" s="25">
        <v>3</v>
      </c>
      <c r="M371" s="25">
        <v>26</v>
      </c>
      <c r="N371" s="26">
        <f t="shared" si="79"/>
        <v>3.4333333333333331</v>
      </c>
      <c r="O371" s="24">
        <f t="shared" si="72"/>
        <v>7.3129999999999988</v>
      </c>
      <c r="P371" s="24">
        <f t="shared" si="73"/>
        <v>65.606519999999989</v>
      </c>
      <c r="Q371" s="29">
        <f t="shared" si="74"/>
        <v>121.60652</v>
      </c>
      <c r="R371" s="30">
        <f>COUNTIF(RAW_DATA[[#This Row],[CONVERTED]],"&gt;0")</f>
        <v>1</v>
      </c>
      <c r="S371" s="30">
        <f>COUNTIFS(RAW_DATA[[#This Row],[AM/PM]],"AM",RAW_DATA[[#This Row],[CONVERTED]],"&gt;0")</f>
        <v>0</v>
      </c>
      <c r="T371" s="19">
        <f t="shared" si="77"/>
        <v>0</v>
      </c>
      <c r="U371" s="20" t="str">
        <f t="shared" si="75"/>
        <v>SINGLE</v>
      </c>
    </row>
    <row r="372" spans="1:21" x14ac:dyDescent="0.35">
      <c r="A372" s="21">
        <f t="shared" si="78"/>
        <v>45276</v>
      </c>
      <c r="B372" s="22" t="str">
        <f t="shared" si="76"/>
        <v>AM</v>
      </c>
      <c r="C372" s="23" t="str">
        <f t="shared" si="67"/>
        <v>December</v>
      </c>
      <c r="D372" s="13" t="str">
        <f t="shared" si="68"/>
        <v>SAT</v>
      </c>
      <c r="E372" s="24">
        <v>0</v>
      </c>
      <c r="F372" s="24">
        <v>0</v>
      </c>
      <c r="G372" s="24">
        <v>0</v>
      </c>
      <c r="H372" s="24">
        <f t="shared" si="69"/>
        <v>0</v>
      </c>
      <c r="I372" s="24">
        <f t="shared" si="70"/>
        <v>0</v>
      </c>
      <c r="J372" s="24">
        <v>0</v>
      </c>
      <c r="K372" s="24">
        <f t="shared" si="71"/>
        <v>0</v>
      </c>
      <c r="L372" s="25">
        <v>0</v>
      </c>
      <c r="M372" s="25">
        <v>0</v>
      </c>
      <c r="N372" s="26">
        <f t="shared" si="79"/>
        <v>0</v>
      </c>
      <c r="O372" s="24">
        <f t="shared" si="72"/>
        <v>0</v>
      </c>
      <c r="P372" s="24">
        <f t="shared" si="73"/>
        <v>0</v>
      </c>
      <c r="Q372" s="29">
        <f t="shared" si="74"/>
        <v>0</v>
      </c>
      <c r="R372" s="30">
        <f>COUNTIF(RAW_DATA[[#This Row],[CONVERTED]],"&gt;0")</f>
        <v>0</v>
      </c>
      <c r="S372" s="30">
        <f>COUNTIFS(RAW_DATA[[#This Row],[AM/PM]],"AM",RAW_DATA[[#This Row],[CONVERTED]],"&gt;0")</f>
        <v>0</v>
      </c>
      <c r="T372" s="19">
        <f t="shared" si="77"/>
        <v>0</v>
      </c>
      <c r="U372" s="20" t="str">
        <f t="shared" si="75"/>
        <v>SINGLE</v>
      </c>
    </row>
    <row r="373" spans="1:21" x14ac:dyDescent="0.35">
      <c r="A373" s="21">
        <f t="shared" si="78"/>
        <v>45276</v>
      </c>
      <c r="B373" s="22" t="str">
        <f t="shared" si="76"/>
        <v>PM</v>
      </c>
      <c r="C373" s="23" t="str">
        <f t="shared" si="67"/>
        <v>December</v>
      </c>
      <c r="D373" s="13" t="str">
        <f t="shared" si="68"/>
        <v>SAT</v>
      </c>
      <c r="E373" s="24">
        <v>1181</v>
      </c>
      <c r="F373" s="24">
        <v>179.99</v>
      </c>
      <c r="G373" s="24">
        <v>41</v>
      </c>
      <c r="H373" s="24">
        <f t="shared" si="69"/>
        <v>47.24</v>
      </c>
      <c r="I373" s="24">
        <f t="shared" si="70"/>
        <v>3.0238320000000001</v>
      </c>
      <c r="J373" s="24">
        <v>20</v>
      </c>
      <c r="K373" s="24">
        <f t="shared" si="71"/>
        <v>129.726168</v>
      </c>
      <c r="L373" s="25">
        <v>5</v>
      </c>
      <c r="M373" s="25">
        <v>0</v>
      </c>
      <c r="N373" s="26">
        <f t="shared" si="79"/>
        <v>5</v>
      </c>
      <c r="O373" s="24">
        <f t="shared" si="72"/>
        <v>10.649999999999999</v>
      </c>
      <c r="P373" s="24">
        <f t="shared" si="73"/>
        <v>160.37616800000001</v>
      </c>
      <c r="Q373" s="29">
        <f t="shared" si="74"/>
        <v>181.37616800000001</v>
      </c>
      <c r="R373" s="30">
        <f>COUNTIF(RAW_DATA[[#This Row],[CONVERTED]],"&gt;0")</f>
        <v>1</v>
      </c>
      <c r="S373" s="30">
        <f>COUNTIFS(RAW_DATA[[#This Row],[AM/PM]],"AM",RAW_DATA[[#This Row],[CONVERTED]],"&gt;0")</f>
        <v>0</v>
      </c>
      <c r="T373" s="19">
        <f t="shared" si="77"/>
        <v>0</v>
      </c>
      <c r="U373" s="20" t="str">
        <f t="shared" si="75"/>
        <v>SINGLE</v>
      </c>
    </row>
    <row r="374" spans="1:21" x14ac:dyDescent="0.35">
      <c r="A374" s="21">
        <f t="shared" si="78"/>
        <v>45277</v>
      </c>
      <c r="B374" s="22" t="str">
        <f t="shared" si="76"/>
        <v>AM</v>
      </c>
      <c r="C374" s="23" t="str">
        <f t="shared" si="67"/>
        <v>December</v>
      </c>
      <c r="D374" s="13" t="str">
        <f t="shared" si="68"/>
        <v>SUN</v>
      </c>
      <c r="E374" s="24">
        <v>0</v>
      </c>
      <c r="F374" s="24">
        <v>0</v>
      </c>
      <c r="G374" s="24">
        <v>0</v>
      </c>
      <c r="H374" s="24">
        <f t="shared" si="69"/>
        <v>0</v>
      </c>
      <c r="I374" s="24">
        <f t="shared" si="70"/>
        <v>0</v>
      </c>
      <c r="J374" s="24">
        <v>0</v>
      </c>
      <c r="K374" s="24">
        <f t="shared" si="71"/>
        <v>0</v>
      </c>
      <c r="L374" s="25">
        <v>0</v>
      </c>
      <c r="M374" s="25">
        <v>0</v>
      </c>
      <c r="N374" s="26">
        <f t="shared" si="79"/>
        <v>0</v>
      </c>
      <c r="O374" s="24">
        <f t="shared" si="72"/>
        <v>0</v>
      </c>
      <c r="P374" s="24">
        <f t="shared" si="73"/>
        <v>0</v>
      </c>
      <c r="Q374" s="29">
        <f t="shared" si="74"/>
        <v>0</v>
      </c>
      <c r="R374" s="30">
        <f>COUNTIF(RAW_DATA[[#This Row],[CONVERTED]],"&gt;0")</f>
        <v>0</v>
      </c>
      <c r="S374" s="30">
        <f>COUNTIFS(RAW_DATA[[#This Row],[AM/PM]],"AM",RAW_DATA[[#This Row],[CONVERTED]],"&gt;0")</f>
        <v>0</v>
      </c>
      <c r="T374" s="19">
        <f t="shared" si="77"/>
        <v>0</v>
      </c>
      <c r="U374" s="20" t="str">
        <f t="shared" si="75"/>
        <v>SINGLE</v>
      </c>
    </row>
    <row r="375" spans="1:21" x14ac:dyDescent="0.35">
      <c r="A375" s="21">
        <f t="shared" si="78"/>
        <v>45277</v>
      </c>
      <c r="B375" s="22" t="str">
        <f t="shared" si="76"/>
        <v>PM</v>
      </c>
      <c r="C375" s="23" t="str">
        <f t="shared" si="67"/>
        <v>December</v>
      </c>
      <c r="D375" s="13" t="str">
        <f t="shared" si="68"/>
        <v>SUN</v>
      </c>
      <c r="E375" s="24">
        <v>1390</v>
      </c>
      <c r="F375" s="24">
        <v>237.21</v>
      </c>
      <c r="G375" s="24">
        <v>28</v>
      </c>
      <c r="H375" s="24">
        <f t="shared" si="69"/>
        <v>55.6</v>
      </c>
      <c r="I375" s="24">
        <f t="shared" si="70"/>
        <v>3.985128</v>
      </c>
      <c r="J375" s="24">
        <v>9.6</v>
      </c>
      <c r="K375" s="24">
        <f t="shared" si="71"/>
        <v>177.62487200000001</v>
      </c>
      <c r="L375" s="25">
        <v>5</v>
      </c>
      <c r="M375" s="25">
        <v>37</v>
      </c>
      <c r="N375" s="26">
        <f t="shared" si="79"/>
        <v>5.6166666666666663</v>
      </c>
      <c r="O375" s="24">
        <f t="shared" si="72"/>
        <v>11.963499999999998</v>
      </c>
      <c r="P375" s="24">
        <f t="shared" si="73"/>
        <v>199.18837200000002</v>
      </c>
      <c r="Q375" s="29">
        <f t="shared" si="74"/>
        <v>217.58837200000002</v>
      </c>
      <c r="R375" s="30">
        <f>COUNTIF(RAW_DATA[[#This Row],[CONVERTED]],"&gt;0")</f>
        <v>1</v>
      </c>
      <c r="S375" s="30">
        <f>COUNTIFS(RAW_DATA[[#This Row],[AM/PM]],"AM",RAW_DATA[[#This Row],[CONVERTED]],"&gt;0")</f>
        <v>0</v>
      </c>
      <c r="T375" s="19">
        <f t="shared" si="77"/>
        <v>0</v>
      </c>
      <c r="U375" s="20" t="str">
        <f t="shared" si="75"/>
        <v>SINGLE</v>
      </c>
    </row>
    <row r="376" spans="1:21" x14ac:dyDescent="0.35">
      <c r="A376" s="21">
        <f t="shared" si="78"/>
        <v>45278</v>
      </c>
      <c r="B376" s="22" t="str">
        <f t="shared" si="76"/>
        <v>AM</v>
      </c>
      <c r="C376" s="23" t="str">
        <f t="shared" si="67"/>
        <v>December</v>
      </c>
      <c r="D376" s="13" t="str">
        <f t="shared" si="68"/>
        <v>MON</v>
      </c>
      <c r="E376" s="24">
        <v>0</v>
      </c>
      <c r="F376" s="24">
        <v>0</v>
      </c>
      <c r="G376" s="24">
        <v>0</v>
      </c>
      <c r="H376" s="24">
        <f t="shared" si="69"/>
        <v>0</v>
      </c>
      <c r="I376" s="24">
        <f t="shared" si="70"/>
        <v>0</v>
      </c>
      <c r="J376" s="24">
        <v>0</v>
      </c>
      <c r="K376" s="24">
        <f t="shared" si="71"/>
        <v>0</v>
      </c>
      <c r="L376" s="25">
        <v>0</v>
      </c>
      <c r="M376" s="25">
        <v>0</v>
      </c>
      <c r="N376" s="26">
        <f t="shared" si="79"/>
        <v>0</v>
      </c>
      <c r="O376" s="24">
        <f t="shared" si="72"/>
        <v>0</v>
      </c>
      <c r="P376" s="24">
        <f t="shared" si="73"/>
        <v>0</v>
      </c>
      <c r="Q376" s="29">
        <f t="shared" si="74"/>
        <v>0</v>
      </c>
      <c r="R376" s="30">
        <f>COUNTIF(RAW_DATA[[#This Row],[CONVERTED]],"&gt;0")</f>
        <v>0</v>
      </c>
      <c r="S376" s="30">
        <f>COUNTIFS(RAW_DATA[[#This Row],[AM/PM]],"AM",RAW_DATA[[#This Row],[CONVERTED]],"&gt;0")</f>
        <v>0</v>
      </c>
      <c r="T376" s="19">
        <f t="shared" si="77"/>
        <v>0</v>
      </c>
      <c r="U376" s="20" t="str">
        <f t="shared" si="75"/>
        <v>SINGLE</v>
      </c>
    </row>
    <row r="377" spans="1:21" x14ac:dyDescent="0.35">
      <c r="A377" s="21">
        <f t="shared" si="78"/>
        <v>45278</v>
      </c>
      <c r="B377" s="22" t="str">
        <f t="shared" si="76"/>
        <v>PM</v>
      </c>
      <c r="C377" s="23" t="str">
        <f t="shared" si="67"/>
        <v>December</v>
      </c>
      <c r="D377" s="13" t="str">
        <f t="shared" si="68"/>
        <v>MON</v>
      </c>
      <c r="E377" s="24">
        <v>1140</v>
      </c>
      <c r="F377" s="24">
        <v>224.72</v>
      </c>
      <c r="G377" s="24">
        <v>0</v>
      </c>
      <c r="H377" s="24">
        <f t="shared" si="69"/>
        <v>45.6</v>
      </c>
      <c r="I377" s="24">
        <f t="shared" si="70"/>
        <v>3.7752959999999995</v>
      </c>
      <c r="J377" s="24">
        <v>0</v>
      </c>
      <c r="K377" s="24">
        <f t="shared" si="71"/>
        <v>175.34470400000001</v>
      </c>
      <c r="L377" s="25">
        <v>5</v>
      </c>
      <c r="M377" s="25">
        <v>39</v>
      </c>
      <c r="N377" s="26">
        <f t="shared" si="79"/>
        <v>5.65</v>
      </c>
      <c r="O377" s="24">
        <f t="shared" si="72"/>
        <v>12.0345</v>
      </c>
      <c r="P377" s="24">
        <f t="shared" si="73"/>
        <v>187.37920400000002</v>
      </c>
      <c r="Q377" s="29">
        <f t="shared" si="74"/>
        <v>187.37920400000002</v>
      </c>
      <c r="R377" s="30">
        <f>COUNTIF(RAW_DATA[[#This Row],[CONVERTED]],"&gt;0")</f>
        <v>1</v>
      </c>
      <c r="S377" s="30">
        <f>COUNTIFS(RAW_DATA[[#This Row],[AM/PM]],"AM",RAW_DATA[[#This Row],[CONVERTED]],"&gt;0")</f>
        <v>0</v>
      </c>
      <c r="T377" s="19">
        <f t="shared" si="77"/>
        <v>0</v>
      </c>
      <c r="U377" s="20" t="str">
        <f t="shared" si="75"/>
        <v>SINGLE</v>
      </c>
    </row>
    <row r="378" spans="1:21" x14ac:dyDescent="0.35">
      <c r="A378" s="21">
        <f t="shared" si="78"/>
        <v>45279</v>
      </c>
      <c r="B378" s="22" t="str">
        <f t="shared" si="76"/>
        <v>AM</v>
      </c>
      <c r="C378" s="23" t="str">
        <f t="shared" si="67"/>
        <v>December</v>
      </c>
      <c r="D378" s="13" t="str">
        <f t="shared" si="68"/>
        <v>TUE</v>
      </c>
      <c r="E378" s="24">
        <v>0</v>
      </c>
      <c r="F378" s="24">
        <v>0</v>
      </c>
      <c r="G378" s="24">
        <v>0</v>
      </c>
      <c r="H378" s="24">
        <f t="shared" si="69"/>
        <v>0</v>
      </c>
      <c r="I378" s="24">
        <f t="shared" si="70"/>
        <v>0</v>
      </c>
      <c r="J378" s="24">
        <v>0</v>
      </c>
      <c r="K378" s="24">
        <f t="shared" si="71"/>
        <v>0</v>
      </c>
      <c r="L378" s="25">
        <v>0</v>
      </c>
      <c r="M378" s="25">
        <v>0</v>
      </c>
      <c r="N378" s="26">
        <f t="shared" si="79"/>
        <v>0</v>
      </c>
      <c r="O378" s="24">
        <f t="shared" si="72"/>
        <v>0</v>
      </c>
      <c r="P378" s="24">
        <f t="shared" si="73"/>
        <v>0</v>
      </c>
      <c r="Q378" s="29">
        <f t="shared" si="74"/>
        <v>0</v>
      </c>
      <c r="R378" s="30">
        <f>COUNTIF(RAW_DATA[[#This Row],[CONVERTED]],"&gt;0")</f>
        <v>0</v>
      </c>
      <c r="S378" s="30">
        <f>COUNTIFS(RAW_DATA[[#This Row],[AM/PM]],"AM",RAW_DATA[[#This Row],[CONVERTED]],"&gt;0")</f>
        <v>0</v>
      </c>
      <c r="T378" s="19">
        <f t="shared" si="77"/>
        <v>0</v>
      </c>
      <c r="U378" s="20" t="str">
        <f t="shared" si="75"/>
        <v>SINGLE</v>
      </c>
    </row>
    <row r="379" spans="1:21" x14ac:dyDescent="0.35">
      <c r="A379" s="21">
        <f t="shared" si="78"/>
        <v>45279</v>
      </c>
      <c r="B379" s="22" t="str">
        <f t="shared" si="76"/>
        <v>PM</v>
      </c>
      <c r="C379" s="23" t="str">
        <f t="shared" si="67"/>
        <v>December</v>
      </c>
      <c r="D379" s="13" t="str">
        <f t="shared" si="68"/>
        <v>TUE</v>
      </c>
      <c r="E379" s="24">
        <v>0</v>
      </c>
      <c r="F379" s="24">
        <v>0</v>
      </c>
      <c r="G379" s="24">
        <v>0</v>
      </c>
      <c r="H379" s="24">
        <f t="shared" si="69"/>
        <v>0</v>
      </c>
      <c r="I379" s="24">
        <f t="shared" si="70"/>
        <v>0</v>
      </c>
      <c r="J379" s="24">
        <v>0</v>
      </c>
      <c r="K379" s="24">
        <f t="shared" si="71"/>
        <v>0</v>
      </c>
      <c r="L379" s="25">
        <v>0</v>
      </c>
      <c r="M379" s="25">
        <v>0</v>
      </c>
      <c r="N379" s="26">
        <f t="shared" si="79"/>
        <v>0</v>
      </c>
      <c r="O379" s="24">
        <f t="shared" si="72"/>
        <v>0</v>
      </c>
      <c r="P379" s="24">
        <f t="shared" si="73"/>
        <v>0</v>
      </c>
      <c r="Q379" s="29">
        <f t="shared" si="74"/>
        <v>0</v>
      </c>
      <c r="R379" s="30">
        <f>COUNTIF(RAW_DATA[[#This Row],[CONVERTED]],"&gt;0")</f>
        <v>0</v>
      </c>
      <c r="S379" s="30">
        <f>COUNTIFS(RAW_DATA[[#This Row],[AM/PM]],"AM",RAW_DATA[[#This Row],[CONVERTED]],"&gt;0")</f>
        <v>0</v>
      </c>
      <c r="T379" s="19">
        <f t="shared" si="77"/>
        <v>0</v>
      </c>
      <c r="U379" s="20" t="str">
        <f t="shared" si="75"/>
        <v>SINGLE</v>
      </c>
    </row>
    <row r="380" spans="1:21" x14ac:dyDescent="0.35">
      <c r="A380" s="21">
        <f t="shared" si="78"/>
        <v>45280</v>
      </c>
      <c r="B380" s="22" t="str">
        <f t="shared" si="76"/>
        <v>AM</v>
      </c>
      <c r="C380" s="23" t="str">
        <f t="shared" si="67"/>
        <v>December</v>
      </c>
      <c r="D380" s="13" t="str">
        <f t="shared" si="68"/>
        <v>WED</v>
      </c>
      <c r="E380" s="24">
        <v>0</v>
      </c>
      <c r="F380" s="24">
        <v>0</v>
      </c>
      <c r="G380" s="24">
        <v>0</v>
      </c>
      <c r="H380" s="24">
        <f t="shared" si="69"/>
        <v>0</v>
      </c>
      <c r="I380" s="24">
        <f t="shared" si="70"/>
        <v>0</v>
      </c>
      <c r="J380" s="24">
        <v>0</v>
      </c>
      <c r="K380" s="24">
        <f t="shared" si="71"/>
        <v>0</v>
      </c>
      <c r="L380" s="25">
        <v>0</v>
      </c>
      <c r="M380" s="25">
        <v>0</v>
      </c>
      <c r="N380" s="26">
        <f t="shared" si="79"/>
        <v>0</v>
      </c>
      <c r="O380" s="24">
        <f t="shared" si="72"/>
        <v>0</v>
      </c>
      <c r="P380" s="24">
        <f t="shared" si="73"/>
        <v>0</v>
      </c>
      <c r="Q380" s="29">
        <f t="shared" si="74"/>
        <v>0</v>
      </c>
      <c r="R380" s="30">
        <f>COUNTIF(RAW_DATA[[#This Row],[CONVERTED]],"&gt;0")</f>
        <v>0</v>
      </c>
      <c r="S380" s="30">
        <f>COUNTIFS(RAW_DATA[[#This Row],[AM/PM]],"AM",RAW_DATA[[#This Row],[CONVERTED]],"&gt;0")</f>
        <v>0</v>
      </c>
      <c r="T380" s="19">
        <f t="shared" si="77"/>
        <v>0</v>
      </c>
      <c r="U380" s="20" t="str">
        <f t="shared" si="75"/>
        <v>SINGLE</v>
      </c>
    </row>
    <row r="381" spans="1:21" x14ac:dyDescent="0.35">
      <c r="A381" s="21">
        <f t="shared" si="78"/>
        <v>45280</v>
      </c>
      <c r="B381" s="22" t="str">
        <f t="shared" si="76"/>
        <v>PM</v>
      </c>
      <c r="C381" s="23" t="str">
        <f t="shared" si="67"/>
        <v>December</v>
      </c>
      <c r="D381" s="13" t="str">
        <f t="shared" si="68"/>
        <v>WED</v>
      </c>
      <c r="E381" s="24">
        <v>0</v>
      </c>
      <c r="F381" s="24">
        <v>0</v>
      </c>
      <c r="G381" s="24">
        <v>0</v>
      </c>
      <c r="H381" s="24">
        <f t="shared" si="69"/>
        <v>0</v>
      </c>
      <c r="I381" s="24">
        <f t="shared" si="70"/>
        <v>0</v>
      </c>
      <c r="J381" s="24">
        <v>0</v>
      </c>
      <c r="K381" s="24">
        <f t="shared" si="71"/>
        <v>0</v>
      </c>
      <c r="L381" s="25">
        <v>0</v>
      </c>
      <c r="M381" s="25">
        <v>0</v>
      </c>
      <c r="N381" s="26">
        <f t="shared" si="79"/>
        <v>0</v>
      </c>
      <c r="O381" s="24">
        <f t="shared" si="72"/>
        <v>0</v>
      </c>
      <c r="P381" s="24">
        <f t="shared" si="73"/>
        <v>0</v>
      </c>
      <c r="Q381" s="29">
        <f t="shared" si="74"/>
        <v>0</v>
      </c>
      <c r="R381" s="30">
        <f>COUNTIF(RAW_DATA[[#This Row],[CONVERTED]],"&gt;0")</f>
        <v>0</v>
      </c>
      <c r="S381" s="30">
        <f>COUNTIFS(RAW_DATA[[#This Row],[AM/PM]],"AM",RAW_DATA[[#This Row],[CONVERTED]],"&gt;0")</f>
        <v>0</v>
      </c>
      <c r="T381" s="19">
        <f t="shared" si="77"/>
        <v>0</v>
      </c>
      <c r="U381" s="20" t="str">
        <f t="shared" si="75"/>
        <v>SINGLE</v>
      </c>
    </row>
    <row r="382" spans="1:21" x14ac:dyDescent="0.35">
      <c r="A382" s="21">
        <f t="shared" si="78"/>
        <v>45281</v>
      </c>
      <c r="B382" s="22" t="str">
        <f t="shared" si="76"/>
        <v>AM</v>
      </c>
      <c r="C382" s="23" t="str">
        <f t="shared" si="67"/>
        <v>December</v>
      </c>
      <c r="D382" s="13" t="str">
        <f t="shared" si="68"/>
        <v>THU</v>
      </c>
      <c r="E382" s="24">
        <v>0</v>
      </c>
      <c r="F382" s="24">
        <v>0</v>
      </c>
      <c r="G382" s="24">
        <v>0</v>
      </c>
      <c r="H382" s="24">
        <f t="shared" si="69"/>
        <v>0</v>
      </c>
      <c r="I382" s="24">
        <f t="shared" si="70"/>
        <v>0</v>
      </c>
      <c r="J382" s="24">
        <v>0</v>
      </c>
      <c r="K382" s="24">
        <f t="shared" si="71"/>
        <v>0</v>
      </c>
      <c r="L382" s="25">
        <v>0</v>
      </c>
      <c r="M382" s="25">
        <v>0</v>
      </c>
      <c r="N382" s="26">
        <f t="shared" si="79"/>
        <v>0</v>
      </c>
      <c r="O382" s="24">
        <f t="shared" si="72"/>
        <v>0</v>
      </c>
      <c r="P382" s="24">
        <f t="shared" si="73"/>
        <v>0</v>
      </c>
      <c r="Q382" s="29">
        <f t="shared" si="74"/>
        <v>0</v>
      </c>
      <c r="R382" s="30">
        <f>COUNTIF(RAW_DATA[[#This Row],[CONVERTED]],"&gt;0")</f>
        <v>0</v>
      </c>
      <c r="S382" s="30">
        <f>COUNTIFS(RAW_DATA[[#This Row],[AM/PM]],"AM",RAW_DATA[[#This Row],[CONVERTED]],"&gt;0")</f>
        <v>0</v>
      </c>
      <c r="T382" s="19">
        <f t="shared" si="77"/>
        <v>0</v>
      </c>
      <c r="U382" s="20" t="str">
        <f t="shared" si="75"/>
        <v>SINGLE</v>
      </c>
    </row>
    <row r="383" spans="1:21" x14ac:dyDescent="0.35">
      <c r="A383" s="21">
        <f t="shared" si="78"/>
        <v>45281</v>
      </c>
      <c r="B383" s="22" t="str">
        <f t="shared" si="76"/>
        <v>PM</v>
      </c>
      <c r="C383" s="23" t="str">
        <f t="shared" si="67"/>
        <v>December</v>
      </c>
      <c r="D383" s="13" t="str">
        <f t="shared" si="68"/>
        <v>THU</v>
      </c>
      <c r="E383" s="24">
        <v>1102</v>
      </c>
      <c r="F383" s="24">
        <v>171.65</v>
      </c>
      <c r="G383" s="24">
        <v>63</v>
      </c>
      <c r="H383" s="24">
        <f t="shared" si="69"/>
        <v>44.08</v>
      </c>
      <c r="I383" s="24">
        <f t="shared" si="70"/>
        <v>2.8837199999999998</v>
      </c>
      <c r="J383" s="24">
        <v>0</v>
      </c>
      <c r="K383" s="24">
        <f t="shared" si="71"/>
        <v>124.68628000000001</v>
      </c>
      <c r="L383" s="25">
        <v>5</v>
      </c>
      <c r="M383" s="25">
        <v>22</v>
      </c>
      <c r="N383" s="26">
        <f t="shared" si="79"/>
        <v>5.3666666666666663</v>
      </c>
      <c r="O383" s="24">
        <f t="shared" si="72"/>
        <v>11.430999999999999</v>
      </c>
      <c r="P383" s="24">
        <f t="shared" si="73"/>
        <v>136.11728000000002</v>
      </c>
      <c r="Q383" s="29">
        <f t="shared" si="74"/>
        <v>199.11728000000002</v>
      </c>
      <c r="R383" s="30">
        <f>COUNTIF(RAW_DATA[[#This Row],[CONVERTED]],"&gt;0")</f>
        <v>1</v>
      </c>
      <c r="S383" s="30">
        <f>COUNTIFS(RAW_DATA[[#This Row],[AM/PM]],"AM",RAW_DATA[[#This Row],[CONVERTED]],"&gt;0")</f>
        <v>0</v>
      </c>
      <c r="T383" s="19">
        <f t="shared" si="77"/>
        <v>0</v>
      </c>
      <c r="U383" s="20" t="str">
        <f t="shared" si="75"/>
        <v>SINGLE</v>
      </c>
    </row>
    <row r="384" spans="1:21" x14ac:dyDescent="0.35">
      <c r="A384" s="21">
        <f t="shared" si="78"/>
        <v>45282</v>
      </c>
      <c r="B384" s="22" t="str">
        <f t="shared" si="76"/>
        <v>AM</v>
      </c>
      <c r="C384" s="23" t="str">
        <f t="shared" si="67"/>
        <v>December</v>
      </c>
      <c r="D384" s="13" t="str">
        <f t="shared" si="68"/>
        <v>FRI</v>
      </c>
      <c r="E384" s="24">
        <v>0</v>
      </c>
      <c r="F384" s="24">
        <v>0</v>
      </c>
      <c r="G384" s="24">
        <v>0</v>
      </c>
      <c r="H384" s="24">
        <f t="shared" si="69"/>
        <v>0</v>
      </c>
      <c r="I384" s="24">
        <f t="shared" si="70"/>
        <v>0</v>
      </c>
      <c r="J384" s="24">
        <v>0</v>
      </c>
      <c r="K384" s="24">
        <f t="shared" si="71"/>
        <v>0</v>
      </c>
      <c r="L384" s="25">
        <v>0</v>
      </c>
      <c r="M384" s="25">
        <v>0</v>
      </c>
      <c r="N384" s="26">
        <f t="shared" si="79"/>
        <v>0</v>
      </c>
      <c r="O384" s="24">
        <f t="shared" si="72"/>
        <v>0</v>
      </c>
      <c r="P384" s="24">
        <f t="shared" si="73"/>
        <v>0</v>
      </c>
      <c r="Q384" s="29">
        <f t="shared" si="74"/>
        <v>0</v>
      </c>
      <c r="R384" s="30">
        <f>COUNTIF(RAW_DATA[[#This Row],[CONVERTED]],"&gt;0")</f>
        <v>0</v>
      </c>
      <c r="S384" s="30">
        <f>COUNTIFS(RAW_DATA[[#This Row],[AM/PM]],"AM",RAW_DATA[[#This Row],[CONVERTED]],"&gt;0")</f>
        <v>0</v>
      </c>
      <c r="T384" s="19">
        <f t="shared" si="77"/>
        <v>0</v>
      </c>
      <c r="U384" s="20" t="str">
        <f t="shared" si="75"/>
        <v>SINGLE</v>
      </c>
    </row>
    <row r="385" spans="1:21" x14ac:dyDescent="0.35">
      <c r="A385" s="21">
        <f t="shared" si="78"/>
        <v>45282</v>
      </c>
      <c r="B385" s="22" t="str">
        <f t="shared" si="76"/>
        <v>PM</v>
      </c>
      <c r="C385" s="23" t="str">
        <f t="shared" si="67"/>
        <v>December</v>
      </c>
      <c r="D385" s="13" t="str">
        <f t="shared" si="68"/>
        <v>FRI</v>
      </c>
      <c r="E385" s="24">
        <v>1445</v>
      </c>
      <c r="F385" s="24">
        <v>283.77999999999997</v>
      </c>
      <c r="G385" s="24">
        <v>0</v>
      </c>
      <c r="H385" s="24">
        <f t="shared" si="69"/>
        <v>57.800000000000004</v>
      </c>
      <c r="I385" s="24">
        <f t="shared" si="70"/>
        <v>4.7675039999999989</v>
      </c>
      <c r="J385" s="24">
        <v>0</v>
      </c>
      <c r="K385" s="24">
        <f t="shared" si="71"/>
        <v>221.21249599999999</v>
      </c>
      <c r="L385" s="25">
        <v>5</v>
      </c>
      <c r="M385" s="25">
        <v>18</v>
      </c>
      <c r="N385" s="26">
        <f t="shared" si="79"/>
        <v>5.3</v>
      </c>
      <c r="O385" s="24">
        <f t="shared" si="72"/>
        <v>11.289</v>
      </c>
      <c r="P385" s="24">
        <f t="shared" si="73"/>
        <v>232.50149599999997</v>
      </c>
      <c r="Q385" s="29">
        <f t="shared" si="74"/>
        <v>232.50149599999997</v>
      </c>
      <c r="R385" s="30">
        <f>COUNTIF(RAW_DATA[[#This Row],[CONVERTED]],"&gt;0")</f>
        <v>1</v>
      </c>
      <c r="S385" s="30">
        <f>COUNTIFS(RAW_DATA[[#This Row],[AM/PM]],"AM",RAW_DATA[[#This Row],[CONVERTED]],"&gt;0")</f>
        <v>0</v>
      </c>
      <c r="T385" s="19">
        <f t="shared" si="77"/>
        <v>0</v>
      </c>
      <c r="U385" s="20" t="str">
        <f t="shared" si="75"/>
        <v>SINGLE</v>
      </c>
    </row>
    <row r="386" spans="1:21" x14ac:dyDescent="0.35">
      <c r="A386" s="21">
        <f t="shared" si="78"/>
        <v>45283</v>
      </c>
      <c r="B386" s="22" t="str">
        <f t="shared" si="76"/>
        <v>AM</v>
      </c>
      <c r="C386" s="23" t="str">
        <f t="shared" ref="C386:C449" si="80">TEXT(A386,"mmmm")</f>
        <v>December</v>
      </c>
      <c r="D386" s="13" t="str">
        <f t="shared" ref="D386:D449" si="81">CHOOSE(WEEKDAY(A386),"SUN","MON","TUE","WED","THU","FRI","SAT")</f>
        <v>SAT</v>
      </c>
      <c r="E386" s="24">
        <v>0</v>
      </c>
      <c r="F386" s="24">
        <v>0</v>
      </c>
      <c r="G386" s="24">
        <v>0</v>
      </c>
      <c r="H386" s="24">
        <f t="shared" ref="H386:H449" si="82">E386*0.04</f>
        <v>0</v>
      </c>
      <c r="I386" s="24">
        <f t="shared" ref="I386:I449" si="83">F386*0.0168</f>
        <v>0</v>
      </c>
      <c r="J386" s="24">
        <v>0</v>
      </c>
      <c r="K386" s="24">
        <f t="shared" ref="K386:K449" si="84">F386-(H386+I386)</f>
        <v>0</v>
      </c>
      <c r="L386" s="25">
        <v>0</v>
      </c>
      <c r="M386" s="25">
        <v>0</v>
      </c>
      <c r="N386" s="26">
        <f t="shared" si="79"/>
        <v>0</v>
      </c>
      <c r="O386" s="24">
        <f t="shared" ref="O386:O449" si="85">N386*2.13</f>
        <v>0</v>
      </c>
      <c r="P386" s="24">
        <f t="shared" ref="P386:P449" si="86">K386+J386+O386</f>
        <v>0</v>
      </c>
      <c r="Q386" s="29">
        <f t="shared" ref="Q386:Q449" si="87">G386+K386+O386</f>
        <v>0</v>
      </c>
      <c r="R386" s="30">
        <f>COUNTIF(RAW_DATA[[#This Row],[CONVERTED]],"&gt;0")</f>
        <v>0</v>
      </c>
      <c r="S386" s="30">
        <f>COUNTIFS(RAW_DATA[[#This Row],[AM/PM]],"AM",RAW_DATA[[#This Row],[CONVERTED]],"&gt;0")</f>
        <v>0</v>
      </c>
      <c r="T386" s="19">
        <f t="shared" si="77"/>
        <v>0</v>
      </c>
      <c r="U386" s="20" t="str">
        <f t="shared" ref="U386:U449" si="88">IF(AND(S386=1,T387=1,B386="AM"),"DOUBLE",IF(AND(S385=1,N386&gt;0),"DOUBLE","SINGLE"))</f>
        <v>SINGLE</v>
      </c>
    </row>
    <row r="387" spans="1:21" x14ac:dyDescent="0.35">
      <c r="A387" s="21">
        <f t="shared" si="78"/>
        <v>45283</v>
      </c>
      <c r="B387" s="22" t="str">
        <f t="shared" ref="B387:B450" si="89">IF(B386="AM","PM","AM")</f>
        <v>PM</v>
      </c>
      <c r="C387" s="23" t="str">
        <f t="shared" si="80"/>
        <v>December</v>
      </c>
      <c r="D387" s="13" t="str">
        <f t="shared" si="81"/>
        <v>SAT</v>
      </c>
      <c r="E387" s="24">
        <v>1427</v>
      </c>
      <c r="F387" s="24">
        <v>274.27999999999997</v>
      </c>
      <c r="G387" s="24">
        <v>35</v>
      </c>
      <c r="H387" s="24">
        <f t="shared" si="82"/>
        <v>57.08</v>
      </c>
      <c r="I387" s="24">
        <f t="shared" si="83"/>
        <v>4.6079039999999996</v>
      </c>
      <c r="J387" s="24">
        <v>10.5</v>
      </c>
      <c r="K387" s="24">
        <f t="shared" si="84"/>
        <v>212.59209599999997</v>
      </c>
      <c r="L387" s="25">
        <v>5</v>
      </c>
      <c r="M387" s="25">
        <v>27</v>
      </c>
      <c r="N387" s="26">
        <f t="shared" si="79"/>
        <v>5.45</v>
      </c>
      <c r="O387" s="24">
        <f t="shared" si="85"/>
        <v>11.608499999999999</v>
      </c>
      <c r="P387" s="24">
        <f t="shared" si="86"/>
        <v>234.70059599999996</v>
      </c>
      <c r="Q387" s="29">
        <f t="shared" si="87"/>
        <v>259.20059599999996</v>
      </c>
      <c r="R387" s="30">
        <f>COUNTIF(RAW_DATA[[#This Row],[CONVERTED]],"&gt;0")</f>
        <v>1</v>
      </c>
      <c r="S387" s="30">
        <f>COUNTIFS(RAW_DATA[[#This Row],[AM/PM]],"AM",RAW_DATA[[#This Row],[CONVERTED]],"&gt;0")</f>
        <v>0</v>
      </c>
      <c r="T387" s="19">
        <f t="shared" ref="T387:T450" si="90">IF(AND($S386=1,$N387&gt;0),1,0)</f>
        <v>0</v>
      </c>
      <c r="U387" s="20" t="str">
        <f t="shared" si="88"/>
        <v>SINGLE</v>
      </c>
    </row>
    <row r="388" spans="1:21" x14ac:dyDescent="0.35">
      <c r="A388" s="21">
        <f t="shared" ref="A388:A451" si="91">IF(B387 = "AM",A387,A387+1)</f>
        <v>45284</v>
      </c>
      <c r="B388" s="22" t="str">
        <f t="shared" si="89"/>
        <v>AM</v>
      </c>
      <c r="C388" s="23" t="str">
        <f t="shared" si="80"/>
        <v>December</v>
      </c>
      <c r="D388" s="13" t="str">
        <f t="shared" si="81"/>
        <v>SUN</v>
      </c>
      <c r="E388" s="24">
        <v>0</v>
      </c>
      <c r="F388" s="24">
        <v>0</v>
      </c>
      <c r="G388" s="24">
        <v>0</v>
      </c>
      <c r="H388" s="24">
        <f t="shared" si="82"/>
        <v>0</v>
      </c>
      <c r="I388" s="24">
        <f t="shared" si="83"/>
        <v>0</v>
      </c>
      <c r="J388" s="24">
        <v>0</v>
      </c>
      <c r="K388" s="24">
        <f t="shared" si="84"/>
        <v>0</v>
      </c>
      <c r="L388" s="25">
        <v>0</v>
      </c>
      <c r="M388" s="25">
        <v>0</v>
      </c>
      <c r="N388" s="26">
        <f t="shared" si="79"/>
        <v>0</v>
      </c>
      <c r="O388" s="24">
        <f t="shared" si="85"/>
        <v>0</v>
      </c>
      <c r="P388" s="24">
        <f t="shared" si="86"/>
        <v>0</v>
      </c>
      <c r="Q388" s="29">
        <f t="shared" si="87"/>
        <v>0</v>
      </c>
      <c r="R388" s="30">
        <f>COUNTIF(RAW_DATA[[#This Row],[CONVERTED]],"&gt;0")</f>
        <v>0</v>
      </c>
      <c r="S388" s="30">
        <f>COUNTIFS(RAW_DATA[[#This Row],[AM/PM]],"AM",RAW_DATA[[#This Row],[CONVERTED]],"&gt;0")</f>
        <v>0</v>
      </c>
      <c r="T388" s="19">
        <f t="shared" si="90"/>
        <v>0</v>
      </c>
      <c r="U388" s="20" t="str">
        <f t="shared" si="88"/>
        <v>SINGLE</v>
      </c>
    </row>
    <row r="389" spans="1:21" x14ac:dyDescent="0.35">
      <c r="A389" s="21">
        <f t="shared" si="91"/>
        <v>45284</v>
      </c>
      <c r="B389" s="22" t="str">
        <f t="shared" si="89"/>
        <v>PM</v>
      </c>
      <c r="C389" s="23" t="str">
        <f t="shared" si="80"/>
        <v>December</v>
      </c>
      <c r="D389" s="13" t="str">
        <f t="shared" si="81"/>
        <v>SUN</v>
      </c>
      <c r="E389" s="24">
        <v>0</v>
      </c>
      <c r="F389" s="24">
        <v>0</v>
      </c>
      <c r="G389" s="24">
        <v>0</v>
      </c>
      <c r="H389" s="24">
        <f t="shared" si="82"/>
        <v>0</v>
      </c>
      <c r="I389" s="24">
        <f t="shared" si="83"/>
        <v>0</v>
      </c>
      <c r="J389" s="24">
        <v>0</v>
      </c>
      <c r="K389" s="24">
        <f t="shared" si="84"/>
        <v>0</v>
      </c>
      <c r="L389" s="25">
        <v>0</v>
      </c>
      <c r="M389" s="25">
        <v>0</v>
      </c>
      <c r="N389" s="26">
        <f t="shared" si="79"/>
        <v>0</v>
      </c>
      <c r="O389" s="24">
        <f t="shared" si="85"/>
        <v>0</v>
      </c>
      <c r="P389" s="24">
        <f t="shared" si="86"/>
        <v>0</v>
      </c>
      <c r="Q389" s="29">
        <f t="shared" si="87"/>
        <v>0</v>
      </c>
      <c r="R389" s="30">
        <f>COUNTIF(RAW_DATA[[#This Row],[CONVERTED]],"&gt;0")</f>
        <v>0</v>
      </c>
      <c r="S389" s="30">
        <f>COUNTIFS(RAW_DATA[[#This Row],[AM/PM]],"AM",RAW_DATA[[#This Row],[CONVERTED]],"&gt;0")</f>
        <v>0</v>
      </c>
      <c r="T389" s="19">
        <f t="shared" si="90"/>
        <v>0</v>
      </c>
      <c r="U389" s="20" t="str">
        <f t="shared" si="88"/>
        <v>SINGLE</v>
      </c>
    </row>
    <row r="390" spans="1:21" x14ac:dyDescent="0.35">
      <c r="A390" s="21">
        <f t="shared" si="91"/>
        <v>45285</v>
      </c>
      <c r="B390" s="22" t="str">
        <f t="shared" si="89"/>
        <v>AM</v>
      </c>
      <c r="C390" s="23" t="str">
        <f t="shared" si="80"/>
        <v>December</v>
      </c>
      <c r="D390" s="13" t="str">
        <f t="shared" si="81"/>
        <v>MON</v>
      </c>
      <c r="E390" s="24">
        <v>0</v>
      </c>
      <c r="F390" s="24">
        <v>0</v>
      </c>
      <c r="G390" s="24">
        <v>0</v>
      </c>
      <c r="H390" s="24">
        <f t="shared" si="82"/>
        <v>0</v>
      </c>
      <c r="I390" s="24">
        <f t="shared" si="83"/>
        <v>0</v>
      </c>
      <c r="J390" s="24">
        <v>0</v>
      </c>
      <c r="K390" s="24">
        <f t="shared" si="84"/>
        <v>0</v>
      </c>
      <c r="L390" s="25">
        <v>0</v>
      </c>
      <c r="M390" s="25">
        <v>0</v>
      </c>
      <c r="N390" s="26">
        <f t="shared" si="79"/>
        <v>0</v>
      </c>
      <c r="O390" s="24">
        <f t="shared" si="85"/>
        <v>0</v>
      </c>
      <c r="P390" s="24">
        <f t="shared" si="86"/>
        <v>0</v>
      </c>
      <c r="Q390" s="29">
        <f t="shared" si="87"/>
        <v>0</v>
      </c>
      <c r="R390" s="30">
        <f>COUNTIF(RAW_DATA[[#This Row],[CONVERTED]],"&gt;0")</f>
        <v>0</v>
      </c>
      <c r="S390" s="30">
        <f>COUNTIFS(RAW_DATA[[#This Row],[AM/PM]],"AM",RAW_DATA[[#This Row],[CONVERTED]],"&gt;0")</f>
        <v>0</v>
      </c>
      <c r="T390" s="19">
        <f t="shared" si="90"/>
        <v>0</v>
      </c>
      <c r="U390" s="20" t="str">
        <f t="shared" si="88"/>
        <v>SINGLE</v>
      </c>
    </row>
    <row r="391" spans="1:21" x14ac:dyDescent="0.35">
      <c r="A391" s="21">
        <f t="shared" si="91"/>
        <v>45285</v>
      </c>
      <c r="B391" s="22" t="str">
        <f t="shared" si="89"/>
        <v>PM</v>
      </c>
      <c r="C391" s="23" t="str">
        <f t="shared" si="80"/>
        <v>December</v>
      </c>
      <c r="D391" s="13" t="str">
        <f t="shared" si="81"/>
        <v>MON</v>
      </c>
      <c r="E391" s="24">
        <v>0</v>
      </c>
      <c r="F391" s="24">
        <v>0</v>
      </c>
      <c r="G391" s="24">
        <v>0</v>
      </c>
      <c r="H391" s="24">
        <f t="shared" si="82"/>
        <v>0</v>
      </c>
      <c r="I391" s="24">
        <f t="shared" si="83"/>
        <v>0</v>
      </c>
      <c r="J391" s="24">
        <v>0</v>
      </c>
      <c r="K391" s="24">
        <f t="shared" si="84"/>
        <v>0</v>
      </c>
      <c r="L391" s="25">
        <v>0</v>
      </c>
      <c r="M391" s="25">
        <v>0</v>
      </c>
      <c r="N391" s="26">
        <f t="shared" si="79"/>
        <v>0</v>
      </c>
      <c r="O391" s="24">
        <f t="shared" si="85"/>
        <v>0</v>
      </c>
      <c r="P391" s="24">
        <f t="shared" si="86"/>
        <v>0</v>
      </c>
      <c r="Q391" s="29">
        <f t="shared" si="87"/>
        <v>0</v>
      </c>
      <c r="R391" s="30">
        <f>COUNTIF(RAW_DATA[[#This Row],[CONVERTED]],"&gt;0")</f>
        <v>0</v>
      </c>
      <c r="S391" s="30">
        <f>COUNTIFS(RAW_DATA[[#This Row],[AM/PM]],"AM",RAW_DATA[[#This Row],[CONVERTED]],"&gt;0")</f>
        <v>0</v>
      </c>
      <c r="T391" s="19">
        <f t="shared" si="90"/>
        <v>0</v>
      </c>
      <c r="U391" s="20" t="str">
        <f t="shared" si="88"/>
        <v>SINGLE</v>
      </c>
    </row>
    <row r="392" spans="1:21" x14ac:dyDescent="0.35">
      <c r="A392" s="21">
        <f t="shared" si="91"/>
        <v>45286</v>
      </c>
      <c r="B392" s="22" t="str">
        <f t="shared" si="89"/>
        <v>AM</v>
      </c>
      <c r="C392" s="23" t="str">
        <f t="shared" si="80"/>
        <v>December</v>
      </c>
      <c r="D392" s="13" t="str">
        <f t="shared" si="81"/>
        <v>TUE</v>
      </c>
      <c r="E392" s="24">
        <v>0</v>
      </c>
      <c r="F392" s="24">
        <v>0</v>
      </c>
      <c r="G392" s="24">
        <v>0</v>
      </c>
      <c r="H392" s="24">
        <f t="shared" si="82"/>
        <v>0</v>
      </c>
      <c r="I392" s="24">
        <f t="shared" si="83"/>
        <v>0</v>
      </c>
      <c r="J392" s="24">
        <v>0</v>
      </c>
      <c r="K392" s="24">
        <f t="shared" si="84"/>
        <v>0</v>
      </c>
      <c r="L392" s="25">
        <v>0</v>
      </c>
      <c r="M392" s="25">
        <v>0</v>
      </c>
      <c r="N392" s="26">
        <f t="shared" si="79"/>
        <v>0</v>
      </c>
      <c r="O392" s="24">
        <f t="shared" si="85"/>
        <v>0</v>
      </c>
      <c r="P392" s="24">
        <f t="shared" si="86"/>
        <v>0</v>
      </c>
      <c r="Q392" s="29">
        <f t="shared" si="87"/>
        <v>0</v>
      </c>
      <c r="R392" s="30">
        <f>COUNTIF(RAW_DATA[[#This Row],[CONVERTED]],"&gt;0")</f>
        <v>0</v>
      </c>
      <c r="S392" s="30">
        <f>COUNTIFS(RAW_DATA[[#This Row],[AM/PM]],"AM",RAW_DATA[[#This Row],[CONVERTED]],"&gt;0")</f>
        <v>0</v>
      </c>
      <c r="T392" s="19">
        <f t="shared" si="90"/>
        <v>0</v>
      </c>
      <c r="U392" s="20" t="str">
        <f t="shared" si="88"/>
        <v>SINGLE</v>
      </c>
    </row>
    <row r="393" spans="1:21" x14ac:dyDescent="0.35">
      <c r="A393" s="21">
        <f t="shared" si="91"/>
        <v>45286</v>
      </c>
      <c r="B393" s="22" t="str">
        <f t="shared" si="89"/>
        <v>PM</v>
      </c>
      <c r="C393" s="23" t="str">
        <f t="shared" si="80"/>
        <v>December</v>
      </c>
      <c r="D393" s="13" t="str">
        <f t="shared" si="81"/>
        <v>TUE</v>
      </c>
      <c r="E393" s="24">
        <v>0</v>
      </c>
      <c r="F393" s="24">
        <v>0</v>
      </c>
      <c r="G393" s="24">
        <v>0</v>
      </c>
      <c r="H393" s="24">
        <f t="shared" si="82"/>
        <v>0</v>
      </c>
      <c r="I393" s="24">
        <f t="shared" si="83"/>
        <v>0</v>
      </c>
      <c r="J393" s="24">
        <v>0</v>
      </c>
      <c r="K393" s="24">
        <f t="shared" si="84"/>
        <v>0</v>
      </c>
      <c r="L393" s="25">
        <v>0</v>
      </c>
      <c r="M393" s="25">
        <v>0</v>
      </c>
      <c r="N393" s="26">
        <f t="shared" si="79"/>
        <v>0</v>
      </c>
      <c r="O393" s="24">
        <f t="shared" si="85"/>
        <v>0</v>
      </c>
      <c r="P393" s="24">
        <f t="shared" si="86"/>
        <v>0</v>
      </c>
      <c r="Q393" s="29">
        <f t="shared" si="87"/>
        <v>0</v>
      </c>
      <c r="R393" s="30">
        <f>COUNTIF(RAW_DATA[[#This Row],[CONVERTED]],"&gt;0")</f>
        <v>0</v>
      </c>
      <c r="S393" s="30">
        <f>COUNTIFS(RAW_DATA[[#This Row],[AM/PM]],"AM",RAW_DATA[[#This Row],[CONVERTED]],"&gt;0")</f>
        <v>0</v>
      </c>
      <c r="T393" s="19">
        <f t="shared" si="90"/>
        <v>0</v>
      </c>
      <c r="U393" s="20" t="str">
        <f t="shared" si="88"/>
        <v>SINGLE</v>
      </c>
    </row>
    <row r="394" spans="1:21" x14ac:dyDescent="0.35">
      <c r="A394" s="31">
        <f t="shared" si="91"/>
        <v>45287</v>
      </c>
      <c r="B394" s="32" t="str">
        <f t="shared" si="89"/>
        <v>AM</v>
      </c>
      <c r="C394" s="33" t="str">
        <f t="shared" si="80"/>
        <v>December</v>
      </c>
      <c r="D394" s="34" t="str">
        <f t="shared" si="81"/>
        <v>WED</v>
      </c>
      <c r="E394" s="35">
        <v>1065.5</v>
      </c>
      <c r="F394" s="35">
        <v>187.94</v>
      </c>
      <c r="G394" s="35">
        <v>56</v>
      </c>
      <c r="H394" s="35">
        <f t="shared" si="82"/>
        <v>42.62</v>
      </c>
      <c r="I394" s="35">
        <f t="shared" si="83"/>
        <v>3.1573919999999998</v>
      </c>
      <c r="J394" s="35">
        <v>0</v>
      </c>
      <c r="K394" s="35">
        <f t="shared" si="84"/>
        <v>142.16260800000001</v>
      </c>
      <c r="L394" s="36">
        <v>4</v>
      </c>
      <c r="M394" s="36">
        <v>52</v>
      </c>
      <c r="N394" s="37">
        <f t="shared" si="79"/>
        <v>4.8666666666666663</v>
      </c>
      <c r="O394" s="35">
        <f t="shared" si="85"/>
        <v>10.365999999999998</v>
      </c>
      <c r="P394" s="35">
        <f t="shared" si="86"/>
        <v>152.52860799999999</v>
      </c>
      <c r="Q394" s="38">
        <f t="shared" si="87"/>
        <v>208.52860799999999</v>
      </c>
      <c r="R394" s="39">
        <f>COUNTIF(RAW_DATA[[#This Row],[CONVERTED]],"&gt;0")</f>
        <v>1</v>
      </c>
      <c r="S394" s="39">
        <f>COUNTIFS(RAW_DATA[[#This Row],[AM/PM]],"AM",RAW_DATA[[#This Row],[CONVERTED]],"&gt;0")</f>
        <v>1</v>
      </c>
      <c r="T394" s="40">
        <f t="shared" si="90"/>
        <v>0</v>
      </c>
      <c r="U394" s="41" t="str">
        <f t="shared" si="88"/>
        <v>DOUBLE</v>
      </c>
    </row>
    <row r="395" spans="1:21" x14ac:dyDescent="0.35">
      <c r="A395" s="21">
        <f t="shared" si="91"/>
        <v>45287</v>
      </c>
      <c r="B395" s="22" t="str">
        <f t="shared" si="89"/>
        <v>PM</v>
      </c>
      <c r="C395" s="23" t="str">
        <f t="shared" si="80"/>
        <v>December</v>
      </c>
      <c r="D395" s="13" t="str">
        <f t="shared" si="81"/>
        <v>WED</v>
      </c>
      <c r="E395" s="24">
        <v>1625.5</v>
      </c>
      <c r="F395" s="24">
        <v>348.11</v>
      </c>
      <c r="G395" s="24">
        <v>0</v>
      </c>
      <c r="H395" s="24">
        <f t="shared" si="82"/>
        <v>65.02</v>
      </c>
      <c r="I395" s="24">
        <f t="shared" si="83"/>
        <v>5.8482479999999999</v>
      </c>
      <c r="J395" s="24">
        <v>0</v>
      </c>
      <c r="K395" s="24">
        <f t="shared" si="84"/>
        <v>277.24175200000002</v>
      </c>
      <c r="L395" s="25">
        <v>4</v>
      </c>
      <c r="M395" s="25">
        <v>25</v>
      </c>
      <c r="N395" s="26">
        <f t="shared" si="79"/>
        <v>4.416666666666667</v>
      </c>
      <c r="O395" s="24">
        <f t="shared" si="85"/>
        <v>9.4075000000000006</v>
      </c>
      <c r="P395" s="24">
        <f t="shared" si="86"/>
        <v>286.64925200000005</v>
      </c>
      <c r="Q395" s="29">
        <f t="shared" si="87"/>
        <v>286.64925200000005</v>
      </c>
      <c r="R395" s="30">
        <f>COUNTIF(RAW_DATA[[#This Row],[CONVERTED]],"&gt;0")</f>
        <v>1</v>
      </c>
      <c r="S395" s="30">
        <f>COUNTIFS(RAW_DATA[[#This Row],[AM/PM]],"AM",RAW_DATA[[#This Row],[CONVERTED]],"&gt;0")</f>
        <v>0</v>
      </c>
      <c r="T395" s="19">
        <f t="shared" si="90"/>
        <v>1</v>
      </c>
      <c r="U395" s="20" t="str">
        <f t="shared" si="88"/>
        <v>DOUBLE</v>
      </c>
    </row>
    <row r="396" spans="1:21" x14ac:dyDescent="0.35">
      <c r="A396" s="21">
        <f t="shared" si="91"/>
        <v>45288</v>
      </c>
      <c r="B396" s="22" t="str">
        <f t="shared" si="89"/>
        <v>AM</v>
      </c>
      <c r="C396" s="23" t="str">
        <f t="shared" si="80"/>
        <v>December</v>
      </c>
      <c r="D396" s="13" t="str">
        <f t="shared" si="81"/>
        <v>THU</v>
      </c>
      <c r="E396" s="24">
        <v>0</v>
      </c>
      <c r="F396" s="24">
        <v>0</v>
      </c>
      <c r="G396" s="24">
        <v>0</v>
      </c>
      <c r="H396" s="24">
        <f t="shared" si="82"/>
        <v>0</v>
      </c>
      <c r="I396" s="24">
        <f t="shared" si="83"/>
        <v>0</v>
      </c>
      <c r="J396" s="24">
        <v>0</v>
      </c>
      <c r="K396" s="24">
        <f t="shared" si="84"/>
        <v>0</v>
      </c>
      <c r="L396" s="25">
        <v>0</v>
      </c>
      <c r="M396" s="25">
        <v>0</v>
      </c>
      <c r="N396" s="26">
        <f t="shared" si="79"/>
        <v>0</v>
      </c>
      <c r="O396" s="24">
        <f t="shared" si="85"/>
        <v>0</v>
      </c>
      <c r="P396" s="24">
        <f t="shared" si="86"/>
        <v>0</v>
      </c>
      <c r="Q396" s="29">
        <f t="shared" si="87"/>
        <v>0</v>
      </c>
      <c r="R396" s="30">
        <f>COUNTIF(RAW_DATA[[#This Row],[CONVERTED]],"&gt;0")</f>
        <v>0</v>
      </c>
      <c r="S396" s="30">
        <f>COUNTIFS(RAW_DATA[[#This Row],[AM/PM]],"AM",RAW_DATA[[#This Row],[CONVERTED]],"&gt;0")</f>
        <v>0</v>
      </c>
      <c r="T396" s="19">
        <f t="shared" si="90"/>
        <v>0</v>
      </c>
      <c r="U396" s="20" t="str">
        <f t="shared" si="88"/>
        <v>SINGLE</v>
      </c>
    </row>
    <row r="397" spans="1:21" x14ac:dyDescent="0.35">
      <c r="A397" s="21">
        <f t="shared" si="91"/>
        <v>45288</v>
      </c>
      <c r="B397" s="22" t="str">
        <f t="shared" si="89"/>
        <v>PM</v>
      </c>
      <c r="C397" s="23" t="str">
        <f t="shared" si="80"/>
        <v>December</v>
      </c>
      <c r="D397" s="13" t="str">
        <f t="shared" si="81"/>
        <v>THU</v>
      </c>
      <c r="E397" s="24">
        <v>0</v>
      </c>
      <c r="F397" s="24">
        <v>0</v>
      </c>
      <c r="G397" s="24">
        <v>0</v>
      </c>
      <c r="H397" s="24">
        <f t="shared" si="82"/>
        <v>0</v>
      </c>
      <c r="I397" s="24">
        <f t="shared" si="83"/>
        <v>0</v>
      </c>
      <c r="J397" s="24">
        <v>0</v>
      </c>
      <c r="K397" s="24">
        <f t="shared" si="84"/>
        <v>0</v>
      </c>
      <c r="L397" s="25">
        <v>0</v>
      </c>
      <c r="M397" s="25">
        <v>0</v>
      </c>
      <c r="N397" s="26">
        <f t="shared" si="79"/>
        <v>0</v>
      </c>
      <c r="O397" s="24">
        <f t="shared" si="85"/>
        <v>0</v>
      </c>
      <c r="P397" s="24">
        <f t="shared" si="86"/>
        <v>0</v>
      </c>
      <c r="Q397" s="29">
        <f t="shared" si="87"/>
        <v>0</v>
      </c>
      <c r="R397" s="30">
        <f>COUNTIF(RAW_DATA[[#This Row],[CONVERTED]],"&gt;0")</f>
        <v>0</v>
      </c>
      <c r="S397" s="30">
        <f>COUNTIFS(RAW_DATA[[#This Row],[AM/PM]],"AM",RAW_DATA[[#This Row],[CONVERTED]],"&gt;0")</f>
        <v>0</v>
      </c>
      <c r="T397" s="19">
        <f t="shared" si="90"/>
        <v>0</v>
      </c>
      <c r="U397" s="20" t="str">
        <f t="shared" si="88"/>
        <v>SINGLE</v>
      </c>
    </row>
    <row r="398" spans="1:21" x14ac:dyDescent="0.35">
      <c r="A398" s="21">
        <f t="shared" si="91"/>
        <v>45289</v>
      </c>
      <c r="B398" s="22" t="str">
        <f t="shared" si="89"/>
        <v>AM</v>
      </c>
      <c r="C398" s="23" t="str">
        <f t="shared" si="80"/>
        <v>December</v>
      </c>
      <c r="D398" s="13" t="str">
        <f t="shared" si="81"/>
        <v>FRI</v>
      </c>
      <c r="E398" s="24">
        <v>0</v>
      </c>
      <c r="F398" s="24">
        <v>0</v>
      </c>
      <c r="G398" s="24">
        <v>0</v>
      </c>
      <c r="H398" s="24">
        <f t="shared" si="82"/>
        <v>0</v>
      </c>
      <c r="I398" s="24">
        <f t="shared" si="83"/>
        <v>0</v>
      </c>
      <c r="J398" s="24">
        <v>0</v>
      </c>
      <c r="K398" s="24">
        <f t="shared" si="84"/>
        <v>0</v>
      </c>
      <c r="L398" s="25">
        <v>0</v>
      </c>
      <c r="M398" s="25">
        <v>0</v>
      </c>
      <c r="N398" s="26">
        <f t="shared" si="79"/>
        <v>0</v>
      </c>
      <c r="O398" s="24">
        <f t="shared" si="85"/>
        <v>0</v>
      </c>
      <c r="P398" s="24">
        <f t="shared" si="86"/>
        <v>0</v>
      </c>
      <c r="Q398" s="29">
        <f t="shared" si="87"/>
        <v>0</v>
      </c>
      <c r="R398" s="30">
        <f>COUNTIF(RAW_DATA[[#This Row],[CONVERTED]],"&gt;0")</f>
        <v>0</v>
      </c>
      <c r="S398" s="30">
        <f>COUNTIFS(RAW_DATA[[#This Row],[AM/PM]],"AM",RAW_DATA[[#This Row],[CONVERTED]],"&gt;0")</f>
        <v>0</v>
      </c>
      <c r="T398" s="19">
        <f t="shared" si="90"/>
        <v>0</v>
      </c>
      <c r="U398" s="20" t="str">
        <f t="shared" si="88"/>
        <v>SINGLE</v>
      </c>
    </row>
    <row r="399" spans="1:21" x14ac:dyDescent="0.35">
      <c r="A399" s="21">
        <f t="shared" si="91"/>
        <v>45289</v>
      </c>
      <c r="B399" s="22" t="str">
        <f t="shared" si="89"/>
        <v>PM</v>
      </c>
      <c r="C399" s="23" t="str">
        <f t="shared" si="80"/>
        <v>December</v>
      </c>
      <c r="D399" s="13" t="str">
        <f t="shared" si="81"/>
        <v>FRI</v>
      </c>
      <c r="E399" s="24">
        <v>1304</v>
      </c>
      <c r="F399" s="24">
        <v>261.95</v>
      </c>
      <c r="G399" s="24">
        <v>0</v>
      </c>
      <c r="H399" s="24">
        <f t="shared" si="82"/>
        <v>52.160000000000004</v>
      </c>
      <c r="I399" s="24">
        <f t="shared" si="83"/>
        <v>4.4007599999999991</v>
      </c>
      <c r="J399" s="24">
        <v>0</v>
      </c>
      <c r="K399" s="24">
        <f t="shared" si="84"/>
        <v>205.38923999999997</v>
      </c>
      <c r="L399" s="25">
        <v>5</v>
      </c>
      <c r="M399" s="25">
        <v>2</v>
      </c>
      <c r="N399" s="26">
        <f t="shared" si="79"/>
        <v>5.0333333333333332</v>
      </c>
      <c r="O399" s="24">
        <f t="shared" si="85"/>
        <v>10.721</v>
      </c>
      <c r="P399" s="24">
        <f t="shared" si="86"/>
        <v>216.11023999999998</v>
      </c>
      <c r="Q399" s="29">
        <f t="shared" si="87"/>
        <v>216.11023999999998</v>
      </c>
      <c r="R399" s="30">
        <f>COUNTIF(RAW_DATA[[#This Row],[CONVERTED]],"&gt;0")</f>
        <v>1</v>
      </c>
      <c r="S399" s="30">
        <f>COUNTIFS(RAW_DATA[[#This Row],[AM/PM]],"AM",RAW_DATA[[#This Row],[CONVERTED]],"&gt;0")</f>
        <v>0</v>
      </c>
      <c r="T399" s="19">
        <f t="shared" si="90"/>
        <v>0</v>
      </c>
      <c r="U399" s="20" t="str">
        <f t="shared" si="88"/>
        <v>SINGLE</v>
      </c>
    </row>
    <row r="400" spans="1:21" x14ac:dyDescent="0.35">
      <c r="A400" s="21">
        <f t="shared" si="91"/>
        <v>45290</v>
      </c>
      <c r="B400" s="22" t="str">
        <f t="shared" si="89"/>
        <v>AM</v>
      </c>
      <c r="C400" s="23" t="str">
        <f t="shared" si="80"/>
        <v>December</v>
      </c>
      <c r="D400" s="13" t="str">
        <f t="shared" si="81"/>
        <v>SAT</v>
      </c>
      <c r="E400" s="24">
        <v>0</v>
      </c>
      <c r="F400" s="24">
        <v>0</v>
      </c>
      <c r="G400" s="24">
        <v>0</v>
      </c>
      <c r="H400" s="24">
        <f t="shared" si="82"/>
        <v>0</v>
      </c>
      <c r="I400" s="24">
        <f t="shared" si="83"/>
        <v>0</v>
      </c>
      <c r="J400" s="24">
        <v>0</v>
      </c>
      <c r="K400" s="24">
        <f t="shared" si="84"/>
        <v>0</v>
      </c>
      <c r="L400" s="25">
        <v>0</v>
      </c>
      <c r="M400" s="25">
        <v>0</v>
      </c>
      <c r="N400" s="26">
        <f t="shared" si="79"/>
        <v>0</v>
      </c>
      <c r="O400" s="24">
        <f t="shared" si="85"/>
        <v>0</v>
      </c>
      <c r="P400" s="24">
        <f t="shared" si="86"/>
        <v>0</v>
      </c>
      <c r="Q400" s="29">
        <f t="shared" si="87"/>
        <v>0</v>
      </c>
      <c r="R400" s="30">
        <f>COUNTIF(RAW_DATA[[#This Row],[CONVERTED]],"&gt;0")</f>
        <v>0</v>
      </c>
      <c r="S400" s="30">
        <f>COUNTIFS(RAW_DATA[[#This Row],[AM/PM]],"AM",RAW_DATA[[#This Row],[CONVERTED]],"&gt;0")</f>
        <v>0</v>
      </c>
      <c r="T400" s="19">
        <f t="shared" si="90"/>
        <v>0</v>
      </c>
      <c r="U400" s="20" t="str">
        <f t="shared" si="88"/>
        <v>SINGLE</v>
      </c>
    </row>
    <row r="401" spans="1:21" x14ac:dyDescent="0.35">
      <c r="A401" s="21">
        <f t="shared" si="91"/>
        <v>45290</v>
      </c>
      <c r="B401" s="22" t="str">
        <f t="shared" si="89"/>
        <v>PM</v>
      </c>
      <c r="C401" s="23" t="str">
        <f t="shared" si="80"/>
        <v>December</v>
      </c>
      <c r="D401" s="13" t="str">
        <f t="shared" si="81"/>
        <v>SAT</v>
      </c>
      <c r="E401" s="24">
        <v>1261</v>
      </c>
      <c r="F401" s="24">
        <v>213.38</v>
      </c>
      <c r="G401" s="24">
        <v>24</v>
      </c>
      <c r="H401" s="24">
        <f t="shared" si="82"/>
        <v>50.44</v>
      </c>
      <c r="I401" s="24">
        <f t="shared" si="83"/>
        <v>3.5847839999999995</v>
      </c>
      <c r="J401" s="24">
        <v>5</v>
      </c>
      <c r="K401" s="24">
        <f t="shared" si="84"/>
        <v>159.35521599999998</v>
      </c>
      <c r="L401" s="25">
        <v>4</v>
      </c>
      <c r="M401" s="25">
        <v>54</v>
      </c>
      <c r="N401" s="26">
        <f t="shared" ref="N401:N464" si="92">((L401*60)+M401)/60</f>
        <v>4.9000000000000004</v>
      </c>
      <c r="O401" s="24">
        <f t="shared" si="85"/>
        <v>10.436999999999999</v>
      </c>
      <c r="P401" s="24">
        <f t="shared" si="86"/>
        <v>174.792216</v>
      </c>
      <c r="Q401" s="29">
        <f t="shared" si="87"/>
        <v>193.792216</v>
      </c>
      <c r="R401" s="30">
        <f>COUNTIF(RAW_DATA[[#This Row],[CONVERTED]],"&gt;0")</f>
        <v>1</v>
      </c>
      <c r="S401" s="30">
        <f>COUNTIFS(RAW_DATA[[#This Row],[AM/PM]],"AM",RAW_DATA[[#This Row],[CONVERTED]],"&gt;0")</f>
        <v>0</v>
      </c>
      <c r="T401" s="19">
        <f t="shared" si="90"/>
        <v>0</v>
      </c>
      <c r="U401" s="20" t="str">
        <f t="shared" si="88"/>
        <v>SINGLE</v>
      </c>
    </row>
    <row r="402" spans="1:21" x14ac:dyDescent="0.35">
      <c r="A402" s="21">
        <f t="shared" si="91"/>
        <v>45291</v>
      </c>
      <c r="B402" s="22" t="str">
        <f t="shared" si="89"/>
        <v>AM</v>
      </c>
      <c r="C402" s="23" t="str">
        <f t="shared" si="80"/>
        <v>December</v>
      </c>
      <c r="D402" s="13" t="str">
        <f t="shared" si="81"/>
        <v>SUN</v>
      </c>
      <c r="E402" s="24">
        <v>0</v>
      </c>
      <c r="F402" s="24">
        <v>0</v>
      </c>
      <c r="G402" s="24">
        <v>0</v>
      </c>
      <c r="H402" s="24">
        <f t="shared" si="82"/>
        <v>0</v>
      </c>
      <c r="I402" s="24">
        <f t="shared" si="83"/>
        <v>0</v>
      </c>
      <c r="J402" s="24">
        <v>0</v>
      </c>
      <c r="K402" s="24">
        <f t="shared" si="84"/>
        <v>0</v>
      </c>
      <c r="L402" s="25">
        <v>0</v>
      </c>
      <c r="M402" s="25">
        <v>0</v>
      </c>
      <c r="N402" s="26">
        <f t="shared" si="92"/>
        <v>0</v>
      </c>
      <c r="O402" s="24">
        <f t="shared" si="85"/>
        <v>0</v>
      </c>
      <c r="P402" s="24">
        <f t="shared" si="86"/>
        <v>0</v>
      </c>
      <c r="Q402" s="29">
        <f t="shared" si="87"/>
        <v>0</v>
      </c>
      <c r="R402" s="30">
        <f>COUNTIF(RAW_DATA[[#This Row],[CONVERTED]],"&gt;0")</f>
        <v>0</v>
      </c>
      <c r="S402" s="30">
        <f>COUNTIFS(RAW_DATA[[#This Row],[AM/PM]],"AM",RAW_DATA[[#This Row],[CONVERTED]],"&gt;0")</f>
        <v>0</v>
      </c>
      <c r="T402" s="19">
        <f t="shared" si="90"/>
        <v>0</v>
      </c>
      <c r="U402" s="20" t="str">
        <f t="shared" si="88"/>
        <v>SINGLE</v>
      </c>
    </row>
    <row r="403" spans="1:21" x14ac:dyDescent="0.35">
      <c r="A403" s="21">
        <f t="shared" si="91"/>
        <v>45291</v>
      </c>
      <c r="B403" s="22" t="str">
        <f t="shared" si="89"/>
        <v>PM</v>
      </c>
      <c r="C403" s="23" t="str">
        <f t="shared" si="80"/>
        <v>December</v>
      </c>
      <c r="D403" s="13" t="str">
        <f t="shared" si="81"/>
        <v>SUN</v>
      </c>
      <c r="E403" s="24">
        <v>0</v>
      </c>
      <c r="F403" s="24">
        <v>0</v>
      </c>
      <c r="G403" s="24">
        <v>0</v>
      </c>
      <c r="H403" s="24">
        <f t="shared" si="82"/>
        <v>0</v>
      </c>
      <c r="I403" s="24">
        <f t="shared" si="83"/>
        <v>0</v>
      </c>
      <c r="J403" s="24">
        <v>0</v>
      </c>
      <c r="K403" s="24">
        <f t="shared" si="84"/>
        <v>0</v>
      </c>
      <c r="L403" s="25">
        <v>0</v>
      </c>
      <c r="M403" s="25">
        <v>0</v>
      </c>
      <c r="N403" s="26">
        <f t="shared" si="92"/>
        <v>0</v>
      </c>
      <c r="O403" s="24">
        <f t="shared" si="85"/>
        <v>0</v>
      </c>
      <c r="P403" s="24">
        <f t="shared" si="86"/>
        <v>0</v>
      </c>
      <c r="Q403" s="29">
        <f t="shared" si="87"/>
        <v>0</v>
      </c>
      <c r="R403" s="30">
        <f>COUNTIF(RAW_DATA[[#This Row],[CONVERTED]],"&gt;0")</f>
        <v>0</v>
      </c>
      <c r="S403" s="30">
        <f>COUNTIFS(RAW_DATA[[#This Row],[AM/PM]],"AM",RAW_DATA[[#This Row],[CONVERTED]],"&gt;0")</f>
        <v>0</v>
      </c>
      <c r="T403" s="19">
        <f t="shared" si="90"/>
        <v>0</v>
      </c>
      <c r="U403" s="20" t="str">
        <f t="shared" si="88"/>
        <v>SINGLE</v>
      </c>
    </row>
    <row r="404" spans="1:21" x14ac:dyDescent="0.35">
      <c r="A404" s="42">
        <f t="shared" si="91"/>
        <v>45292</v>
      </c>
      <c r="B404" s="43" t="str">
        <f t="shared" si="89"/>
        <v>AM</v>
      </c>
      <c r="C404" s="44" t="str">
        <f t="shared" si="80"/>
        <v>January</v>
      </c>
      <c r="D404" s="45" t="str">
        <f t="shared" si="81"/>
        <v>MON</v>
      </c>
      <c r="E404" s="46">
        <v>298</v>
      </c>
      <c r="F404" s="46">
        <v>55.48</v>
      </c>
      <c r="G404" s="46">
        <v>10</v>
      </c>
      <c r="H404" s="46">
        <f t="shared" si="82"/>
        <v>11.92</v>
      </c>
      <c r="I404" s="46">
        <f t="shared" si="83"/>
        <v>0.93206399999999989</v>
      </c>
      <c r="J404" s="46">
        <v>4</v>
      </c>
      <c r="K404" s="46">
        <f t="shared" si="84"/>
        <v>42.627935999999998</v>
      </c>
      <c r="L404" s="47">
        <v>3</v>
      </c>
      <c r="M404" s="47">
        <v>23</v>
      </c>
      <c r="N404" s="48">
        <f t="shared" si="92"/>
        <v>3.3833333333333333</v>
      </c>
      <c r="O404" s="46">
        <f t="shared" si="85"/>
        <v>7.2064999999999992</v>
      </c>
      <c r="P404" s="46">
        <f t="shared" si="86"/>
        <v>53.834435999999997</v>
      </c>
      <c r="Q404" s="49">
        <f t="shared" si="87"/>
        <v>59.834435999999997</v>
      </c>
      <c r="R404" s="50">
        <f>COUNTIF(RAW_DATA[[#This Row],[CONVERTED]],"&gt;0")</f>
        <v>1</v>
      </c>
      <c r="S404" s="50">
        <f>COUNTIFS(RAW_DATA[[#This Row],[AM/PM]],"AM",RAW_DATA[[#This Row],[CONVERTED]],"&gt;0")</f>
        <v>1</v>
      </c>
      <c r="T404" s="50">
        <f t="shared" si="90"/>
        <v>0</v>
      </c>
      <c r="U404" s="51" t="str">
        <f t="shared" si="88"/>
        <v>DOUBLE</v>
      </c>
    </row>
    <row r="405" spans="1:21" x14ac:dyDescent="0.35">
      <c r="A405" s="21">
        <f t="shared" si="91"/>
        <v>45292</v>
      </c>
      <c r="B405" s="22" t="str">
        <f t="shared" si="89"/>
        <v>PM</v>
      </c>
      <c r="C405" s="23" t="str">
        <f t="shared" si="80"/>
        <v>January</v>
      </c>
      <c r="D405" s="13" t="str">
        <f t="shared" si="81"/>
        <v>MON</v>
      </c>
      <c r="E405" s="24">
        <v>946.5</v>
      </c>
      <c r="F405" s="24">
        <v>170.85</v>
      </c>
      <c r="G405" s="24">
        <v>29</v>
      </c>
      <c r="H405" s="24">
        <f t="shared" si="82"/>
        <v>37.86</v>
      </c>
      <c r="I405" s="24">
        <f t="shared" si="83"/>
        <v>2.8702799999999997</v>
      </c>
      <c r="J405" s="24">
        <v>6.5</v>
      </c>
      <c r="K405" s="24">
        <f t="shared" si="84"/>
        <v>130.11972</v>
      </c>
      <c r="L405" s="25">
        <v>3</v>
      </c>
      <c r="M405" s="25">
        <v>43</v>
      </c>
      <c r="N405" s="26">
        <f t="shared" si="92"/>
        <v>3.7166666666666668</v>
      </c>
      <c r="O405" s="24">
        <f t="shared" si="85"/>
        <v>7.9165000000000001</v>
      </c>
      <c r="P405" s="24">
        <f t="shared" si="86"/>
        <v>144.53622000000001</v>
      </c>
      <c r="Q405" s="29">
        <f t="shared" si="87"/>
        <v>167.03622000000001</v>
      </c>
      <c r="R405" s="30">
        <f>COUNTIF(RAW_DATA[[#This Row],[CONVERTED]],"&gt;0")</f>
        <v>1</v>
      </c>
      <c r="S405" s="30">
        <f>COUNTIFS(RAW_DATA[[#This Row],[AM/PM]],"AM",RAW_DATA[[#This Row],[CONVERTED]],"&gt;0")</f>
        <v>0</v>
      </c>
      <c r="T405" s="19">
        <f t="shared" si="90"/>
        <v>1</v>
      </c>
      <c r="U405" s="20" t="str">
        <f t="shared" si="88"/>
        <v>DOUBLE</v>
      </c>
    </row>
    <row r="406" spans="1:21" x14ac:dyDescent="0.35">
      <c r="A406" s="21">
        <f t="shared" si="91"/>
        <v>45293</v>
      </c>
      <c r="B406" s="22" t="str">
        <f t="shared" si="89"/>
        <v>AM</v>
      </c>
      <c r="C406" s="23" t="str">
        <f t="shared" si="80"/>
        <v>January</v>
      </c>
      <c r="D406" s="13" t="str">
        <f t="shared" si="81"/>
        <v>TUE</v>
      </c>
      <c r="E406" s="24">
        <v>0</v>
      </c>
      <c r="F406" s="24">
        <v>0</v>
      </c>
      <c r="G406" s="24">
        <v>0</v>
      </c>
      <c r="H406" s="24">
        <f t="shared" si="82"/>
        <v>0</v>
      </c>
      <c r="I406" s="24">
        <f t="shared" si="83"/>
        <v>0</v>
      </c>
      <c r="J406" s="24">
        <v>0</v>
      </c>
      <c r="K406" s="24">
        <f t="shared" si="84"/>
        <v>0</v>
      </c>
      <c r="L406" s="25">
        <v>0</v>
      </c>
      <c r="M406" s="25">
        <v>0</v>
      </c>
      <c r="N406" s="26">
        <f t="shared" si="92"/>
        <v>0</v>
      </c>
      <c r="O406" s="24">
        <f t="shared" si="85"/>
        <v>0</v>
      </c>
      <c r="P406" s="24">
        <f t="shared" si="86"/>
        <v>0</v>
      </c>
      <c r="Q406" s="29">
        <f t="shared" si="87"/>
        <v>0</v>
      </c>
      <c r="R406" s="30">
        <f>COUNTIF(RAW_DATA[[#This Row],[CONVERTED]],"&gt;0")</f>
        <v>0</v>
      </c>
      <c r="S406" s="30">
        <f>COUNTIFS(RAW_DATA[[#This Row],[AM/PM]],"AM",RAW_DATA[[#This Row],[CONVERTED]],"&gt;0")</f>
        <v>0</v>
      </c>
      <c r="T406" s="19">
        <f t="shared" si="90"/>
        <v>0</v>
      </c>
      <c r="U406" s="20" t="str">
        <f t="shared" si="88"/>
        <v>SINGLE</v>
      </c>
    </row>
    <row r="407" spans="1:21" x14ac:dyDescent="0.35">
      <c r="A407" s="31">
        <f t="shared" si="91"/>
        <v>45293</v>
      </c>
      <c r="B407" s="32" t="str">
        <f t="shared" si="89"/>
        <v>PM</v>
      </c>
      <c r="C407" s="33" t="str">
        <f t="shared" si="80"/>
        <v>January</v>
      </c>
      <c r="D407" s="34" t="str">
        <f t="shared" si="81"/>
        <v>TUE</v>
      </c>
      <c r="E407" s="35">
        <v>0</v>
      </c>
      <c r="F407" s="35">
        <v>0</v>
      </c>
      <c r="G407" s="35">
        <v>0</v>
      </c>
      <c r="H407" s="35">
        <f t="shared" si="82"/>
        <v>0</v>
      </c>
      <c r="I407" s="35">
        <f t="shared" si="83"/>
        <v>0</v>
      </c>
      <c r="J407" s="35">
        <v>0</v>
      </c>
      <c r="K407" s="35">
        <f t="shared" si="84"/>
        <v>0</v>
      </c>
      <c r="L407" s="36">
        <v>0</v>
      </c>
      <c r="M407" s="36">
        <v>0</v>
      </c>
      <c r="N407" s="37">
        <f t="shared" si="92"/>
        <v>0</v>
      </c>
      <c r="O407" s="35">
        <f t="shared" si="85"/>
        <v>0</v>
      </c>
      <c r="P407" s="35">
        <f t="shared" si="86"/>
        <v>0</v>
      </c>
      <c r="Q407" s="38">
        <f t="shared" si="87"/>
        <v>0</v>
      </c>
      <c r="R407" s="39">
        <f>COUNTIF(RAW_DATA[[#This Row],[CONVERTED]],"&gt;0")</f>
        <v>0</v>
      </c>
      <c r="S407" s="39">
        <f>COUNTIFS(RAW_DATA[[#This Row],[AM/PM]],"AM",RAW_DATA[[#This Row],[CONVERTED]],"&gt;0")</f>
        <v>0</v>
      </c>
      <c r="T407" s="40">
        <f t="shared" si="90"/>
        <v>0</v>
      </c>
      <c r="U407" s="41" t="str">
        <f t="shared" si="88"/>
        <v>SINGLE</v>
      </c>
    </row>
    <row r="408" spans="1:21" x14ac:dyDescent="0.35">
      <c r="A408" s="21">
        <f t="shared" si="91"/>
        <v>45294</v>
      </c>
      <c r="B408" s="22" t="str">
        <f t="shared" si="89"/>
        <v>AM</v>
      </c>
      <c r="C408" s="23" t="str">
        <f t="shared" si="80"/>
        <v>January</v>
      </c>
      <c r="D408" s="13" t="str">
        <f t="shared" si="81"/>
        <v>WED</v>
      </c>
      <c r="E408" s="24">
        <v>0</v>
      </c>
      <c r="F408" s="24">
        <v>0</v>
      </c>
      <c r="G408" s="24">
        <v>0</v>
      </c>
      <c r="H408" s="24">
        <f t="shared" si="82"/>
        <v>0</v>
      </c>
      <c r="I408" s="24">
        <f t="shared" si="83"/>
        <v>0</v>
      </c>
      <c r="J408" s="24">
        <v>0</v>
      </c>
      <c r="K408" s="24">
        <f t="shared" si="84"/>
        <v>0</v>
      </c>
      <c r="L408" s="25">
        <v>0</v>
      </c>
      <c r="M408" s="25">
        <v>0</v>
      </c>
      <c r="N408" s="26">
        <f t="shared" si="92"/>
        <v>0</v>
      </c>
      <c r="O408" s="24">
        <f t="shared" si="85"/>
        <v>0</v>
      </c>
      <c r="P408" s="24">
        <f t="shared" si="86"/>
        <v>0</v>
      </c>
      <c r="Q408" s="29">
        <f t="shared" si="87"/>
        <v>0</v>
      </c>
      <c r="R408" s="30">
        <f>COUNTIF(RAW_DATA[[#This Row],[CONVERTED]],"&gt;0")</f>
        <v>0</v>
      </c>
      <c r="S408" s="30">
        <f>COUNTIFS(RAW_DATA[[#This Row],[AM/PM]],"AM",RAW_DATA[[#This Row],[CONVERTED]],"&gt;0")</f>
        <v>0</v>
      </c>
      <c r="T408" s="19">
        <f t="shared" si="90"/>
        <v>0</v>
      </c>
      <c r="U408" s="20" t="str">
        <f t="shared" si="88"/>
        <v>SINGLE</v>
      </c>
    </row>
    <row r="409" spans="1:21" x14ac:dyDescent="0.35">
      <c r="A409" s="21">
        <f t="shared" si="91"/>
        <v>45294</v>
      </c>
      <c r="B409" s="22" t="str">
        <f t="shared" si="89"/>
        <v>PM</v>
      </c>
      <c r="C409" s="23" t="str">
        <f t="shared" si="80"/>
        <v>January</v>
      </c>
      <c r="D409" s="13" t="str">
        <f t="shared" si="81"/>
        <v>WED</v>
      </c>
      <c r="E409" s="24">
        <v>1426.5</v>
      </c>
      <c r="F409" s="24">
        <v>216.35</v>
      </c>
      <c r="G409" s="24">
        <v>89</v>
      </c>
      <c r="H409" s="24">
        <f t="shared" si="82"/>
        <v>57.06</v>
      </c>
      <c r="I409" s="24">
        <f t="shared" si="83"/>
        <v>3.6346799999999995</v>
      </c>
      <c r="J409" s="24">
        <v>0</v>
      </c>
      <c r="K409" s="24">
        <f t="shared" si="84"/>
        <v>155.65531999999999</v>
      </c>
      <c r="L409" s="25">
        <v>6</v>
      </c>
      <c r="M409" s="25">
        <v>26</v>
      </c>
      <c r="N409" s="26">
        <f t="shared" si="92"/>
        <v>6.4333333333333336</v>
      </c>
      <c r="O409" s="24">
        <f t="shared" si="85"/>
        <v>13.702999999999999</v>
      </c>
      <c r="P409" s="24">
        <f t="shared" si="86"/>
        <v>169.35831999999999</v>
      </c>
      <c r="Q409" s="29">
        <f t="shared" si="87"/>
        <v>258.35831999999999</v>
      </c>
      <c r="R409" s="30">
        <f>COUNTIF(RAW_DATA[[#This Row],[CONVERTED]],"&gt;0")</f>
        <v>1</v>
      </c>
      <c r="S409" s="30">
        <f>COUNTIFS(RAW_DATA[[#This Row],[AM/PM]],"AM",RAW_DATA[[#This Row],[CONVERTED]],"&gt;0")</f>
        <v>0</v>
      </c>
      <c r="T409" s="19">
        <f t="shared" si="90"/>
        <v>0</v>
      </c>
      <c r="U409" s="20" t="str">
        <f t="shared" si="88"/>
        <v>SINGLE</v>
      </c>
    </row>
    <row r="410" spans="1:21" x14ac:dyDescent="0.35">
      <c r="A410" s="21">
        <f t="shared" si="91"/>
        <v>45295</v>
      </c>
      <c r="B410" s="22" t="str">
        <f t="shared" si="89"/>
        <v>AM</v>
      </c>
      <c r="C410" s="23" t="str">
        <f t="shared" si="80"/>
        <v>January</v>
      </c>
      <c r="D410" s="13" t="str">
        <f t="shared" si="81"/>
        <v>THU</v>
      </c>
      <c r="E410" s="24">
        <v>0</v>
      </c>
      <c r="F410" s="24">
        <v>0</v>
      </c>
      <c r="G410" s="24">
        <v>0</v>
      </c>
      <c r="H410" s="24">
        <f t="shared" si="82"/>
        <v>0</v>
      </c>
      <c r="I410" s="24">
        <f t="shared" si="83"/>
        <v>0</v>
      </c>
      <c r="J410" s="24">
        <v>0</v>
      </c>
      <c r="K410" s="24">
        <f t="shared" si="84"/>
        <v>0</v>
      </c>
      <c r="L410" s="25">
        <v>0</v>
      </c>
      <c r="M410" s="25">
        <v>0</v>
      </c>
      <c r="N410" s="26">
        <f t="shared" si="92"/>
        <v>0</v>
      </c>
      <c r="O410" s="24">
        <f t="shared" si="85"/>
        <v>0</v>
      </c>
      <c r="P410" s="24">
        <f t="shared" si="86"/>
        <v>0</v>
      </c>
      <c r="Q410" s="29">
        <f t="shared" si="87"/>
        <v>0</v>
      </c>
      <c r="R410" s="30">
        <f>COUNTIF(RAW_DATA[[#This Row],[CONVERTED]],"&gt;0")</f>
        <v>0</v>
      </c>
      <c r="S410" s="30">
        <f>COUNTIFS(RAW_DATA[[#This Row],[AM/PM]],"AM",RAW_DATA[[#This Row],[CONVERTED]],"&gt;0")</f>
        <v>0</v>
      </c>
      <c r="T410" s="19">
        <f t="shared" si="90"/>
        <v>0</v>
      </c>
      <c r="U410" s="20" t="str">
        <f t="shared" si="88"/>
        <v>SINGLE</v>
      </c>
    </row>
    <row r="411" spans="1:21" x14ac:dyDescent="0.35">
      <c r="A411" s="21">
        <f t="shared" si="91"/>
        <v>45295</v>
      </c>
      <c r="B411" s="22" t="str">
        <f t="shared" si="89"/>
        <v>PM</v>
      </c>
      <c r="C411" s="23" t="str">
        <f t="shared" si="80"/>
        <v>January</v>
      </c>
      <c r="D411" s="13" t="str">
        <f t="shared" si="81"/>
        <v>THU</v>
      </c>
      <c r="E411" s="24">
        <v>0</v>
      </c>
      <c r="F411" s="24">
        <v>0</v>
      </c>
      <c r="G411" s="24">
        <v>0</v>
      </c>
      <c r="H411" s="24">
        <f t="shared" si="82"/>
        <v>0</v>
      </c>
      <c r="I411" s="24">
        <f t="shared" si="83"/>
        <v>0</v>
      </c>
      <c r="J411" s="24">
        <v>0</v>
      </c>
      <c r="K411" s="24">
        <f t="shared" si="84"/>
        <v>0</v>
      </c>
      <c r="L411" s="25">
        <v>0</v>
      </c>
      <c r="M411" s="25">
        <v>0</v>
      </c>
      <c r="N411" s="26">
        <f t="shared" si="92"/>
        <v>0</v>
      </c>
      <c r="O411" s="24">
        <f t="shared" si="85"/>
        <v>0</v>
      </c>
      <c r="P411" s="24">
        <f t="shared" si="86"/>
        <v>0</v>
      </c>
      <c r="Q411" s="29">
        <f t="shared" si="87"/>
        <v>0</v>
      </c>
      <c r="R411" s="30">
        <f>COUNTIF(RAW_DATA[[#This Row],[CONVERTED]],"&gt;0")</f>
        <v>0</v>
      </c>
      <c r="S411" s="30">
        <f>COUNTIFS(RAW_DATA[[#This Row],[AM/PM]],"AM",RAW_DATA[[#This Row],[CONVERTED]],"&gt;0")</f>
        <v>0</v>
      </c>
      <c r="T411" s="19">
        <f t="shared" si="90"/>
        <v>0</v>
      </c>
      <c r="U411" s="20" t="str">
        <f t="shared" si="88"/>
        <v>SINGLE</v>
      </c>
    </row>
    <row r="412" spans="1:21" x14ac:dyDescent="0.35">
      <c r="A412" s="21">
        <f t="shared" si="91"/>
        <v>45296</v>
      </c>
      <c r="B412" s="22" t="str">
        <f t="shared" si="89"/>
        <v>AM</v>
      </c>
      <c r="C412" s="23" t="str">
        <f t="shared" si="80"/>
        <v>January</v>
      </c>
      <c r="D412" s="13" t="str">
        <f t="shared" si="81"/>
        <v>FRI</v>
      </c>
      <c r="E412" s="24">
        <v>0</v>
      </c>
      <c r="F412" s="24">
        <v>0</v>
      </c>
      <c r="G412" s="24">
        <v>0</v>
      </c>
      <c r="H412" s="24">
        <f t="shared" si="82"/>
        <v>0</v>
      </c>
      <c r="I412" s="24">
        <f t="shared" si="83"/>
        <v>0</v>
      </c>
      <c r="J412" s="24">
        <v>0</v>
      </c>
      <c r="K412" s="24">
        <f t="shared" si="84"/>
        <v>0</v>
      </c>
      <c r="L412" s="25">
        <v>0</v>
      </c>
      <c r="M412" s="25">
        <v>0</v>
      </c>
      <c r="N412" s="26">
        <f t="shared" si="92"/>
        <v>0</v>
      </c>
      <c r="O412" s="24">
        <f t="shared" si="85"/>
        <v>0</v>
      </c>
      <c r="P412" s="24">
        <f t="shared" si="86"/>
        <v>0</v>
      </c>
      <c r="Q412" s="29">
        <f t="shared" si="87"/>
        <v>0</v>
      </c>
      <c r="R412" s="30">
        <f>COUNTIF(RAW_DATA[[#This Row],[CONVERTED]],"&gt;0")</f>
        <v>0</v>
      </c>
      <c r="S412" s="30">
        <f>COUNTIFS(RAW_DATA[[#This Row],[AM/PM]],"AM",RAW_DATA[[#This Row],[CONVERTED]],"&gt;0")</f>
        <v>0</v>
      </c>
      <c r="T412" s="19">
        <f t="shared" si="90"/>
        <v>0</v>
      </c>
      <c r="U412" s="20" t="str">
        <f t="shared" si="88"/>
        <v>SINGLE</v>
      </c>
    </row>
    <row r="413" spans="1:21" x14ac:dyDescent="0.35">
      <c r="A413" s="21">
        <f t="shared" si="91"/>
        <v>45296</v>
      </c>
      <c r="B413" s="22" t="str">
        <f t="shared" si="89"/>
        <v>PM</v>
      </c>
      <c r="C413" s="23" t="str">
        <f t="shared" si="80"/>
        <v>January</v>
      </c>
      <c r="D413" s="13" t="str">
        <f t="shared" si="81"/>
        <v>FRI</v>
      </c>
      <c r="E413" s="24">
        <v>1373.5</v>
      </c>
      <c r="F413" s="24">
        <v>262.39</v>
      </c>
      <c r="G413" s="24">
        <v>0</v>
      </c>
      <c r="H413" s="24">
        <f t="shared" si="82"/>
        <v>54.94</v>
      </c>
      <c r="I413" s="24">
        <f t="shared" si="83"/>
        <v>4.4081519999999994</v>
      </c>
      <c r="J413" s="24">
        <v>0</v>
      </c>
      <c r="K413" s="24">
        <f t="shared" si="84"/>
        <v>203.04184799999999</v>
      </c>
      <c r="L413" s="25">
        <v>4</v>
      </c>
      <c r="M413" s="25">
        <v>48</v>
      </c>
      <c r="N413" s="26">
        <f t="shared" si="92"/>
        <v>4.8</v>
      </c>
      <c r="O413" s="24">
        <f t="shared" si="85"/>
        <v>10.223999999999998</v>
      </c>
      <c r="P413" s="24">
        <f t="shared" si="86"/>
        <v>213.26584799999998</v>
      </c>
      <c r="Q413" s="29">
        <f t="shared" si="87"/>
        <v>213.26584799999998</v>
      </c>
      <c r="R413" s="30">
        <f>COUNTIF(RAW_DATA[[#This Row],[CONVERTED]],"&gt;0")</f>
        <v>1</v>
      </c>
      <c r="S413" s="30">
        <f>COUNTIFS(RAW_DATA[[#This Row],[AM/PM]],"AM",RAW_DATA[[#This Row],[CONVERTED]],"&gt;0")</f>
        <v>0</v>
      </c>
      <c r="T413" s="19">
        <f t="shared" si="90"/>
        <v>0</v>
      </c>
      <c r="U413" s="20" t="str">
        <f t="shared" si="88"/>
        <v>SINGLE</v>
      </c>
    </row>
    <row r="414" spans="1:21" x14ac:dyDescent="0.35">
      <c r="A414" s="21">
        <f t="shared" si="91"/>
        <v>45297</v>
      </c>
      <c r="B414" s="22" t="str">
        <f t="shared" si="89"/>
        <v>AM</v>
      </c>
      <c r="C414" s="23" t="str">
        <f t="shared" si="80"/>
        <v>January</v>
      </c>
      <c r="D414" s="13" t="str">
        <f t="shared" si="81"/>
        <v>SAT</v>
      </c>
      <c r="E414" s="24">
        <v>0</v>
      </c>
      <c r="F414" s="24">
        <v>0</v>
      </c>
      <c r="G414" s="24">
        <v>0</v>
      </c>
      <c r="H414" s="24">
        <f t="shared" si="82"/>
        <v>0</v>
      </c>
      <c r="I414" s="24">
        <f t="shared" si="83"/>
        <v>0</v>
      </c>
      <c r="J414" s="24">
        <v>0</v>
      </c>
      <c r="K414" s="24">
        <f t="shared" si="84"/>
        <v>0</v>
      </c>
      <c r="L414" s="25">
        <v>0</v>
      </c>
      <c r="M414" s="25">
        <v>0</v>
      </c>
      <c r="N414" s="26">
        <f t="shared" si="92"/>
        <v>0</v>
      </c>
      <c r="O414" s="24">
        <f t="shared" si="85"/>
        <v>0</v>
      </c>
      <c r="P414" s="24">
        <f t="shared" si="86"/>
        <v>0</v>
      </c>
      <c r="Q414" s="29">
        <f t="shared" si="87"/>
        <v>0</v>
      </c>
      <c r="R414" s="30">
        <f>COUNTIF(RAW_DATA[[#This Row],[CONVERTED]],"&gt;0")</f>
        <v>0</v>
      </c>
      <c r="S414" s="30">
        <f>COUNTIFS(RAW_DATA[[#This Row],[AM/PM]],"AM",RAW_DATA[[#This Row],[CONVERTED]],"&gt;0")</f>
        <v>0</v>
      </c>
      <c r="T414" s="19">
        <f t="shared" si="90"/>
        <v>0</v>
      </c>
      <c r="U414" s="20" t="str">
        <f t="shared" si="88"/>
        <v>SINGLE</v>
      </c>
    </row>
    <row r="415" spans="1:21" x14ac:dyDescent="0.35">
      <c r="A415" s="21">
        <f t="shared" si="91"/>
        <v>45297</v>
      </c>
      <c r="B415" s="22" t="str">
        <f t="shared" si="89"/>
        <v>PM</v>
      </c>
      <c r="C415" s="23" t="str">
        <f t="shared" si="80"/>
        <v>January</v>
      </c>
      <c r="D415" s="13" t="str">
        <f t="shared" si="81"/>
        <v>SAT</v>
      </c>
      <c r="E415" s="24">
        <v>1280</v>
      </c>
      <c r="F415" s="24">
        <v>207.35</v>
      </c>
      <c r="G415" s="24">
        <v>33</v>
      </c>
      <c r="H415" s="24">
        <f t="shared" si="82"/>
        <v>51.2</v>
      </c>
      <c r="I415" s="24">
        <f t="shared" si="83"/>
        <v>3.4834799999999997</v>
      </c>
      <c r="J415" s="24">
        <v>6</v>
      </c>
      <c r="K415" s="24">
        <f t="shared" si="84"/>
        <v>152.66651999999999</v>
      </c>
      <c r="L415" s="25">
        <v>5</v>
      </c>
      <c r="M415" s="25">
        <v>26</v>
      </c>
      <c r="N415" s="26">
        <f t="shared" si="92"/>
        <v>5.4333333333333336</v>
      </c>
      <c r="O415" s="24">
        <f t="shared" si="85"/>
        <v>11.573</v>
      </c>
      <c r="P415" s="24">
        <f t="shared" si="86"/>
        <v>170.23952</v>
      </c>
      <c r="Q415" s="29">
        <f t="shared" si="87"/>
        <v>197.23952</v>
      </c>
      <c r="R415" s="30">
        <f>COUNTIF(RAW_DATA[[#This Row],[CONVERTED]],"&gt;0")</f>
        <v>1</v>
      </c>
      <c r="S415" s="30">
        <f>COUNTIFS(RAW_DATA[[#This Row],[AM/PM]],"AM",RAW_DATA[[#This Row],[CONVERTED]],"&gt;0")</f>
        <v>0</v>
      </c>
      <c r="T415" s="19">
        <f t="shared" si="90"/>
        <v>0</v>
      </c>
      <c r="U415" s="20" t="str">
        <f t="shared" si="88"/>
        <v>SINGLE</v>
      </c>
    </row>
    <row r="416" spans="1:21" x14ac:dyDescent="0.35">
      <c r="A416" s="21">
        <f t="shared" si="91"/>
        <v>45298</v>
      </c>
      <c r="B416" s="22" t="str">
        <f t="shared" si="89"/>
        <v>AM</v>
      </c>
      <c r="C416" s="23" t="str">
        <f t="shared" si="80"/>
        <v>January</v>
      </c>
      <c r="D416" s="13" t="str">
        <f t="shared" si="81"/>
        <v>SUN</v>
      </c>
      <c r="E416" s="24">
        <v>0</v>
      </c>
      <c r="F416" s="24">
        <v>0</v>
      </c>
      <c r="G416" s="24">
        <v>0</v>
      </c>
      <c r="H416" s="24">
        <f t="shared" si="82"/>
        <v>0</v>
      </c>
      <c r="I416" s="24">
        <f t="shared" si="83"/>
        <v>0</v>
      </c>
      <c r="J416" s="24">
        <v>0</v>
      </c>
      <c r="K416" s="24">
        <f t="shared" si="84"/>
        <v>0</v>
      </c>
      <c r="L416" s="25">
        <v>0</v>
      </c>
      <c r="M416" s="25">
        <v>0</v>
      </c>
      <c r="N416" s="26">
        <f t="shared" si="92"/>
        <v>0</v>
      </c>
      <c r="O416" s="24">
        <f t="shared" si="85"/>
        <v>0</v>
      </c>
      <c r="P416" s="24">
        <f t="shared" si="86"/>
        <v>0</v>
      </c>
      <c r="Q416" s="29">
        <f t="shared" si="87"/>
        <v>0</v>
      </c>
      <c r="R416" s="30">
        <f>COUNTIF(RAW_DATA[[#This Row],[CONVERTED]],"&gt;0")</f>
        <v>0</v>
      </c>
      <c r="S416" s="30">
        <f>COUNTIFS(RAW_DATA[[#This Row],[AM/PM]],"AM",RAW_DATA[[#This Row],[CONVERTED]],"&gt;0")</f>
        <v>0</v>
      </c>
      <c r="T416" s="19">
        <f t="shared" si="90"/>
        <v>0</v>
      </c>
      <c r="U416" s="20" t="str">
        <f t="shared" si="88"/>
        <v>SINGLE</v>
      </c>
    </row>
    <row r="417" spans="1:21" x14ac:dyDescent="0.35">
      <c r="A417" s="21">
        <f t="shared" si="91"/>
        <v>45298</v>
      </c>
      <c r="B417" s="22" t="str">
        <f t="shared" si="89"/>
        <v>PM</v>
      </c>
      <c r="C417" s="23" t="str">
        <f t="shared" si="80"/>
        <v>January</v>
      </c>
      <c r="D417" s="13" t="str">
        <f t="shared" si="81"/>
        <v>SUN</v>
      </c>
      <c r="E417" s="24">
        <v>1389.5</v>
      </c>
      <c r="F417" s="24">
        <v>193.54</v>
      </c>
      <c r="G417" s="24">
        <v>88</v>
      </c>
      <c r="H417" s="24">
        <f t="shared" si="82"/>
        <v>55.58</v>
      </c>
      <c r="I417" s="24">
        <f t="shared" si="83"/>
        <v>3.2514719999999997</v>
      </c>
      <c r="J417" s="24">
        <v>18</v>
      </c>
      <c r="K417" s="24">
        <f t="shared" si="84"/>
        <v>134.708528</v>
      </c>
      <c r="L417" s="25">
        <v>5</v>
      </c>
      <c r="M417" s="25">
        <v>14</v>
      </c>
      <c r="N417" s="26">
        <f t="shared" si="92"/>
        <v>5.2333333333333334</v>
      </c>
      <c r="O417" s="24">
        <f t="shared" si="85"/>
        <v>11.147</v>
      </c>
      <c r="P417" s="24">
        <f t="shared" si="86"/>
        <v>163.85552799999999</v>
      </c>
      <c r="Q417" s="29">
        <f t="shared" si="87"/>
        <v>233.85552799999999</v>
      </c>
      <c r="R417" s="30">
        <f>COUNTIF(RAW_DATA[[#This Row],[CONVERTED]],"&gt;0")</f>
        <v>1</v>
      </c>
      <c r="S417" s="30">
        <f>COUNTIFS(RAW_DATA[[#This Row],[AM/PM]],"AM",RAW_DATA[[#This Row],[CONVERTED]],"&gt;0")</f>
        <v>0</v>
      </c>
      <c r="T417" s="19">
        <f t="shared" si="90"/>
        <v>0</v>
      </c>
      <c r="U417" s="20" t="str">
        <f t="shared" si="88"/>
        <v>SINGLE</v>
      </c>
    </row>
    <row r="418" spans="1:21" x14ac:dyDescent="0.35">
      <c r="A418" s="21">
        <f t="shared" si="91"/>
        <v>45299</v>
      </c>
      <c r="B418" s="22" t="str">
        <f t="shared" si="89"/>
        <v>AM</v>
      </c>
      <c r="C418" s="23" t="str">
        <f t="shared" si="80"/>
        <v>January</v>
      </c>
      <c r="D418" s="13" t="str">
        <f t="shared" si="81"/>
        <v>MON</v>
      </c>
      <c r="E418" s="24">
        <v>0</v>
      </c>
      <c r="F418" s="24">
        <v>0</v>
      </c>
      <c r="G418" s="24">
        <v>0</v>
      </c>
      <c r="H418" s="24">
        <f t="shared" si="82"/>
        <v>0</v>
      </c>
      <c r="I418" s="24">
        <f t="shared" si="83"/>
        <v>0</v>
      </c>
      <c r="J418" s="24">
        <v>0</v>
      </c>
      <c r="K418" s="24">
        <f t="shared" si="84"/>
        <v>0</v>
      </c>
      <c r="L418" s="25">
        <v>0</v>
      </c>
      <c r="M418" s="25">
        <v>0</v>
      </c>
      <c r="N418" s="26">
        <f t="shared" si="92"/>
        <v>0</v>
      </c>
      <c r="O418" s="24">
        <f t="shared" si="85"/>
        <v>0</v>
      </c>
      <c r="P418" s="24">
        <f t="shared" si="86"/>
        <v>0</v>
      </c>
      <c r="Q418" s="29">
        <f t="shared" si="87"/>
        <v>0</v>
      </c>
      <c r="R418" s="30">
        <f>COUNTIF(RAW_DATA[[#This Row],[CONVERTED]],"&gt;0")</f>
        <v>0</v>
      </c>
      <c r="S418" s="30">
        <f>COUNTIFS(RAW_DATA[[#This Row],[AM/PM]],"AM",RAW_DATA[[#This Row],[CONVERTED]],"&gt;0")</f>
        <v>0</v>
      </c>
      <c r="T418" s="19">
        <f t="shared" si="90"/>
        <v>0</v>
      </c>
      <c r="U418" s="20" t="str">
        <f t="shared" si="88"/>
        <v>SINGLE</v>
      </c>
    </row>
    <row r="419" spans="1:21" x14ac:dyDescent="0.35">
      <c r="A419" s="21">
        <f t="shared" si="91"/>
        <v>45299</v>
      </c>
      <c r="B419" s="22" t="str">
        <f t="shared" si="89"/>
        <v>PM</v>
      </c>
      <c r="C419" s="23" t="str">
        <f t="shared" si="80"/>
        <v>January</v>
      </c>
      <c r="D419" s="13" t="str">
        <f t="shared" si="81"/>
        <v>MON</v>
      </c>
      <c r="E419" s="24">
        <v>491.5</v>
      </c>
      <c r="F419" s="24">
        <v>100.5</v>
      </c>
      <c r="G419" s="24">
        <v>0</v>
      </c>
      <c r="H419" s="24">
        <f t="shared" si="82"/>
        <v>19.66</v>
      </c>
      <c r="I419" s="24">
        <f t="shared" si="83"/>
        <v>1.6883999999999999</v>
      </c>
      <c r="J419" s="24">
        <v>0</v>
      </c>
      <c r="K419" s="24">
        <f t="shared" si="84"/>
        <v>79.151600000000002</v>
      </c>
      <c r="L419" s="25">
        <v>6</v>
      </c>
      <c r="M419" s="25">
        <v>8</v>
      </c>
      <c r="N419" s="26">
        <f t="shared" si="92"/>
        <v>6.1333333333333337</v>
      </c>
      <c r="O419" s="24">
        <f t="shared" si="85"/>
        <v>13.064</v>
      </c>
      <c r="P419" s="24">
        <f t="shared" si="86"/>
        <v>92.215599999999995</v>
      </c>
      <c r="Q419" s="29">
        <f t="shared" si="87"/>
        <v>92.215599999999995</v>
      </c>
      <c r="R419" s="30">
        <f>COUNTIF(RAW_DATA[[#This Row],[CONVERTED]],"&gt;0")</f>
        <v>1</v>
      </c>
      <c r="S419" s="30">
        <f>COUNTIFS(RAW_DATA[[#This Row],[AM/PM]],"AM",RAW_DATA[[#This Row],[CONVERTED]],"&gt;0")</f>
        <v>0</v>
      </c>
      <c r="T419" s="19">
        <f t="shared" si="90"/>
        <v>0</v>
      </c>
      <c r="U419" s="20" t="str">
        <f t="shared" si="88"/>
        <v>SINGLE</v>
      </c>
    </row>
    <row r="420" spans="1:21" x14ac:dyDescent="0.35">
      <c r="A420" s="21">
        <f t="shared" si="91"/>
        <v>45300</v>
      </c>
      <c r="B420" s="22" t="str">
        <f t="shared" si="89"/>
        <v>AM</v>
      </c>
      <c r="C420" s="23" t="str">
        <f t="shared" si="80"/>
        <v>January</v>
      </c>
      <c r="D420" s="13" t="str">
        <f t="shared" si="81"/>
        <v>TUE</v>
      </c>
      <c r="E420" s="24">
        <v>0</v>
      </c>
      <c r="F420" s="24">
        <v>0</v>
      </c>
      <c r="G420" s="24">
        <v>0</v>
      </c>
      <c r="H420" s="24">
        <f t="shared" si="82"/>
        <v>0</v>
      </c>
      <c r="I420" s="24">
        <f t="shared" si="83"/>
        <v>0</v>
      </c>
      <c r="J420" s="24">
        <v>0</v>
      </c>
      <c r="K420" s="24">
        <f t="shared" si="84"/>
        <v>0</v>
      </c>
      <c r="L420" s="25">
        <v>0</v>
      </c>
      <c r="M420" s="25">
        <v>0</v>
      </c>
      <c r="N420" s="26">
        <f t="shared" si="92"/>
        <v>0</v>
      </c>
      <c r="O420" s="24">
        <f t="shared" si="85"/>
        <v>0</v>
      </c>
      <c r="P420" s="24">
        <f t="shared" si="86"/>
        <v>0</v>
      </c>
      <c r="Q420" s="29">
        <f t="shared" si="87"/>
        <v>0</v>
      </c>
      <c r="R420" s="30">
        <f>COUNTIF(RAW_DATA[[#This Row],[CONVERTED]],"&gt;0")</f>
        <v>0</v>
      </c>
      <c r="S420" s="30">
        <f>COUNTIFS(RAW_DATA[[#This Row],[AM/PM]],"AM",RAW_DATA[[#This Row],[CONVERTED]],"&gt;0")</f>
        <v>0</v>
      </c>
      <c r="T420" s="19">
        <f t="shared" si="90"/>
        <v>0</v>
      </c>
      <c r="U420" s="20" t="str">
        <f t="shared" si="88"/>
        <v>SINGLE</v>
      </c>
    </row>
    <row r="421" spans="1:21" x14ac:dyDescent="0.35">
      <c r="A421" s="21">
        <f t="shared" si="91"/>
        <v>45300</v>
      </c>
      <c r="B421" s="22" t="str">
        <f t="shared" si="89"/>
        <v>PM</v>
      </c>
      <c r="C421" s="23" t="str">
        <f t="shared" si="80"/>
        <v>January</v>
      </c>
      <c r="D421" s="13" t="str">
        <f t="shared" si="81"/>
        <v>TUE</v>
      </c>
      <c r="E421" s="24">
        <v>0</v>
      </c>
      <c r="F421" s="24">
        <v>0</v>
      </c>
      <c r="G421" s="24">
        <v>0</v>
      </c>
      <c r="H421" s="24">
        <f t="shared" si="82"/>
        <v>0</v>
      </c>
      <c r="I421" s="24">
        <f t="shared" si="83"/>
        <v>0</v>
      </c>
      <c r="J421" s="24">
        <v>0</v>
      </c>
      <c r="K421" s="24">
        <f t="shared" si="84"/>
        <v>0</v>
      </c>
      <c r="L421" s="25">
        <v>0</v>
      </c>
      <c r="M421" s="25">
        <v>0</v>
      </c>
      <c r="N421" s="26">
        <f t="shared" si="92"/>
        <v>0</v>
      </c>
      <c r="O421" s="24">
        <f t="shared" si="85"/>
        <v>0</v>
      </c>
      <c r="P421" s="24">
        <f t="shared" si="86"/>
        <v>0</v>
      </c>
      <c r="Q421" s="29">
        <f t="shared" si="87"/>
        <v>0</v>
      </c>
      <c r="R421" s="30">
        <f>COUNTIF(RAW_DATA[[#This Row],[CONVERTED]],"&gt;0")</f>
        <v>0</v>
      </c>
      <c r="S421" s="30">
        <f>COUNTIFS(RAW_DATA[[#This Row],[AM/PM]],"AM",RAW_DATA[[#This Row],[CONVERTED]],"&gt;0")</f>
        <v>0</v>
      </c>
      <c r="T421" s="19">
        <f t="shared" si="90"/>
        <v>0</v>
      </c>
      <c r="U421" s="20" t="str">
        <f t="shared" si="88"/>
        <v>SINGLE</v>
      </c>
    </row>
    <row r="422" spans="1:21" x14ac:dyDescent="0.35">
      <c r="A422" s="21">
        <f t="shared" si="91"/>
        <v>45301</v>
      </c>
      <c r="B422" s="22" t="str">
        <f t="shared" si="89"/>
        <v>AM</v>
      </c>
      <c r="C422" s="23" t="str">
        <f t="shared" si="80"/>
        <v>January</v>
      </c>
      <c r="D422" s="13" t="str">
        <f t="shared" si="81"/>
        <v>WED</v>
      </c>
      <c r="E422" s="24">
        <v>0</v>
      </c>
      <c r="F422" s="24">
        <v>0</v>
      </c>
      <c r="G422" s="24">
        <v>0</v>
      </c>
      <c r="H422" s="24">
        <f t="shared" si="82"/>
        <v>0</v>
      </c>
      <c r="I422" s="24">
        <f t="shared" si="83"/>
        <v>0</v>
      </c>
      <c r="J422" s="24">
        <v>0</v>
      </c>
      <c r="K422" s="24">
        <f t="shared" si="84"/>
        <v>0</v>
      </c>
      <c r="L422" s="25">
        <v>0</v>
      </c>
      <c r="M422" s="25">
        <v>0</v>
      </c>
      <c r="N422" s="26">
        <f t="shared" si="92"/>
        <v>0</v>
      </c>
      <c r="O422" s="24">
        <f t="shared" si="85"/>
        <v>0</v>
      </c>
      <c r="P422" s="24">
        <f t="shared" si="86"/>
        <v>0</v>
      </c>
      <c r="Q422" s="29">
        <f t="shared" si="87"/>
        <v>0</v>
      </c>
      <c r="R422" s="30">
        <f>COUNTIF(RAW_DATA[[#This Row],[CONVERTED]],"&gt;0")</f>
        <v>0</v>
      </c>
      <c r="S422" s="30">
        <f>COUNTIFS(RAW_DATA[[#This Row],[AM/PM]],"AM",RAW_DATA[[#This Row],[CONVERTED]],"&gt;0")</f>
        <v>0</v>
      </c>
      <c r="T422" s="19">
        <f t="shared" si="90"/>
        <v>0</v>
      </c>
      <c r="U422" s="20" t="str">
        <f t="shared" si="88"/>
        <v>SINGLE</v>
      </c>
    </row>
    <row r="423" spans="1:21" x14ac:dyDescent="0.35">
      <c r="A423" s="21">
        <f t="shared" si="91"/>
        <v>45301</v>
      </c>
      <c r="B423" s="22" t="str">
        <f t="shared" si="89"/>
        <v>PM</v>
      </c>
      <c r="C423" s="23" t="str">
        <f t="shared" si="80"/>
        <v>January</v>
      </c>
      <c r="D423" s="13" t="str">
        <f t="shared" si="81"/>
        <v>WED</v>
      </c>
      <c r="E423" s="24">
        <v>1140.5</v>
      </c>
      <c r="F423" s="24">
        <v>174.25</v>
      </c>
      <c r="G423" s="24">
        <v>33</v>
      </c>
      <c r="H423" s="24">
        <f t="shared" si="82"/>
        <v>45.62</v>
      </c>
      <c r="I423" s="24">
        <f t="shared" si="83"/>
        <v>2.9274</v>
      </c>
      <c r="J423" s="24">
        <v>0</v>
      </c>
      <c r="K423" s="24">
        <f t="shared" si="84"/>
        <v>125.7026</v>
      </c>
      <c r="L423" s="25">
        <v>5</v>
      </c>
      <c r="M423" s="25">
        <v>49</v>
      </c>
      <c r="N423" s="26">
        <f t="shared" si="92"/>
        <v>5.8166666666666664</v>
      </c>
      <c r="O423" s="24">
        <f t="shared" si="85"/>
        <v>12.389499999999998</v>
      </c>
      <c r="P423" s="24">
        <f t="shared" si="86"/>
        <v>138.09210000000002</v>
      </c>
      <c r="Q423" s="29">
        <f t="shared" si="87"/>
        <v>171.09210000000002</v>
      </c>
      <c r="R423" s="30">
        <f>COUNTIF(RAW_DATA[[#This Row],[CONVERTED]],"&gt;0")</f>
        <v>1</v>
      </c>
      <c r="S423" s="30">
        <f>COUNTIFS(RAW_DATA[[#This Row],[AM/PM]],"AM",RAW_DATA[[#This Row],[CONVERTED]],"&gt;0")</f>
        <v>0</v>
      </c>
      <c r="T423" s="19">
        <f t="shared" si="90"/>
        <v>0</v>
      </c>
      <c r="U423" s="20" t="str">
        <f t="shared" si="88"/>
        <v>SINGLE</v>
      </c>
    </row>
    <row r="424" spans="1:21" x14ac:dyDescent="0.35">
      <c r="A424" s="21">
        <f t="shared" si="91"/>
        <v>45302</v>
      </c>
      <c r="B424" s="22" t="str">
        <f t="shared" si="89"/>
        <v>AM</v>
      </c>
      <c r="C424" s="23" t="str">
        <f t="shared" si="80"/>
        <v>January</v>
      </c>
      <c r="D424" s="13" t="str">
        <f t="shared" si="81"/>
        <v>THU</v>
      </c>
      <c r="E424" s="24">
        <v>0</v>
      </c>
      <c r="F424" s="24">
        <v>0</v>
      </c>
      <c r="G424" s="24">
        <v>0</v>
      </c>
      <c r="H424" s="24">
        <f t="shared" si="82"/>
        <v>0</v>
      </c>
      <c r="I424" s="24">
        <f t="shared" si="83"/>
        <v>0</v>
      </c>
      <c r="J424" s="24">
        <v>0</v>
      </c>
      <c r="K424" s="24">
        <f t="shared" si="84"/>
        <v>0</v>
      </c>
      <c r="L424" s="25">
        <v>0</v>
      </c>
      <c r="M424" s="25">
        <v>0</v>
      </c>
      <c r="N424" s="26">
        <f t="shared" si="92"/>
        <v>0</v>
      </c>
      <c r="O424" s="24">
        <f t="shared" si="85"/>
        <v>0</v>
      </c>
      <c r="P424" s="24">
        <f t="shared" si="86"/>
        <v>0</v>
      </c>
      <c r="Q424" s="29">
        <f t="shared" si="87"/>
        <v>0</v>
      </c>
      <c r="R424" s="30">
        <f>COUNTIF(RAW_DATA[[#This Row],[CONVERTED]],"&gt;0")</f>
        <v>0</v>
      </c>
      <c r="S424" s="30">
        <f>COUNTIFS(RAW_DATA[[#This Row],[AM/PM]],"AM",RAW_DATA[[#This Row],[CONVERTED]],"&gt;0")</f>
        <v>0</v>
      </c>
      <c r="T424" s="19">
        <f t="shared" si="90"/>
        <v>0</v>
      </c>
      <c r="U424" s="20" t="str">
        <f t="shared" si="88"/>
        <v>SINGLE</v>
      </c>
    </row>
    <row r="425" spans="1:21" x14ac:dyDescent="0.35">
      <c r="A425" s="21">
        <f t="shared" si="91"/>
        <v>45302</v>
      </c>
      <c r="B425" s="22" t="str">
        <f t="shared" si="89"/>
        <v>PM</v>
      </c>
      <c r="C425" s="23" t="str">
        <f t="shared" si="80"/>
        <v>January</v>
      </c>
      <c r="D425" s="13" t="str">
        <f t="shared" si="81"/>
        <v>THU</v>
      </c>
      <c r="E425" s="24">
        <v>0</v>
      </c>
      <c r="F425" s="24">
        <v>0</v>
      </c>
      <c r="G425" s="24">
        <v>0</v>
      </c>
      <c r="H425" s="24">
        <f t="shared" si="82"/>
        <v>0</v>
      </c>
      <c r="I425" s="24">
        <f t="shared" si="83"/>
        <v>0</v>
      </c>
      <c r="J425" s="24">
        <v>0</v>
      </c>
      <c r="K425" s="24">
        <f t="shared" si="84"/>
        <v>0</v>
      </c>
      <c r="L425" s="25">
        <v>0</v>
      </c>
      <c r="M425" s="25">
        <v>0</v>
      </c>
      <c r="N425" s="26">
        <f t="shared" si="92"/>
        <v>0</v>
      </c>
      <c r="O425" s="24">
        <f t="shared" si="85"/>
        <v>0</v>
      </c>
      <c r="P425" s="24">
        <f t="shared" si="86"/>
        <v>0</v>
      </c>
      <c r="Q425" s="29">
        <f t="shared" si="87"/>
        <v>0</v>
      </c>
      <c r="R425" s="30">
        <f>COUNTIF(RAW_DATA[[#This Row],[CONVERTED]],"&gt;0")</f>
        <v>0</v>
      </c>
      <c r="S425" s="30">
        <f>COUNTIFS(RAW_DATA[[#This Row],[AM/PM]],"AM",RAW_DATA[[#This Row],[CONVERTED]],"&gt;0")</f>
        <v>0</v>
      </c>
      <c r="T425" s="19">
        <f t="shared" si="90"/>
        <v>0</v>
      </c>
      <c r="U425" s="20" t="str">
        <f t="shared" si="88"/>
        <v>SINGLE</v>
      </c>
    </row>
    <row r="426" spans="1:21" x14ac:dyDescent="0.35">
      <c r="A426" s="21">
        <f t="shared" si="91"/>
        <v>45303</v>
      </c>
      <c r="B426" s="22" t="str">
        <f t="shared" si="89"/>
        <v>AM</v>
      </c>
      <c r="C426" s="23" t="str">
        <f t="shared" si="80"/>
        <v>January</v>
      </c>
      <c r="D426" s="13" t="str">
        <f t="shared" si="81"/>
        <v>FRI</v>
      </c>
      <c r="E426" s="24">
        <v>0</v>
      </c>
      <c r="F426" s="24">
        <v>0</v>
      </c>
      <c r="G426" s="24">
        <v>0</v>
      </c>
      <c r="H426" s="24">
        <f t="shared" si="82"/>
        <v>0</v>
      </c>
      <c r="I426" s="24">
        <f t="shared" si="83"/>
        <v>0</v>
      </c>
      <c r="J426" s="24">
        <v>0</v>
      </c>
      <c r="K426" s="24">
        <f t="shared" si="84"/>
        <v>0</v>
      </c>
      <c r="L426" s="25">
        <v>0</v>
      </c>
      <c r="M426" s="25">
        <v>0</v>
      </c>
      <c r="N426" s="26">
        <f t="shared" si="92"/>
        <v>0</v>
      </c>
      <c r="O426" s="24">
        <f t="shared" si="85"/>
        <v>0</v>
      </c>
      <c r="P426" s="24">
        <f t="shared" si="86"/>
        <v>0</v>
      </c>
      <c r="Q426" s="29">
        <f t="shared" si="87"/>
        <v>0</v>
      </c>
      <c r="R426" s="30">
        <f>COUNTIF(RAW_DATA[[#This Row],[CONVERTED]],"&gt;0")</f>
        <v>0</v>
      </c>
      <c r="S426" s="30">
        <f>COUNTIFS(RAW_DATA[[#This Row],[AM/PM]],"AM",RAW_DATA[[#This Row],[CONVERTED]],"&gt;0")</f>
        <v>0</v>
      </c>
      <c r="T426" s="19">
        <f t="shared" si="90"/>
        <v>0</v>
      </c>
      <c r="U426" s="20" t="str">
        <f t="shared" si="88"/>
        <v>SINGLE</v>
      </c>
    </row>
    <row r="427" spans="1:21" x14ac:dyDescent="0.35">
      <c r="A427" s="21">
        <f t="shared" si="91"/>
        <v>45303</v>
      </c>
      <c r="B427" s="22" t="str">
        <f t="shared" si="89"/>
        <v>PM</v>
      </c>
      <c r="C427" s="23" t="str">
        <f t="shared" si="80"/>
        <v>January</v>
      </c>
      <c r="D427" s="13" t="str">
        <f t="shared" si="81"/>
        <v>FRI</v>
      </c>
      <c r="E427" s="24">
        <v>1276.5</v>
      </c>
      <c r="F427" s="24">
        <v>240.3</v>
      </c>
      <c r="G427" s="24">
        <v>18</v>
      </c>
      <c r="H427" s="24">
        <f t="shared" si="82"/>
        <v>51.06</v>
      </c>
      <c r="I427" s="24">
        <f t="shared" si="83"/>
        <v>4.0370400000000002</v>
      </c>
      <c r="J427" s="24">
        <v>7</v>
      </c>
      <c r="K427" s="24">
        <f t="shared" si="84"/>
        <v>185.20296000000002</v>
      </c>
      <c r="L427" s="25">
        <v>5</v>
      </c>
      <c r="M427" s="25">
        <v>59</v>
      </c>
      <c r="N427" s="26">
        <f t="shared" si="92"/>
        <v>5.9833333333333334</v>
      </c>
      <c r="O427" s="24">
        <f t="shared" si="85"/>
        <v>12.744499999999999</v>
      </c>
      <c r="P427" s="24">
        <f t="shared" si="86"/>
        <v>204.94746000000001</v>
      </c>
      <c r="Q427" s="29">
        <f t="shared" si="87"/>
        <v>215.94746000000001</v>
      </c>
      <c r="R427" s="30">
        <f>COUNTIF(RAW_DATA[[#This Row],[CONVERTED]],"&gt;0")</f>
        <v>1</v>
      </c>
      <c r="S427" s="30">
        <f>COUNTIFS(RAW_DATA[[#This Row],[AM/PM]],"AM",RAW_DATA[[#This Row],[CONVERTED]],"&gt;0")</f>
        <v>0</v>
      </c>
      <c r="T427" s="19">
        <f t="shared" si="90"/>
        <v>0</v>
      </c>
      <c r="U427" s="20" t="str">
        <f t="shared" si="88"/>
        <v>SINGLE</v>
      </c>
    </row>
    <row r="428" spans="1:21" x14ac:dyDescent="0.35">
      <c r="A428" s="21">
        <f t="shared" si="91"/>
        <v>45304</v>
      </c>
      <c r="B428" s="22" t="str">
        <f t="shared" si="89"/>
        <v>AM</v>
      </c>
      <c r="C428" s="23" t="str">
        <f t="shared" si="80"/>
        <v>January</v>
      </c>
      <c r="D428" s="13" t="str">
        <f t="shared" si="81"/>
        <v>SAT</v>
      </c>
      <c r="E428" s="24">
        <v>0</v>
      </c>
      <c r="F428" s="24">
        <v>0</v>
      </c>
      <c r="G428" s="24">
        <v>0</v>
      </c>
      <c r="H428" s="24">
        <f t="shared" si="82"/>
        <v>0</v>
      </c>
      <c r="I428" s="24">
        <f t="shared" si="83"/>
        <v>0</v>
      </c>
      <c r="J428" s="24">
        <v>0</v>
      </c>
      <c r="K428" s="24">
        <f t="shared" si="84"/>
        <v>0</v>
      </c>
      <c r="L428" s="25">
        <v>0</v>
      </c>
      <c r="M428" s="25">
        <v>0</v>
      </c>
      <c r="N428" s="26">
        <f t="shared" si="92"/>
        <v>0</v>
      </c>
      <c r="O428" s="24">
        <f t="shared" si="85"/>
        <v>0</v>
      </c>
      <c r="P428" s="24">
        <f t="shared" si="86"/>
        <v>0</v>
      </c>
      <c r="Q428" s="29">
        <f t="shared" si="87"/>
        <v>0</v>
      </c>
      <c r="R428" s="30">
        <f>COUNTIF(RAW_DATA[[#This Row],[CONVERTED]],"&gt;0")</f>
        <v>0</v>
      </c>
      <c r="S428" s="30">
        <f>COUNTIFS(RAW_DATA[[#This Row],[AM/PM]],"AM",RAW_DATA[[#This Row],[CONVERTED]],"&gt;0")</f>
        <v>0</v>
      </c>
      <c r="T428" s="19">
        <f t="shared" si="90"/>
        <v>0</v>
      </c>
      <c r="U428" s="20" t="str">
        <f t="shared" si="88"/>
        <v>SINGLE</v>
      </c>
    </row>
    <row r="429" spans="1:21" x14ac:dyDescent="0.35">
      <c r="A429" s="21">
        <f t="shared" si="91"/>
        <v>45304</v>
      </c>
      <c r="B429" s="22" t="str">
        <f t="shared" si="89"/>
        <v>PM</v>
      </c>
      <c r="C429" s="23" t="str">
        <f t="shared" si="80"/>
        <v>January</v>
      </c>
      <c r="D429" s="13" t="str">
        <f t="shared" si="81"/>
        <v>SAT</v>
      </c>
      <c r="E429" s="24">
        <v>1227</v>
      </c>
      <c r="F429" s="24">
        <v>268.33999999999997</v>
      </c>
      <c r="G429" s="24">
        <v>0</v>
      </c>
      <c r="H429" s="24">
        <f t="shared" si="82"/>
        <v>49.08</v>
      </c>
      <c r="I429" s="24">
        <f t="shared" si="83"/>
        <v>4.5081119999999997</v>
      </c>
      <c r="J429" s="24">
        <v>0</v>
      </c>
      <c r="K429" s="24">
        <f t="shared" si="84"/>
        <v>214.75188799999998</v>
      </c>
      <c r="L429" s="25">
        <v>6</v>
      </c>
      <c r="M429" s="25">
        <v>17</v>
      </c>
      <c r="N429" s="26">
        <f t="shared" si="92"/>
        <v>6.2833333333333332</v>
      </c>
      <c r="O429" s="24">
        <f t="shared" si="85"/>
        <v>13.3835</v>
      </c>
      <c r="P429" s="24">
        <f t="shared" si="86"/>
        <v>228.13538799999998</v>
      </c>
      <c r="Q429" s="29">
        <f t="shared" si="87"/>
        <v>228.13538799999998</v>
      </c>
      <c r="R429" s="30">
        <f>COUNTIF(RAW_DATA[[#This Row],[CONVERTED]],"&gt;0")</f>
        <v>1</v>
      </c>
      <c r="S429" s="30">
        <f>COUNTIFS(RAW_DATA[[#This Row],[AM/PM]],"AM",RAW_DATA[[#This Row],[CONVERTED]],"&gt;0")</f>
        <v>0</v>
      </c>
      <c r="T429" s="19">
        <f t="shared" si="90"/>
        <v>0</v>
      </c>
      <c r="U429" s="20" t="str">
        <f t="shared" si="88"/>
        <v>SINGLE</v>
      </c>
    </row>
    <row r="430" spans="1:21" x14ac:dyDescent="0.35">
      <c r="A430" s="21">
        <f t="shared" si="91"/>
        <v>45305</v>
      </c>
      <c r="B430" s="22" t="str">
        <f t="shared" si="89"/>
        <v>AM</v>
      </c>
      <c r="C430" s="23" t="str">
        <f t="shared" si="80"/>
        <v>January</v>
      </c>
      <c r="D430" s="13" t="str">
        <f t="shared" si="81"/>
        <v>SUN</v>
      </c>
      <c r="E430" s="24">
        <v>0</v>
      </c>
      <c r="F430" s="24">
        <v>0</v>
      </c>
      <c r="G430" s="24">
        <v>0</v>
      </c>
      <c r="H430" s="24">
        <f t="shared" si="82"/>
        <v>0</v>
      </c>
      <c r="I430" s="24">
        <f t="shared" si="83"/>
        <v>0</v>
      </c>
      <c r="J430" s="24">
        <v>0</v>
      </c>
      <c r="K430" s="24">
        <f t="shared" si="84"/>
        <v>0</v>
      </c>
      <c r="L430" s="25">
        <v>0</v>
      </c>
      <c r="M430" s="25">
        <v>0</v>
      </c>
      <c r="N430" s="26">
        <f t="shared" si="92"/>
        <v>0</v>
      </c>
      <c r="O430" s="24">
        <f t="shared" si="85"/>
        <v>0</v>
      </c>
      <c r="P430" s="24">
        <f t="shared" si="86"/>
        <v>0</v>
      </c>
      <c r="Q430" s="29">
        <f t="shared" si="87"/>
        <v>0</v>
      </c>
      <c r="R430" s="30">
        <f>COUNTIF(RAW_DATA[[#This Row],[CONVERTED]],"&gt;0")</f>
        <v>0</v>
      </c>
      <c r="S430" s="30">
        <f>COUNTIFS(RAW_DATA[[#This Row],[AM/PM]],"AM",RAW_DATA[[#This Row],[CONVERTED]],"&gt;0")</f>
        <v>0</v>
      </c>
      <c r="T430" s="19">
        <f t="shared" si="90"/>
        <v>0</v>
      </c>
      <c r="U430" s="20" t="str">
        <f t="shared" si="88"/>
        <v>SINGLE</v>
      </c>
    </row>
    <row r="431" spans="1:21" x14ac:dyDescent="0.35">
      <c r="A431" s="21">
        <f t="shared" si="91"/>
        <v>45305</v>
      </c>
      <c r="B431" s="22" t="str">
        <f t="shared" si="89"/>
        <v>PM</v>
      </c>
      <c r="C431" s="23" t="str">
        <f t="shared" si="80"/>
        <v>January</v>
      </c>
      <c r="D431" s="13" t="str">
        <f t="shared" si="81"/>
        <v>SUN</v>
      </c>
      <c r="E431" s="24">
        <v>0</v>
      </c>
      <c r="F431" s="24">
        <v>0</v>
      </c>
      <c r="G431" s="24">
        <v>0</v>
      </c>
      <c r="H431" s="24">
        <f t="shared" si="82"/>
        <v>0</v>
      </c>
      <c r="I431" s="24">
        <f t="shared" si="83"/>
        <v>0</v>
      </c>
      <c r="J431" s="24">
        <v>0</v>
      </c>
      <c r="K431" s="24">
        <f t="shared" si="84"/>
        <v>0</v>
      </c>
      <c r="L431" s="25">
        <v>0</v>
      </c>
      <c r="M431" s="25">
        <v>0</v>
      </c>
      <c r="N431" s="26">
        <f t="shared" si="92"/>
        <v>0</v>
      </c>
      <c r="O431" s="24">
        <f t="shared" si="85"/>
        <v>0</v>
      </c>
      <c r="P431" s="24">
        <f t="shared" si="86"/>
        <v>0</v>
      </c>
      <c r="Q431" s="29">
        <f t="shared" si="87"/>
        <v>0</v>
      </c>
      <c r="R431" s="30">
        <f>COUNTIF(RAW_DATA[[#This Row],[CONVERTED]],"&gt;0")</f>
        <v>0</v>
      </c>
      <c r="S431" s="30">
        <f>COUNTIFS(RAW_DATA[[#This Row],[AM/PM]],"AM",RAW_DATA[[#This Row],[CONVERTED]],"&gt;0")</f>
        <v>0</v>
      </c>
      <c r="T431" s="19">
        <f t="shared" si="90"/>
        <v>0</v>
      </c>
      <c r="U431" s="20" t="str">
        <f t="shared" si="88"/>
        <v>SINGLE</v>
      </c>
    </row>
    <row r="432" spans="1:21" x14ac:dyDescent="0.35">
      <c r="A432" s="21">
        <f t="shared" si="91"/>
        <v>45306</v>
      </c>
      <c r="B432" s="22" t="str">
        <f t="shared" si="89"/>
        <v>AM</v>
      </c>
      <c r="C432" s="23" t="str">
        <f t="shared" si="80"/>
        <v>January</v>
      </c>
      <c r="D432" s="13" t="str">
        <f t="shared" si="81"/>
        <v>MON</v>
      </c>
      <c r="E432" s="24">
        <v>0</v>
      </c>
      <c r="F432" s="24">
        <v>0</v>
      </c>
      <c r="G432" s="24">
        <v>0</v>
      </c>
      <c r="H432" s="24">
        <f t="shared" si="82"/>
        <v>0</v>
      </c>
      <c r="I432" s="24">
        <f t="shared" si="83"/>
        <v>0</v>
      </c>
      <c r="J432" s="24">
        <v>0</v>
      </c>
      <c r="K432" s="24">
        <f t="shared" si="84"/>
        <v>0</v>
      </c>
      <c r="L432" s="25">
        <v>0</v>
      </c>
      <c r="M432" s="25">
        <v>0</v>
      </c>
      <c r="N432" s="26">
        <f t="shared" si="92"/>
        <v>0</v>
      </c>
      <c r="O432" s="24">
        <f t="shared" si="85"/>
        <v>0</v>
      </c>
      <c r="P432" s="24">
        <f t="shared" si="86"/>
        <v>0</v>
      </c>
      <c r="Q432" s="29">
        <f t="shared" si="87"/>
        <v>0</v>
      </c>
      <c r="R432" s="30">
        <f>COUNTIF(RAW_DATA[[#This Row],[CONVERTED]],"&gt;0")</f>
        <v>0</v>
      </c>
      <c r="S432" s="30">
        <f>COUNTIFS(RAW_DATA[[#This Row],[AM/PM]],"AM",RAW_DATA[[#This Row],[CONVERTED]],"&gt;0")</f>
        <v>0</v>
      </c>
      <c r="T432" s="19">
        <f t="shared" si="90"/>
        <v>0</v>
      </c>
      <c r="U432" s="20" t="str">
        <f t="shared" si="88"/>
        <v>SINGLE</v>
      </c>
    </row>
    <row r="433" spans="1:21" x14ac:dyDescent="0.35">
      <c r="A433" s="21">
        <f t="shared" si="91"/>
        <v>45306</v>
      </c>
      <c r="B433" s="22" t="str">
        <f t="shared" si="89"/>
        <v>PM</v>
      </c>
      <c r="C433" s="23" t="str">
        <f t="shared" si="80"/>
        <v>January</v>
      </c>
      <c r="D433" s="13" t="str">
        <f t="shared" si="81"/>
        <v>MON</v>
      </c>
      <c r="E433" s="24">
        <v>0</v>
      </c>
      <c r="F433" s="24">
        <v>0</v>
      </c>
      <c r="G433" s="24">
        <v>0</v>
      </c>
      <c r="H433" s="24">
        <f t="shared" si="82"/>
        <v>0</v>
      </c>
      <c r="I433" s="24">
        <f t="shared" si="83"/>
        <v>0</v>
      </c>
      <c r="J433" s="24">
        <v>0</v>
      </c>
      <c r="K433" s="24">
        <f t="shared" si="84"/>
        <v>0</v>
      </c>
      <c r="L433" s="25">
        <v>0</v>
      </c>
      <c r="M433" s="25">
        <v>0</v>
      </c>
      <c r="N433" s="26">
        <f t="shared" si="92"/>
        <v>0</v>
      </c>
      <c r="O433" s="24">
        <f t="shared" si="85"/>
        <v>0</v>
      </c>
      <c r="P433" s="24">
        <f t="shared" si="86"/>
        <v>0</v>
      </c>
      <c r="Q433" s="29">
        <f t="shared" si="87"/>
        <v>0</v>
      </c>
      <c r="R433" s="30">
        <f>COUNTIF(RAW_DATA[[#This Row],[CONVERTED]],"&gt;0")</f>
        <v>0</v>
      </c>
      <c r="S433" s="30">
        <f>COUNTIFS(RAW_DATA[[#This Row],[AM/PM]],"AM",RAW_DATA[[#This Row],[CONVERTED]],"&gt;0")</f>
        <v>0</v>
      </c>
      <c r="T433" s="19">
        <f t="shared" si="90"/>
        <v>0</v>
      </c>
      <c r="U433" s="20" t="str">
        <f t="shared" si="88"/>
        <v>SINGLE</v>
      </c>
    </row>
    <row r="434" spans="1:21" x14ac:dyDescent="0.35">
      <c r="A434" s="21">
        <f t="shared" si="91"/>
        <v>45307</v>
      </c>
      <c r="B434" s="22" t="str">
        <f t="shared" si="89"/>
        <v>AM</v>
      </c>
      <c r="C434" s="23" t="str">
        <f t="shared" si="80"/>
        <v>January</v>
      </c>
      <c r="D434" s="13" t="str">
        <f t="shared" si="81"/>
        <v>TUE</v>
      </c>
      <c r="E434" s="24">
        <v>0</v>
      </c>
      <c r="F434" s="24">
        <v>0</v>
      </c>
      <c r="G434" s="24">
        <v>0</v>
      </c>
      <c r="H434" s="24">
        <f t="shared" si="82"/>
        <v>0</v>
      </c>
      <c r="I434" s="24">
        <f t="shared" si="83"/>
        <v>0</v>
      </c>
      <c r="J434" s="24">
        <v>0</v>
      </c>
      <c r="K434" s="24">
        <f t="shared" si="84"/>
        <v>0</v>
      </c>
      <c r="L434" s="25">
        <v>0</v>
      </c>
      <c r="M434" s="25">
        <v>0</v>
      </c>
      <c r="N434" s="26">
        <f t="shared" si="92"/>
        <v>0</v>
      </c>
      <c r="O434" s="24">
        <f t="shared" si="85"/>
        <v>0</v>
      </c>
      <c r="P434" s="24">
        <f t="shared" si="86"/>
        <v>0</v>
      </c>
      <c r="Q434" s="29">
        <f t="shared" si="87"/>
        <v>0</v>
      </c>
      <c r="R434" s="30">
        <f>COUNTIF(RAW_DATA[[#This Row],[CONVERTED]],"&gt;0")</f>
        <v>0</v>
      </c>
      <c r="S434" s="30">
        <f>COUNTIFS(RAW_DATA[[#This Row],[AM/PM]],"AM",RAW_DATA[[#This Row],[CONVERTED]],"&gt;0")</f>
        <v>0</v>
      </c>
      <c r="T434" s="19">
        <f t="shared" si="90"/>
        <v>0</v>
      </c>
      <c r="U434" s="20" t="str">
        <f t="shared" si="88"/>
        <v>SINGLE</v>
      </c>
    </row>
    <row r="435" spans="1:21" x14ac:dyDescent="0.35">
      <c r="A435" s="21">
        <f t="shared" si="91"/>
        <v>45307</v>
      </c>
      <c r="B435" s="22" t="str">
        <f t="shared" si="89"/>
        <v>PM</v>
      </c>
      <c r="C435" s="23" t="str">
        <f t="shared" si="80"/>
        <v>January</v>
      </c>
      <c r="D435" s="13" t="str">
        <f t="shared" si="81"/>
        <v>TUE</v>
      </c>
      <c r="E435" s="24">
        <v>0</v>
      </c>
      <c r="F435" s="24">
        <v>0</v>
      </c>
      <c r="G435" s="24">
        <v>0</v>
      </c>
      <c r="H435" s="24">
        <f t="shared" si="82"/>
        <v>0</v>
      </c>
      <c r="I435" s="24">
        <f t="shared" si="83"/>
        <v>0</v>
      </c>
      <c r="J435" s="24">
        <v>0</v>
      </c>
      <c r="K435" s="24">
        <f t="shared" si="84"/>
        <v>0</v>
      </c>
      <c r="L435" s="25">
        <v>0</v>
      </c>
      <c r="M435" s="25">
        <v>0</v>
      </c>
      <c r="N435" s="26">
        <f t="shared" si="92"/>
        <v>0</v>
      </c>
      <c r="O435" s="24">
        <f t="shared" si="85"/>
        <v>0</v>
      </c>
      <c r="P435" s="24">
        <f t="shared" si="86"/>
        <v>0</v>
      </c>
      <c r="Q435" s="29">
        <f t="shared" si="87"/>
        <v>0</v>
      </c>
      <c r="R435" s="30">
        <f>COUNTIF(RAW_DATA[[#This Row],[CONVERTED]],"&gt;0")</f>
        <v>0</v>
      </c>
      <c r="S435" s="30">
        <f>COUNTIFS(RAW_DATA[[#This Row],[AM/PM]],"AM",RAW_DATA[[#This Row],[CONVERTED]],"&gt;0")</f>
        <v>0</v>
      </c>
      <c r="T435" s="19">
        <f t="shared" si="90"/>
        <v>0</v>
      </c>
      <c r="U435" s="20" t="str">
        <f t="shared" si="88"/>
        <v>SINGLE</v>
      </c>
    </row>
    <row r="436" spans="1:21" x14ac:dyDescent="0.35">
      <c r="A436" s="21">
        <f t="shared" si="91"/>
        <v>45308</v>
      </c>
      <c r="B436" s="22" t="str">
        <f t="shared" si="89"/>
        <v>AM</v>
      </c>
      <c r="C436" s="23" t="str">
        <f t="shared" si="80"/>
        <v>January</v>
      </c>
      <c r="D436" s="13" t="str">
        <f t="shared" si="81"/>
        <v>WED</v>
      </c>
      <c r="E436" s="24">
        <v>0</v>
      </c>
      <c r="F436" s="24">
        <v>0</v>
      </c>
      <c r="G436" s="24">
        <v>0</v>
      </c>
      <c r="H436" s="24">
        <f t="shared" si="82"/>
        <v>0</v>
      </c>
      <c r="I436" s="24">
        <f t="shared" si="83"/>
        <v>0</v>
      </c>
      <c r="J436" s="24">
        <v>0</v>
      </c>
      <c r="K436" s="24">
        <f t="shared" si="84"/>
        <v>0</v>
      </c>
      <c r="L436" s="25">
        <v>0</v>
      </c>
      <c r="M436" s="25">
        <v>0</v>
      </c>
      <c r="N436" s="26">
        <f t="shared" si="92"/>
        <v>0</v>
      </c>
      <c r="O436" s="24">
        <f t="shared" si="85"/>
        <v>0</v>
      </c>
      <c r="P436" s="24">
        <f t="shared" si="86"/>
        <v>0</v>
      </c>
      <c r="Q436" s="29">
        <f t="shared" si="87"/>
        <v>0</v>
      </c>
      <c r="R436" s="30">
        <f>COUNTIF(RAW_DATA[[#This Row],[CONVERTED]],"&gt;0")</f>
        <v>0</v>
      </c>
      <c r="S436" s="30">
        <f>COUNTIFS(RAW_DATA[[#This Row],[AM/PM]],"AM",RAW_DATA[[#This Row],[CONVERTED]],"&gt;0")</f>
        <v>0</v>
      </c>
      <c r="T436" s="19">
        <f t="shared" si="90"/>
        <v>0</v>
      </c>
      <c r="U436" s="20" t="str">
        <f t="shared" si="88"/>
        <v>SINGLE</v>
      </c>
    </row>
    <row r="437" spans="1:21" x14ac:dyDescent="0.35">
      <c r="A437" s="21">
        <f t="shared" si="91"/>
        <v>45308</v>
      </c>
      <c r="B437" s="22" t="str">
        <f t="shared" si="89"/>
        <v>PM</v>
      </c>
      <c r="C437" s="23" t="str">
        <f t="shared" si="80"/>
        <v>January</v>
      </c>
      <c r="D437" s="13" t="str">
        <f t="shared" si="81"/>
        <v>WED</v>
      </c>
      <c r="E437" s="24">
        <v>454</v>
      </c>
      <c r="F437" s="24">
        <v>65.400000000000006</v>
      </c>
      <c r="G437" s="24">
        <v>21</v>
      </c>
      <c r="H437" s="24">
        <f t="shared" si="82"/>
        <v>18.16</v>
      </c>
      <c r="I437" s="24">
        <f t="shared" si="83"/>
        <v>1.0987199999999999</v>
      </c>
      <c r="J437" s="24">
        <v>7.5</v>
      </c>
      <c r="K437" s="24">
        <f t="shared" si="84"/>
        <v>46.141280000000009</v>
      </c>
      <c r="L437" s="25">
        <v>5</v>
      </c>
      <c r="M437" s="25">
        <v>28</v>
      </c>
      <c r="N437" s="26">
        <f t="shared" si="92"/>
        <v>5.4666666666666668</v>
      </c>
      <c r="O437" s="24">
        <f t="shared" si="85"/>
        <v>11.644</v>
      </c>
      <c r="P437" s="24">
        <f t="shared" si="86"/>
        <v>65.285280000000014</v>
      </c>
      <c r="Q437" s="29">
        <f t="shared" si="87"/>
        <v>78.785280000000014</v>
      </c>
      <c r="R437" s="30">
        <f>COUNTIF(RAW_DATA[[#This Row],[CONVERTED]],"&gt;0")</f>
        <v>1</v>
      </c>
      <c r="S437" s="30">
        <f>COUNTIFS(RAW_DATA[[#This Row],[AM/PM]],"AM",RAW_DATA[[#This Row],[CONVERTED]],"&gt;0")</f>
        <v>0</v>
      </c>
      <c r="T437" s="19">
        <f t="shared" si="90"/>
        <v>0</v>
      </c>
      <c r="U437" s="20" t="str">
        <f t="shared" si="88"/>
        <v>SINGLE</v>
      </c>
    </row>
    <row r="438" spans="1:21" x14ac:dyDescent="0.35">
      <c r="A438" s="21">
        <f t="shared" si="91"/>
        <v>45309</v>
      </c>
      <c r="B438" s="22" t="str">
        <f t="shared" si="89"/>
        <v>AM</v>
      </c>
      <c r="C438" s="23" t="str">
        <f t="shared" si="80"/>
        <v>January</v>
      </c>
      <c r="D438" s="13" t="str">
        <f t="shared" si="81"/>
        <v>THU</v>
      </c>
      <c r="E438" s="24">
        <v>919</v>
      </c>
      <c r="F438" s="24">
        <v>176.58</v>
      </c>
      <c r="G438" s="24">
        <v>0</v>
      </c>
      <c r="H438" s="24">
        <f t="shared" si="82"/>
        <v>36.76</v>
      </c>
      <c r="I438" s="24">
        <f t="shared" si="83"/>
        <v>2.9665439999999998</v>
      </c>
      <c r="J438" s="24">
        <v>0</v>
      </c>
      <c r="K438" s="24">
        <f t="shared" si="84"/>
        <v>136.85345600000002</v>
      </c>
      <c r="L438" s="25">
        <v>5</v>
      </c>
      <c r="M438" s="25">
        <v>15</v>
      </c>
      <c r="N438" s="26">
        <f t="shared" si="92"/>
        <v>5.25</v>
      </c>
      <c r="O438" s="24">
        <f t="shared" si="85"/>
        <v>11.182499999999999</v>
      </c>
      <c r="P438" s="24">
        <f t="shared" si="86"/>
        <v>148.03595600000003</v>
      </c>
      <c r="Q438" s="29">
        <f t="shared" si="87"/>
        <v>148.03595600000003</v>
      </c>
      <c r="R438" s="30">
        <f>COUNTIF(RAW_DATA[[#This Row],[CONVERTED]],"&gt;0")</f>
        <v>1</v>
      </c>
      <c r="S438" s="30">
        <f>COUNTIFS(RAW_DATA[[#This Row],[AM/PM]],"AM",RAW_DATA[[#This Row],[CONVERTED]],"&gt;0")</f>
        <v>1</v>
      </c>
      <c r="T438" s="19">
        <f t="shared" si="90"/>
        <v>0</v>
      </c>
      <c r="U438" s="20" t="str">
        <f t="shared" si="88"/>
        <v>SINGLE</v>
      </c>
    </row>
    <row r="439" spans="1:21" x14ac:dyDescent="0.35">
      <c r="A439" s="21">
        <f t="shared" si="91"/>
        <v>45309</v>
      </c>
      <c r="B439" s="22" t="str">
        <f t="shared" si="89"/>
        <v>PM</v>
      </c>
      <c r="C439" s="23" t="str">
        <f t="shared" si="80"/>
        <v>January</v>
      </c>
      <c r="D439" s="13" t="str">
        <f t="shared" si="81"/>
        <v>THU</v>
      </c>
      <c r="E439" s="24">
        <v>0</v>
      </c>
      <c r="F439" s="24">
        <v>0</v>
      </c>
      <c r="G439" s="24">
        <v>0</v>
      </c>
      <c r="H439" s="24">
        <f t="shared" si="82"/>
        <v>0</v>
      </c>
      <c r="I439" s="24">
        <f t="shared" si="83"/>
        <v>0</v>
      </c>
      <c r="J439" s="24">
        <v>0</v>
      </c>
      <c r="K439" s="24">
        <f t="shared" si="84"/>
        <v>0</v>
      </c>
      <c r="L439" s="25">
        <v>0</v>
      </c>
      <c r="M439" s="25">
        <v>0</v>
      </c>
      <c r="N439" s="26">
        <f t="shared" si="92"/>
        <v>0</v>
      </c>
      <c r="O439" s="24">
        <f t="shared" si="85"/>
        <v>0</v>
      </c>
      <c r="P439" s="24">
        <f t="shared" si="86"/>
        <v>0</v>
      </c>
      <c r="Q439" s="29">
        <f t="shared" si="87"/>
        <v>0</v>
      </c>
      <c r="R439" s="30">
        <f>COUNTIF(RAW_DATA[[#This Row],[CONVERTED]],"&gt;0")</f>
        <v>0</v>
      </c>
      <c r="S439" s="30">
        <f>COUNTIFS(RAW_DATA[[#This Row],[AM/PM]],"AM",RAW_DATA[[#This Row],[CONVERTED]],"&gt;0")</f>
        <v>0</v>
      </c>
      <c r="T439" s="19">
        <f t="shared" si="90"/>
        <v>0</v>
      </c>
      <c r="U439" s="20" t="str">
        <f t="shared" si="88"/>
        <v>SINGLE</v>
      </c>
    </row>
    <row r="440" spans="1:21" x14ac:dyDescent="0.35">
      <c r="A440" s="21">
        <f t="shared" si="91"/>
        <v>45310</v>
      </c>
      <c r="B440" s="22" t="str">
        <f t="shared" si="89"/>
        <v>AM</v>
      </c>
      <c r="C440" s="23" t="str">
        <f t="shared" si="80"/>
        <v>January</v>
      </c>
      <c r="D440" s="13" t="str">
        <f t="shared" si="81"/>
        <v>FRI</v>
      </c>
      <c r="E440" s="24">
        <v>0</v>
      </c>
      <c r="F440" s="24">
        <v>0</v>
      </c>
      <c r="G440" s="24">
        <v>0</v>
      </c>
      <c r="H440" s="24">
        <f t="shared" si="82"/>
        <v>0</v>
      </c>
      <c r="I440" s="24">
        <f t="shared" si="83"/>
        <v>0</v>
      </c>
      <c r="J440" s="24">
        <v>0</v>
      </c>
      <c r="K440" s="24">
        <f t="shared" si="84"/>
        <v>0</v>
      </c>
      <c r="L440" s="25">
        <v>0</v>
      </c>
      <c r="M440" s="25">
        <v>0</v>
      </c>
      <c r="N440" s="26">
        <f t="shared" si="92"/>
        <v>0</v>
      </c>
      <c r="O440" s="24">
        <f t="shared" si="85"/>
        <v>0</v>
      </c>
      <c r="P440" s="24">
        <f t="shared" si="86"/>
        <v>0</v>
      </c>
      <c r="Q440" s="29">
        <f t="shared" si="87"/>
        <v>0</v>
      </c>
      <c r="R440" s="30">
        <f>COUNTIF(RAW_DATA[[#This Row],[CONVERTED]],"&gt;0")</f>
        <v>0</v>
      </c>
      <c r="S440" s="30">
        <f>COUNTIFS(RAW_DATA[[#This Row],[AM/PM]],"AM",RAW_DATA[[#This Row],[CONVERTED]],"&gt;0")</f>
        <v>0</v>
      </c>
      <c r="T440" s="19">
        <f t="shared" si="90"/>
        <v>0</v>
      </c>
      <c r="U440" s="20" t="str">
        <f t="shared" si="88"/>
        <v>SINGLE</v>
      </c>
    </row>
    <row r="441" spans="1:21" x14ac:dyDescent="0.35">
      <c r="A441" s="21">
        <f t="shared" si="91"/>
        <v>45310</v>
      </c>
      <c r="B441" s="22" t="str">
        <f t="shared" si="89"/>
        <v>PM</v>
      </c>
      <c r="C441" s="23" t="str">
        <f t="shared" si="80"/>
        <v>January</v>
      </c>
      <c r="D441" s="13" t="str">
        <f t="shared" si="81"/>
        <v>FRI</v>
      </c>
      <c r="E441" s="24">
        <v>1417</v>
      </c>
      <c r="F441" s="24">
        <v>285.7</v>
      </c>
      <c r="G441" s="24">
        <v>0</v>
      </c>
      <c r="H441" s="24">
        <f t="shared" si="82"/>
        <v>56.68</v>
      </c>
      <c r="I441" s="24">
        <f t="shared" si="83"/>
        <v>4.7997599999999991</v>
      </c>
      <c r="J441" s="24">
        <v>0</v>
      </c>
      <c r="K441" s="24">
        <f t="shared" si="84"/>
        <v>224.22023999999999</v>
      </c>
      <c r="L441" s="25">
        <v>5</v>
      </c>
      <c r="M441" s="25">
        <v>13</v>
      </c>
      <c r="N441" s="26">
        <f t="shared" si="92"/>
        <v>5.2166666666666668</v>
      </c>
      <c r="O441" s="24">
        <f t="shared" si="85"/>
        <v>11.111499999999999</v>
      </c>
      <c r="P441" s="24">
        <f t="shared" si="86"/>
        <v>235.33174</v>
      </c>
      <c r="Q441" s="29">
        <f t="shared" si="87"/>
        <v>235.33174</v>
      </c>
      <c r="R441" s="30">
        <f>COUNTIF(RAW_DATA[[#This Row],[CONVERTED]],"&gt;0")</f>
        <v>1</v>
      </c>
      <c r="S441" s="30">
        <f>COUNTIFS(RAW_DATA[[#This Row],[AM/PM]],"AM",RAW_DATA[[#This Row],[CONVERTED]],"&gt;0")</f>
        <v>0</v>
      </c>
      <c r="T441" s="19">
        <f t="shared" si="90"/>
        <v>0</v>
      </c>
      <c r="U441" s="20" t="str">
        <f t="shared" si="88"/>
        <v>SINGLE</v>
      </c>
    </row>
    <row r="442" spans="1:21" x14ac:dyDescent="0.35">
      <c r="A442" s="21">
        <f t="shared" si="91"/>
        <v>45311</v>
      </c>
      <c r="B442" s="22" t="str">
        <f t="shared" si="89"/>
        <v>AM</v>
      </c>
      <c r="C442" s="23" t="str">
        <f t="shared" si="80"/>
        <v>January</v>
      </c>
      <c r="D442" s="13" t="str">
        <f t="shared" si="81"/>
        <v>SAT</v>
      </c>
      <c r="E442" s="24">
        <v>0</v>
      </c>
      <c r="F442" s="24">
        <v>0</v>
      </c>
      <c r="G442" s="24">
        <v>0</v>
      </c>
      <c r="H442" s="24">
        <f t="shared" si="82"/>
        <v>0</v>
      </c>
      <c r="I442" s="24">
        <f t="shared" si="83"/>
        <v>0</v>
      </c>
      <c r="J442" s="24">
        <v>0</v>
      </c>
      <c r="K442" s="24">
        <f t="shared" si="84"/>
        <v>0</v>
      </c>
      <c r="L442" s="25">
        <v>0</v>
      </c>
      <c r="M442" s="25">
        <v>0</v>
      </c>
      <c r="N442" s="26">
        <f t="shared" si="92"/>
        <v>0</v>
      </c>
      <c r="O442" s="24">
        <f t="shared" si="85"/>
        <v>0</v>
      </c>
      <c r="P442" s="24">
        <f t="shared" si="86"/>
        <v>0</v>
      </c>
      <c r="Q442" s="29">
        <f t="shared" si="87"/>
        <v>0</v>
      </c>
      <c r="R442" s="30">
        <f>COUNTIF(RAW_DATA[[#This Row],[CONVERTED]],"&gt;0")</f>
        <v>0</v>
      </c>
      <c r="S442" s="30">
        <f>COUNTIFS(RAW_DATA[[#This Row],[AM/PM]],"AM",RAW_DATA[[#This Row],[CONVERTED]],"&gt;0")</f>
        <v>0</v>
      </c>
      <c r="T442" s="19">
        <f t="shared" si="90"/>
        <v>0</v>
      </c>
      <c r="U442" s="20" t="str">
        <f t="shared" si="88"/>
        <v>SINGLE</v>
      </c>
    </row>
    <row r="443" spans="1:21" x14ac:dyDescent="0.35">
      <c r="A443" s="21">
        <f t="shared" si="91"/>
        <v>45311</v>
      </c>
      <c r="B443" s="22" t="str">
        <f t="shared" si="89"/>
        <v>PM</v>
      </c>
      <c r="C443" s="23" t="str">
        <f t="shared" si="80"/>
        <v>January</v>
      </c>
      <c r="D443" s="13" t="str">
        <f t="shared" si="81"/>
        <v>SAT</v>
      </c>
      <c r="E443" s="24">
        <v>1544</v>
      </c>
      <c r="F443" s="24">
        <v>300.93</v>
      </c>
      <c r="G443" s="24">
        <v>13</v>
      </c>
      <c r="H443" s="24">
        <f t="shared" si="82"/>
        <v>61.76</v>
      </c>
      <c r="I443" s="24">
        <f t="shared" si="83"/>
        <v>5.0556239999999999</v>
      </c>
      <c r="J443" s="24">
        <v>4.5</v>
      </c>
      <c r="K443" s="24">
        <f t="shared" si="84"/>
        <v>234.11437599999999</v>
      </c>
      <c r="L443" s="25">
        <v>5</v>
      </c>
      <c r="M443" s="25">
        <v>44</v>
      </c>
      <c r="N443" s="26">
        <f t="shared" si="92"/>
        <v>5.7333333333333334</v>
      </c>
      <c r="O443" s="24">
        <f t="shared" si="85"/>
        <v>12.212</v>
      </c>
      <c r="P443" s="24">
        <f t="shared" si="86"/>
        <v>250.82637599999998</v>
      </c>
      <c r="Q443" s="29">
        <f t="shared" si="87"/>
        <v>259.32637599999998</v>
      </c>
      <c r="R443" s="30">
        <f>COUNTIF(RAW_DATA[[#This Row],[CONVERTED]],"&gt;0")</f>
        <v>1</v>
      </c>
      <c r="S443" s="30">
        <f>COUNTIFS(RAW_DATA[[#This Row],[AM/PM]],"AM",RAW_DATA[[#This Row],[CONVERTED]],"&gt;0")</f>
        <v>0</v>
      </c>
      <c r="T443" s="19">
        <f t="shared" si="90"/>
        <v>0</v>
      </c>
      <c r="U443" s="20" t="str">
        <f t="shared" si="88"/>
        <v>SINGLE</v>
      </c>
    </row>
    <row r="444" spans="1:21" x14ac:dyDescent="0.35">
      <c r="A444" s="21">
        <f t="shared" si="91"/>
        <v>45312</v>
      </c>
      <c r="B444" s="22" t="str">
        <f t="shared" si="89"/>
        <v>AM</v>
      </c>
      <c r="C444" s="23" t="str">
        <f t="shared" si="80"/>
        <v>January</v>
      </c>
      <c r="D444" s="13" t="str">
        <f t="shared" si="81"/>
        <v>SUN</v>
      </c>
      <c r="E444" s="24">
        <v>0</v>
      </c>
      <c r="F444" s="24">
        <v>0</v>
      </c>
      <c r="G444" s="24">
        <v>0</v>
      </c>
      <c r="H444" s="24">
        <f t="shared" si="82"/>
        <v>0</v>
      </c>
      <c r="I444" s="24">
        <f t="shared" si="83"/>
        <v>0</v>
      </c>
      <c r="J444" s="24">
        <v>0</v>
      </c>
      <c r="K444" s="24">
        <f t="shared" si="84"/>
        <v>0</v>
      </c>
      <c r="L444" s="25">
        <v>0</v>
      </c>
      <c r="M444" s="25">
        <v>0</v>
      </c>
      <c r="N444" s="26">
        <f t="shared" si="92"/>
        <v>0</v>
      </c>
      <c r="O444" s="24">
        <f t="shared" si="85"/>
        <v>0</v>
      </c>
      <c r="P444" s="24">
        <f t="shared" si="86"/>
        <v>0</v>
      </c>
      <c r="Q444" s="29">
        <f t="shared" si="87"/>
        <v>0</v>
      </c>
      <c r="R444" s="30">
        <f>COUNTIF(RAW_DATA[[#This Row],[CONVERTED]],"&gt;0")</f>
        <v>0</v>
      </c>
      <c r="S444" s="30">
        <f>COUNTIFS(RAW_DATA[[#This Row],[AM/PM]],"AM",RAW_DATA[[#This Row],[CONVERTED]],"&gt;0")</f>
        <v>0</v>
      </c>
      <c r="T444" s="19">
        <f t="shared" si="90"/>
        <v>0</v>
      </c>
      <c r="U444" s="20" t="str">
        <f t="shared" si="88"/>
        <v>SINGLE</v>
      </c>
    </row>
    <row r="445" spans="1:21" x14ac:dyDescent="0.35">
      <c r="A445" s="21">
        <f t="shared" si="91"/>
        <v>45312</v>
      </c>
      <c r="B445" s="22" t="str">
        <f t="shared" si="89"/>
        <v>PM</v>
      </c>
      <c r="C445" s="23" t="str">
        <f t="shared" si="80"/>
        <v>January</v>
      </c>
      <c r="D445" s="13" t="str">
        <f t="shared" si="81"/>
        <v>SUN</v>
      </c>
      <c r="E445" s="24">
        <v>0</v>
      </c>
      <c r="F445" s="24">
        <v>0</v>
      </c>
      <c r="G445" s="24">
        <v>0</v>
      </c>
      <c r="H445" s="24">
        <f t="shared" si="82"/>
        <v>0</v>
      </c>
      <c r="I445" s="24">
        <f t="shared" si="83"/>
        <v>0</v>
      </c>
      <c r="J445" s="24">
        <v>0</v>
      </c>
      <c r="K445" s="24">
        <f t="shared" si="84"/>
        <v>0</v>
      </c>
      <c r="L445" s="25">
        <v>0</v>
      </c>
      <c r="M445" s="25">
        <v>0</v>
      </c>
      <c r="N445" s="26">
        <f t="shared" si="92"/>
        <v>0</v>
      </c>
      <c r="O445" s="24">
        <f t="shared" si="85"/>
        <v>0</v>
      </c>
      <c r="P445" s="24">
        <f t="shared" si="86"/>
        <v>0</v>
      </c>
      <c r="Q445" s="29">
        <f t="shared" si="87"/>
        <v>0</v>
      </c>
      <c r="R445" s="30">
        <f>COUNTIF(RAW_DATA[[#This Row],[CONVERTED]],"&gt;0")</f>
        <v>0</v>
      </c>
      <c r="S445" s="30">
        <f>COUNTIFS(RAW_DATA[[#This Row],[AM/PM]],"AM",RAW_DATA[[#This Row],[CONVERTED]],"&gt;0")</f>
        <v>0</v>
      </c>
      <c r="T445" s="19">
        <f t="shared" si="90"/>
        <v>0</v>
      </c>
      <c r="U445" s="20" t="str">
        <f t="shared" si="88"/>
        <v>SINGLE</v>
      </c>
    </row>
    <row r="446" spans="1:21" x14ac:dyDescent="0.35">
      <c r="A446" s="21">
        <f t="shared" si="91"/>
        <v>45313</v>
      </c>
      <c r="B446" s="22" t="str">
        <f t="shared" si="89"/>
        <v>AM</v>
      </c>
      <c r="C446" s="23" t="str">
        <f t="shared" si="80"/>
        <v>January</v>
      </c>
      <c r="D446" s="13" t="str">
        <f t="shared" si="81"/>
        <v>MON</v>
      </c>
      <c r="E446" s="24">
        <v>283.5</v>
      </c>
      <c r="F446" s="24">
        <v>50.14</v>
      </c>
      <c r="G446" s="24">
        <v>0</v>
      </c>
      <c r="H446" s="24">
        <f t="shared" si="82"/>
        <v>11.34</v>
      </c>
      <c r="I446" s="24">
        <f t="shared" si="83"/>
        <v>0.84235199999999999</v>
      </c>
      <c r="J446" s="24">
        <v>0</v>
      </c>
      <c r="K446" s="24">
        <f t="shared" si="84"/>
        <v>37.957647999999999</v>
      </c>
      <c r="L446" s="25">
        <v>2</v>
      </c>
      <c r="M446" s="25">
        <v>51</v>
      </c>
      <c r="N446" s="26">
        <f t="shared" si="92"/>
        <v>2.85</v>
      </c>
      <c r="O446" s="24">
        <f t="shared" si="85"/>
        <v>6.0705</v>
      </c>
      <c r="P446" s="24">
        <f t="shared" si="86"/>
        <v>44.028148000000002</v>
      </c>
      <c r="Q446" s="29">
        <f t="shared" si="87"/>
        <v>44.028148000000002</v>
      </c>
      <c r="R446" s="30">
        <f>COUNTIF(RAW_DATA[[#This Row],[CONVERTED]],"&gt;0")</f>
        <v>1</v>
      </c>
      <c r="S446" s="30">
        <f>COUNTIFS(RAW_DATA[[#This Row],[AM/PM]],"AM",RAW_DATA[[#This Row],[CONVERTED]],"&gt;0")</f>
        <v>1</v>
      </c>
      <c r="T446" s="19">
        <f t="shared" si="90"/>
        <v>0</v>
      </c>
      <c r="U446" s="20" t="str">
        <f t="shared" si="88"/>
        <v>SINGLE</v>
      </c>
    </row>
    <row r="447" spans="1:21" x14ac:dyDescent="0.35">
      <c r="A447" s="21">
        <f t="shared" si="91"/>
        <v>45313</v>
      </c>
      <c r="B447" s="22" t="str">
        <f t="shared" si="89"/>
        <v>PM</v>
      </c>
      <c r="C447" s="23" t="str">
        <f t="shared" si="80"/>
        <v>January</v>
      </c>
      <c r="D447" s="13" t="str">
        <f t="shared" si="81"/>
        <v>MON</v>
      </c>
      <c r="E447" s="24">
        <v>0</v>
      </c>
      <c r="F447" s="24">
        <v>0</v>
      </c>
      <c r="G447" s="24">
        <v>0</v>
      </c>
      <c r="H447" s="24">
        <f t="shared" si="82"/>
        <v>0</v>
      </c>
      <c r="I447" s="24">
        <f t="shared" si="83"/>
        <v>0</v>
      </c>
      <c r="J447" s="24">
        <v>0</v>
      </c>
      <c r="K447" s="24">
        <f t="shared" si="84"/>
        <v>0</v>
      </c>
      <c r="L447" s="25">
        <v>0</v>
      </c>
      <c r="M447" s="25">
        <v>0</v>
      </c>
      <c r="N447" s="26">
        <f t="shared" si="92"/>
        <v>0</v>
      </c>
      <c r="O447" s="24">
        <f t="shared" si="85"/>
        <v>0</v>
      </c>
      <c r="P447" s="24">
        <f t="shared" si="86"/>
        <v>0</v>
      </c>
      <c r="Q447" s="29">
        <f t="shared" si="87"/>
        <v>0</v>
      </c>
      <c r="R447" s="30">
        <f>COUNTIF(RAW_DATA[[#This Row],[CONVERTED]],"&gt;0")</f>
        <v>0</v>
      </c>
      <c r="S447" s="30">
        <f>COUNTIFS(RAW_DATA[[#This Row],[AM/PM]],"AM",RAW_DATA[[#This Row],[CONVERTED]],"&gt;0")</f>
        <v>0</v>
      </c>
      <c r="T447" s="19">
        <f t="shared" si="90"/>
        <v>0</v>
      </c>
      <c r="U447" s="20" t="str">
        <f t="shared" si="88"/>
        <v>SINGLE</v>
      </c>
    </row>
    <row r="448" spans="1:21" x14ac:dyDescent="0.35">
      <c r="A448" s="21">
        <f t="shared" si="91"/>
        <v>45314</v>
      </c>
      <c r="B448" s="22" t="str">
        <f t="shared" si="89"/>
        <v>AM</v>
      </c>
      <c r="C448" s="23" t="str">
        <f t="shared" si="80"/>
        <v>January</v>
      </c>
      <c r="D448" s="13" t="str">
        <f t="shared" si="81"/>
        <v>TUE</v>
      </c>
      <c r="E448" s="24">
        <v>0</v>
      </c>
      <c r="F448" s="24">
        <v>0</v>
      </c>
      <c r="G448" s="24">
        <v>0</v>
      </c>
      <c r="H448" s="24">
        <f t="shared" si="82"/>
        <v>0</v>
      </c>
      <c r="I448" s="24">
        <f t="shared" si="83"/>
        <v>0</v>
      </c>
      <c r="J448" s="24">
        <v>0</v>
      </c>
      <c r="K448" s="24">
        <f t="shared" si="84"/>
        <v>0</v>
      </c>
      <c r="L448" s="25">
        <v>0</v>
      </c>
      <c r="M448" s="25">
        <v>0</v>
      </c>
      <c r="N448" s="26">
        <f t="shared" si="92"/>
        <v>0</v>
      </c>
      <c r="O448" s="24">
        <f t="shared" si="85"/>
        <v>0</v>
      </c>
      <c r="P448" s="24">
        <f t="shared" si="86"/>
        <v>0</v>
      </c>
      <c r="Q448" s="29">
        <f t="shared" si="87"/>
        <v>0</v>
      </c>
      <c r="R448" s="30">
        <f>COUNTIF(RAW_DATA[[#This Row],[CONVERTED]],"&gt;0")</f>
        <v>0</v>
      </c>
      <c r="S448" s="30">
        <f>COUNTIFS(RAW_DATA[[#This Row],[AM/PM]],"AM",RAW_DATA[[#This Row],[CONVERTED]],"&gt;0")</f>
        <v>0</v>
      </c>
      <c r="T448" s="19">
        <f t="shared" si="90"/>
        <v>0</v>
      </c>
      <c r="U448" s="20" t="str">
        <f t="shared" si="88"/>
        <v>SINGLE</v>
      </c>
    </row>
    <row r="449" spans="1:21" x14ac:dyDescent="0.35">
      <c r="A449" s="21">
        <f t="shared" si="91"/>
        <v>45314</v>
      </c>
      <c r="B449" s="22" t="str">
        <f t="shared" si="89"/>
        <v>PM</v>
      </c>
      <c r="C449" s="23" t="str">
        <f t="shared" si="80"/>
        <v>January</v>
      </c>
      <c r="D449" s="13" t="str">
        <f t="shared" si="81"/>
        <v>TUE</v>
      </c>
      <c r="E449" s="24">
        <v>0</v>
      </c>
      <c r="F449" s="24">
        <v>0</v>
      </c>
      <c r="G449" s="24">
        <v>0</v>
      </c>
      <c r="H449" s="24">
        <f t="shared" si="82"/>
        <v>0</v>
      </c>
      <c r="I449" s="24">
        <f t="shared" si="83"/>
        <v>0</v>
      </c>
      <c r="J449" s="24">
        <v>0</v>
      </c>
      <c r="K449" s="24">
        <f t="shared" si="84"/>
        <v>0</v>
      </c>
      <c r="L449" s="25">
        <v>0</v>
      </c>
      <c r="M449" s="25">
        <v>0</v>
      </c>
      <c r="N449" s="26">
        <f t="shared" si="92"/>
        <v>0</v>
      </c>
      <c r="O449" s="24">
        <f t="shared" si="85"/>
        <v>0</v>
      </c>
      <c r="P449" s="24">
        <f t="shared" si="86"/>
        <v>0</v>
      </c>
      <c r="Q449" s="29">
        <f t="shared" si="87"/>
        <v>0</v>
      </c>
      <c r="R449" s="30">
        <f>COUNTIF(RAW_DATA[[#This Row],[CONVERTED]],"&gt;0")</f>
        <v>0</v>
      </c>
      <c r="S449" s="30">
        <f>COUNTIFS(RAW_DATA[[#This Row],[AM/PM]],"AM",RAW_DATA[[#This Row],[CONVERTED]],"&gt;0")</f>
        <v>0</v>
      </c>
      <c r="T449" s="19">
        <f t="shared" si="90"/>
        <v>0</v>
      </c>
      <c r="U449" s="20" t="str">
        <f t="shared" si="88"/>
        <v>SINGLE</v>
      </c>
    </row>
    <row r="450" spans="1:21" x14ac:dyDescent="0.35">
      <c r="A450" s="31">
        <f t="shared" si="91"/>
        <v>45315</v>
      </c>
      <c r="B450" s="32" t="str">
        <f t="shared" si="89"/>
        <v>AM</v>
      </c>
      <c r="C450" s="33" t="str">
        <f t="shared" ref="C450:C468" si="93">TEXT(A450,"mmmm")</f>
        <v>January</v>
      </c>
      <c r="D450" s="34" t="str">
        <f t="shared" ref="D450:D513" si="94">CHOOSE(WEEKDAY(A450),"SUN","MON","TUE","WED","THU","FRI","SAT")</f>
        <v>WED</v>
      </c>
      <c r="E450" s="35">
        <v>0</v>
      </c>
      <c r="F450" s="35">
        <v>0</v>
      </c>
      <c r="G450" s="35">
        <v>0</v>
      </c>
      <c r="H450" s="35">
        <f t="shared" ref="H450:H468" si="95">E450*0.04</f>
        <v>0</v>
      </c>
      <c r="I450" s="35">
        <f t="shared" ref="I450:I468" si="96">F450*0.0168</f>
        <v>0</v>
      </c>
      <c r="J450" s="35">
        <v>0</v>
      </c>
      <c r="K450" s="35">
        <f t="shared" ref="K450:K468" si="97">F450-(H450+I450)</f>
        <v>0</v>
      </c>
      <c r="L450" s="36">
        <v>0</v>
      </c>
      <c r="M450" s="36">
        <v>0</v>
      </c>
      <c r="N450" s="37">
        <f t="shared" si="92"/>
        <v>0</v>
      </c>
      <c r="O450" s="35">
        <f t="shared" ref="O450:O468" si="98">N450*2.13</f>
        <v>0</v>
      </c>
      <c r="P450" s="35">
        <f>K450+J450+O450</f>
        <v>0</v>
      </c>
      <c r="Q450" s="38">
        <f>G450+K450+O450</f>
        <v>0</v>
      </c>
      <c r="R450" s="39">
        <f>COUNTIF(RAW_DATA[[#This Row],[CONVERTED]],"&gt;0")</f>
        <v>0</v>
      </c>
      <c r="S450" s="39">
        <f>COUNTIFS(RAW_DATA[[#This Row],[AM/PM]],"AM",RAW_DATA[[#This Row],[CONVERTED]],"&gt;0")</f>
        <v>0</v>
      </c>
      <c r="T450" s="40">
        <f t="shared" si="90"/>
        <v>0</v>
      </c>
      <c r="U450" s="41" t="str">
        <f t="shared" ref="U450:U513" si="99">IF(AND(S450=1,T451=1,B450="AM"),"DOUBLE",IF(AND(S449=1,N450&gt;0),"DOUBLE","SINGLE"))</f>
        <v>SINGLE</v>
      </c>
    </row>
    <row r="451" spans="1:21" x14ac:dyDescent="0.35">
      <c r="A451" s="21">
        <f t="shared" si="91"/>
        <v>45315</v>
      </c>
      <c r="B451" s="22" t="str">
        <f t="shared" ref="B451:B468" si="100">IF(B450="AM","PM","AM")</f>
        <v>PM</v>
      </c>
      <c r="C451" s="23" t="str">
        <f t="shared" si="93"/>
        <v>January</v>
      </c>
      <c r="D451" s="13" t="str">
        <f t="shared" si="94"/>
        <v>WED</v>
      </c>
      <c r="E451" s="24">
        <v>1000</v>
      </c>
      <c r="F451" s="24">
        <v>200</v>
      </c>
      <c r="G451" s="24">
        <v>0</v>
      </c>
      <c r="H451" s="24">
        <f t="shared" si="95"/>
        <v>40</v>
      </c>
      <c r="I451" s="24">
        <f t="shared" si="96"/>
        <v>3.36</v>
      </c>
      <c r="J451" s="24">
        <v>0</v>
      </c>
      <c r="K451" s="24">
        <f t="shared" si="97"/>
        <v>156.63999999999999</v>
      </c>
      <c r="L451" s="25">
        <v>5</v>
      </c>
      <c r="M451" s="25">
        <v>0</v>
      </c>
      <c r="N451" s="26">
        <f t="shared" si="92"/>
        <v>5</v>
      </c>
      <c r="O451" s="24">
        <f t="shared" si="98"/>
        <v>10.649999999999999</v>
      </c>
      <c r="P451" s="35">
        <f>K451+J451+O451</f>
        <v>167.29</v>
      </c>
      <c r="Q451" s="38">
        <f>G451+K451+O451</f>
        <v>167.29</v>
      </c>
      <c r="R451" s="30">
        <f>COUNTIF(RAW_DATA[[#This Row],[CONVERTED]],"&gt;0")</f>
        <v>1</v>
      </c>
      <c r="S451" s="30">
        <f>COUNTIFS(RAW_DATA[[#This Row],[AM/PM]],"AM",RAW_DATA[[#This Row],[CONVERTED]],"&gt;0")</f>
        <v>0</v>
      </c>
      <c r="T451" s="19">
        <f t="shared" ref="T451:T514" si="101">IF(AND($S450=1,$N451&gt;0),1,0)</f>
        <v>0</v>
      </c>
      <c r="U451" s="20" t="str">
        <f t="shared" si="99"/>
        <v>SINGLE</v>
      </c>
    </row>
    <row r="452" spans="1:21" x14ac:dyDescent="0.35">
      <c r="A452" s="21">
        <f t="shared" ref="A452:A468" si="102">IF(B451 = "AM",A451,A451+1)</f>
        <v>45316</v>
      </c>
      <c r="B452" s="22" t="str">
        <f t="shared" si="100"/>
        <v>AM</v>
      </c>
      <c r="C452" s="23" t="str">
        <f t="shared" si="93"/>
        <v>January</v>
      </c>
      <c r="D452" s="13" t="str">
        <f t="shared" si="94"/>
        <v>THU</v>
      </c>
      <c r="E452" s="24">
        <v>0</v>
      </c>
      <c r="F452" s="24">
        <v>0</v>
      </c>
      <c r="G452" s="24">
        <v>0</v>
      </c>
      <c r="H452" s="24">
        <f t="shared" si="95"/>
        <v>0</v>
      </c>
      <c r="I452" s="24">
        <f t="shared" si="96"/>
        <v>0</v>
      </c>
      <c r="J452" s="24">
        <v>0</v>
      </c>
      <c r="K452" s="24">
        <f t="shared" si="97"/>
        <v>0</v>
      </c>
      <c r="L452" s="25">
        <v>0</v>
      </c>
      <c r="M452" s="25">
        <v>0</v>
      </c>
      <c r="N452" s="26">
        <f t="shared" si="92"/>
        <v>0</v>
      </c>
      <c r="O452" s="24">
        <f t="shared" si="98"/>
        <v>0</v>
      </c>
      <c r="P452" s="24">
        <f t="shared" ref="P452:P468" si="103">K452+J452+O452</f>
        <v>0</v>
      </c>
      <c r="Q452" s="29">
        <f t="shared" ref="Q452:Q468" si="104">G452+K452+O452</f>
        <v>0</v>
      </c>
      <c r="R452" s="30">
        <f>COUNTIF(RAW_DATA[[#This Row],[CONVERTED]],"&gt;0")</f>
        <v>0</v>
      </c>
      <c r="S452" s="30">
        <f>COUNTIFS(RAW_DATA[[#This Row],[AM/PM]],"AM",RAW_DATA[[#This Row],[CONVERTED]],"&gt;0")</f>
        <v>0</v>
      </c>
      <c r="T452" s="19">
        <f t="shared" si="101"/>
        <v>0</v>
      </c>
      <c r="U452" s="20" t="str">
        <f t="shared" si="99"/>
        <v>SINGLE</v>
      </c>
    </row>
    <row r="453" spans="1:21" x14ac:dyDescent="0.35">
      <c r="A453" s="21">
        <f t="shared" si="102"/>
        <v>45316</v>
      </c>
      <c r="B453" s="22" t="str">
        <f t="shared" si="100"/>
        <v>PM</v>
      </c>
      <c r="C453" s="23" t="str">
        <f t="shared" si="93"/>
        <v>January</v>
      </c>
      <c r="D453" s="13" t="str">
        <f t="shared" si="94"/>
        <v>THU</v>
      </c>
      <c r="E453" s="24">
        <v>1739</v>
      </c>
      <c r="F453" s="24">
        <v>339.47</v>
      </c>
      <c r="G453" s="24">
        <v>9</v>
      </c>
      <c r="H453" s="24">
        <f t="shared" si="95"/>
        <v>69.56</v>
      </c>
      <c r="I453" s="24">
        <f t="shared" si="96"/>
        <v>5.7030960000000004</v>
      </c>
      <c r="J453" s="24">
        <v>3.25</v>
      </c>
      <c r="K453" s="24">
        <f t="shared" si="97"/>
        <v>264.20690400000001</v>
      </c>
      <c r="L453" s="25">
        <v>6</v>
      </c>
      <c r="M453" s="25">
        <v>46</v>
      </c>
      <c r="N453" s="26">
        <f t="shared" si="92"/>
        <v>6.7666666666666666</v>
      </c>
      <c r="O453" s="24">
        <f t="shared" si="98"/>
        <v>14.412999999999998</v>
      </c>
      <c r="P453" s="24">
        <f t="shared" si="103"/>
        <v>281.86990400000002</v>
      </c>
      <c r="Q453" s="29">
        <f t="shared" si="104"/>
        <v>287.61990400000002</v>
      </c>
      <c r="R453" s="30">
        <f>COUNTIF(RAW_DATA[[#This Row],[CONVERTED]],"&gt;0")</f>
        <v>1</v>
      </c>
      <c r="S453" s="30">
        <f>COUNTIFS(RAW_DATA[[#This Row],[AM/PM]],"AM",RAW_DATA[[#This Row],[CONVERTED]],"&gt;0")</f>
        <v>0</v>
      </c>
      <c r="T453" s="19">
        <f t="shared" si="101"/>
        <v>0</v>
      </c>
      <c r="U453" s="20" t="str">
        <f t="shared" si="99"/>
        <v>SINGLE</v>
      </c>
    </row>
    <row r="454" spans="1:21" x14ac:dyDescent="0.35">
      <c r="A454" s="21">
        <f t="shared" si="102"/>
        <v>45317</v>
      </c>
      <c r="B454" s="22" t="str">
        <f t="shared" si="100"/>
        <v>AM</v>
      </c>
      <c r="C454" s="23" t="str">
        <f t="shared" si="93"/>
        <v>January</v>
      </c>
      <c r="D454" s="13" t="str">
        <f t="shared" si="94"/>
        <v>FRI</v>
      </c>
      <c r="E454" s="24">
        <v>0</v>
      </c>
      <c r="F454" s="24">
        <v>0</v>
      </c>
      <c r="G454" s="24">
        <v>0</v>
      </c>
      <c r="H454" s="24">
        <f t="shared" si="95"/>
        <v>0</v>
      </c>
      <c r="I454" s="24">
        <f t="shared" si="96"/>
        <v>0</v>
      </c>
      <c r="J454" s="24">
        <v>0</v>
      </c>
      <c r="K454" s="24">
        <f t="shared" si="97"/>
        <v>0</v>
      </c>
      <c r="L454" s="25">
        <v>0</v>
      </c>
      <c r="M454" s="25">
        <v>0</v>
      </c>
      <c r="N454" s="26">
        <f t="shared" si="92"/>
        <v>0</v>
      </c>
      <c r="O454" s="24">
        <f t="shared" si="98"/>
        <v>0</v>
      </c>
      <c r="P454" s="24">
        <f t="shared" si="103"/>
        <v>0</v>
      </c>
      <c r="Q454" s="29">
        <f t="shared" si="104"/>
        <v>0</v>
      </c>
      <c r="R454" s="30">
        <f>COUNTIF(RAW_DATA[[#This Row],[CONVERTED]],"&gt;0")</f>
        <v>0</v>
      </c>
      <c r="S454" s="30">
        <f>COUNTIFS(RAW_DATA[[#This Row],[AM/PM]],"AM",RAW_DATA[[#This Row],[CONVERTED]],"&gt;0")</f>
        <v>0</v>
      </c>
      <c r="T454" s="19">
        <f t="shared" si="101"/>
        <v>0</v>
      </c>
      <c r="U454" s="20" t="str">
        <f t="shared" si="99"/>
        <v>SINGLE</v>
      </c>
    </row>
    <row r="455" spans="1:21" x14ac:dyDescent="0.35">
      <c r="A455" s="21">
        <f t="shared" si="102"/>
        <v>45317</v>
      </c>
      <c r="B455" s="22" t="str">
        <f t="shared" si="100"/>
        <v>PM</v>
      </c>
      <c r="C455" s="23" t="str">
        <f t="shared" si="93"/>
        <v>January</v>
      </c>
      <c r="D455" s="13" t="str">
        <f t="shared" si="94"/>
        <v>FRI</v>
      </c>
      <c r="E455" s="24">
        <v>1224</v>
      </c>
      <c r="F455" s="24">
        <v>237.2</v>
      </c>
      <c r="G455" s="24">
        <v>0</v>
      </c>
      <c r="H455" s="24">
        <f t="shared" si="95"/>
        <v>48.96</v>
      </c>
      <c r="I455" s="24">
        <f t="shared" si="96"/>
        <v>3.9849599999999996</v>
      </c>
      <c r="J455" s="24">
        <v>0</v>
      </c>
      <c r="K455" s="24">
        <f t="shared" si="97"/>
        <v>184.25503999999998</v>
      </c>
      <c r="L455" s="25">
        <v>4</v>
      </c>
      <c r="M455" s="25">
        <v>42</v>
      </c>
      <c r="N455" s="26">
        <f t="shared" si="92"/>
        <v>4.7</v>
      </c>
      <c r="O455" s="24">
        <f t="shared" si="98"/>
        <v>10.010999999999999</v>
      </c>
      <c r="P455" s="24">
        <f t="shared" si="103"/>
        <v>194.26603999999998</v>
      </c>
      <c r="Q455" s="29">
        <f t="shared" si="104"/>
        <v>194.26603999999998</v>
      </c>
      <c r="R455" s="30">
        <f>COUNTIF(RAW_DATA[[#This Row],[CONVERTED]],"&gt;0")</f>
        <v>1</v>
      </c>
      <c r="S455" s="30">
        <f>COUNTIFS(RAW_DATA[[#This Row],[AM/PM]],"AM",RAW_DATA[[#This Row],[CONVERTED]],"&gt;0")</f>
        <v>0</v>
      </c>
      <c r="T455" s="19">
        <f t="shared" si="101"/>
        <v>0</v>
      </c>
      <c r="U455" s="20" t="str">
        <f t="shared" si="99"/>
        <v>SINGLE</v>
      </c>
    </row>
    <row r="456" spans="1:21" x14ac:dyDescent="0.35">
      <c r="A456" s="21">
        <f t="shared" si="102"/>
        <v>45318</v>
      </c>
      <c r="B456" s="22" t="str">
        <f t="shared" si="100"/>
        <v>AM</v>
      </c>
      <c r="C456" s="23" t="str">
        <f t="shared" si="93"/>
        <v>January</v>
      </c>
      <c r="D456" s="13" t="str">
        <f t="shared" si="94"/>
        <v>SAT</v>
      </c>
      <c r="E456" s="24">
        <v>1188.5</v>
      </c>
      <c r="F456" s="24">
        <v>190.71</v>
      </c>
      <c r="G456" s="24">
        <v>48</v>
      </c>
      <c r="H456" s="24">
        <f t="shared" si="95"/>
        <v>47.54</v>
      </c>
      <c r="I456" s="24">
        <f t="shared" si="96"/>
        <v>3.2039279999999999</v>
      </c>
      <c r="J456" s="24">
        <v>10</v>
      </c>
      <c r="K456" s="24">
        <f t="shared" si="97"/>
        <v>139.966072</v>
      </c>
      <c r="L456" s="25">
        <v>5</v>
      </c>
      <c r="M456" s="25">
        <v>6</v>
      </c>
      <c r="N456" s="26">
        <f t="shared" si="92"/>
        <v>5.0999999999999996</v>
      </c>
      <c r="O456" s="24">
        <f t="shared" si="98"/>
        <v>10.863</v>
      </c>
      <c r="P456" s="24">
        <f t="shared" si="103"/>
        <v>160.829072</v>
      </c>
      <c r="Q456" s="29">
        <f t="shared" si="104"/>
        <v>198.829072</v>
      </c>
      <c r="R456" s="30">
        <f>COUNTIF(RAW_DATA[[#This Row],[CONVERTED]],"&gt;0")</f>
        <v>1</v>
      </c>
      <c r="S456" s="30">
        <f>COUNTIFS(RAW_DATA[[#This Row],[AM/PM]],"AM",RAW_DATA[[#This Row],[CONVERTED]],"&gt;0")</f>
        <v>1</v>
      </c>
      <c r="T456" s="19">
        <f t="shared" si="101"/>
        <v>0</v>
      </c>
      <c r="U456" s="20" t="str">
        <f t="shared" si="99"/>
        <v>DOUBLE</v>
      </c>
    </row>
    <row r="457" spans="1:21" x14ac:dyDescent="0.35">
      <c r="A457" s="21">
        <f t="shared" si="102"/>
        <v>45318</v>
      </c>
      <c r="B457" s="22" t="str">
        <f t="shared" si="100"/>
        <v>PM</v>
      </c>
      <c r="C457" s="23" t="str">
        <f t="shared" si="93"/>
        <v>January</v>
      </c>
      <c r="D457" s="13" t="str">
        <f t="shared" si="94"/>
        <v>SAT</v>
      </c>
      <c r="E457" s="24">
        <v>1192.5</v>
      </c>
      <c r="F457" s="24">
        <v>240.91</v>
      </c>
      <c r="G457" s="24">
        <v>0</v>
      </c>
      <c r="H457" s="24">
        <f t="shared" si="95"/>
        <v>47.7</v>
      </c>
      <c r="I457" s="24">
        <f t="shared" si="96"/>
        <v>4.047288</v>
      </c>
      <c r="J457" s="24">
        <v>0</v>
      </c>
      <c r="K457" s="24">
        <f t="shared" si="97"/>
        <v>189.162712</v>
      </c>
      <c r="L457" s="25">
        <v>4</v>
      </c>
      <c r="M457" s="25">
        <v>22</v>
      </c>
      <c r="N457" s="26">
        <f t="shared" si="92"/>
        <v>4.3666666666666663</v>
      </c>
      <c r="O457" s="24">
        <f t="shared" si="98"/>
        <v>9.3009999999999984</v>
      </c>
      <c r="P457" s="24">
        <f t="shared" si="103"/>
        <v>198.46371199999999</v>
      </c>
      <c r="Q457" s="29">
        <f t="shared" si="104"/>
        <v>198.46371199999999</v>
      </c>
      <c r="R457" s="30">
        <f>COUNTIF(RAW_DATA[[#This Row],[CONVERTED]],"&gt;0")</f>
        <v>1</v>
      </c>
      <c r="S457" s="30">
        <f>COUNTIFS(RAW_DATA[[#This Row],[AM/PM]],"AM",RAW_DATA[[#This Row],[CONVERTED]],"&gt;0")</f>
        <v>0</v>
      </c>
      <c r="T457" s="19">
        <f t="shared" si="101"/>
        <v>1</v>
      </c>
      <c r="U457" s="20" t="str">
        <f t="shared" si="99"/>
        <v>DOUBLE</v>
      </c>
    </row>
    <row r="458" spans="1:21" x14ac:dyDescent="0.35">
      <c r="A458" s="21">
        <f t="shared" si="102"/>
        <v>45319</v>
      </c>
      <c r="B458" s="22" t="str">
        <f t="shared" si="100"/>
        <v>AM</v>
      </c>
      <c r="C458" s="23" t="str">
        <f t="shared" si="93"/>
        <v>January</v>
      </c>
      <c r="D458" s="13" t="str">
        <f t="shared" si="94"/>
        <v>SUN</v>
      </c>
      <c r="E458" s="24">
        <v>0</v>
      </c>
      <c r="F458" s="24">
        <v>0</v>
      </c>
      <c r="G458" s="24">
        <v>0</v>
      </c>
      <c r="H458" s="24">
        <f t="shared" si="95"/>
        <v>0</v>
      </c>
      <c r="I458" s="24">
        <f t="shared" si="96"/>
        <v>0</v>
      </c>
      <c r="J458" s="24">
        <v>0</v>
      </c>
      <c r="K458" s="24">
        <f t="shared" si="97"/>
        <v>0</v>
      </c>
      <c r="L458" s="25">
        <v>0</v>
      </c>
      <c r="M458" s="25">
        <v>0</v>
      </c>
      <c r="N458" s="26">
        <f t="shared" si="92"/>
        <v>0</v>
      </c>
      <c r="O458" s="24">
        <f t="shared" si="98"/>
        <v>0</v>
      </c>
      <c r="P458" s="24">
        <f t="shared" si="103"/>
        <v>0</v>
      </c>
      <c r="Q458" s="29">
        <f t="shared" si="104"/>
        <v>0</v>
      </c>
      <c r="R458" s="30">
        <f>COUNTIF(RAW_DATA[[#This Row],[CONVERTED]],"&gt;0")</f>
        <v>0</v>
      </c>
      <c r="S458" s="30">
        <f>COUNTIFS(RAW_DATA[[#This Row],[AM/PM]],"AM",RAW_DATA[[#This Row],[CONVERTED]],"&gt;0")</f>
        <v>0</v>
      </c>
      <c r="T458" s="19">
        <f t="shared" si="101"/>
        <v>0</v>
      </c>
      <c r="U458" s="20" t="str">
        <f t="shared" si="99"/>
        <v>SINGLE</v>
      </c>
    </row>
    <row r="459" spans="1:21" x14ac:dyDescent="0.35">
      <c r="A459" s="21">
        <f t="shared" si="102"/>
        <v>45319</v>
      </c>
      <c r="B459" s="22" t="str">
        <f t="shared" si="100"/>
        <v>PM</v>
      </c>
      <c r="C459" s="23" t="str">
        <f t="shared" si="93"/>
        <v>January</v>
      </c>
      <c r="D459" s="13" t="str">
        <f t="shared" si="94"/>
        <v>SUN</v>
      </c>
      <c r="E459" s="24">
        <v>908</v>
      </c>
      <c r="F459" s="24">
        <v>174.35</v>
      </c>
      <c r="G459" s="24">
        <v>0</v>
      </c>
      <c r="H459" s="24">
        <f t="shared" si="95"/>
        <v>36.32</v>
      </c>
      <c r="I459" s="24">
        <f t="shared" si="96"/>
        <v>2.9290799999999999</v>
      </c>
      <c r="J459" s="24">
        <v>0</v>
      </c>
      <c r="K459" s="24">
        <f t="shared" si="97"/>
        <v>135.10092</v>
      </c>
      <c r="L459" s="25">
        <v>4</v>
      </c>
      <c r="M459" s="25">
        <v>20</v>
      </c>
      <c r="N459" s="26">
        <f t="shared" si="92"/>
        <v>4.333333333333333</v>
      </c>
      <c r="O459" s="24">
        <f t="shared" si="98"/>
        <v>9.2299999999999986</v>
      </c>
      <c r="P459" s="24">
        <f t="shared" si="103"/>
        <v>144.33091999999999</v>
      </c>
      <c r="Q459" s="29">
        <f t="shared" si="104"/>
        <v>144.33091999999999</v>
      </c>
      <c r="R459" s="30">
        <f>COUNTIF(RAW_DATA[[#This Row],[CONVERTED]],"&gt;0")</f>
        <v>1</v>
      </c>
      <c r="S459" s="30">
        <f>COUNTIFS(RAW_DATA[[#This Row],[AM/PM]],"AM",RAW_DATA[[#This Row],[CONVERTED]],"&gt;0")</f>
        <v>0</v>
      </c>
      <c r="T459" s="19">
        <f t="shared" si="101"/>
        <v>0</v>
      </c>
      <c r="U459" s="20" t="str">
        <f t="shared" si="99"/>
        <v>SINGLE</v>
      </c>
    </row>
    <row r="460" spans="1:21" x14ac:dyDescent="0.35">
      <c r="A460" s="21">
        <f t="shared" si="102"/>
        <v>45320</v>
      </c>
      <c r="B460" s="22" t="str">
        <f t="shared" si="100"/>
        <v>AM</v>
      </c>
      <c r="C460" s="23" t="str">
        <f t="shared" si="93"/>
        <v>January</v>
      </c>
      <c r="D460" s="13" t="str">
        <f t="shared" si="94"/>
        <v>MON</v>
      </c>
      <c r="E460" s="24">
        <v>0</v>
      </c>
      <c r="F460" s="24">
        <v>0</v>
      </c>
      <c r="G460" s="24">
        <v>0</v>
      </c>
      <c r="H460" s="24">
        <f t="shared" si="95"/>
        <v>0</v>
      </c>
      <c r="I460" s="24">
        <f t="shared" si="96"/>
        <v>0</v>
      </c>
      <c r="J460" s="24">
        <v>0</v>
      </c>
      <c r="K460" s="24">
        <f t="shared" si="97"/>
        <v>0</v>
      </c>
      <c r="L460" s="25">
        <v>0</v>
      </c>
      <c r="M460" s="25">
        <v>0</v>
      </c>
      <c r="N460" s="26">
        <f t="shared" si="92"/>
        <v>0</v>
      </c>
      <c r="O460" s="24">
        <f t="shared" si="98"/>
        <v>0</v>
      </c>
      <c r="P460" s="24">
        <f t="shared" si="103"/>
        <v>0</v>
      </c>
      <c r="Q460" s="29">
        <f t="shared" si="104"/>
        <v>0</v>
      </c>
      <c r="R460" s="30">
        <f>COUNTIF(RAW_DATA[[#This Row],[CONVERTED]],"&gt;0")</f>
        <v>0</v>
      </c>
      <c r="S460" s="30">
        <f>COUNTIFS(RAW_DATA[[#This Row],[AM/PM]],"AM",RAW_DATA[[#This Row],[CONVERTED]],"&gt;0")</f>
        <v>0</v>
      </c>
      <c r="T460" s="19">
        <f t="shared" si="101"/>
        <v>0</v>
      </c>
      <c r="U460" s="20" t="str">
        <f t="shared" si="99"/>
        <v>SINGLE</v>
      </c>
    </row>
    <row r="461" spans="1:21" x14ac:dyDescent="0.35">
      <c r="A461" s="21">
        <f t="shared" si="102"/>
        <v>45320</v>
      </c>
      <c r="B461" s="22" t="str">
        <f t="shared" si="100"/>
        <v>PM</v>
      </c>
      <c r="C461" s="23" t="str">
        <f t="shared" si="93"/>
        <v>January</v>
      </c>
      <c r="D461" s="13" t="str">
        <f t="shared" si="94"/>
        <v>MON</v>
      </c>
      <c r="E461" s="24">
        <v>0</v>
      </c>
      <c r="F461" s="24">
        <v>0</v>
      </c>
      <c r="G461" s="24">
        <v>0</v>
      </c>
      <c r="H461" s="24">
        <f t="shared" si="95"/>
        <v>0</v>
      </c>
      <c r="I461" s="24">
        <f t="shared" si="96"/>
        <v>0</v>
      </c>
      <c r="J461" s="24">
        <v>0</v>
      </c>
      <c r="K461" s="24">
        <f t="shared" si="97"/>
        <v>0</v>
      </c>
      <c r="L461" s="25">
        <v>0</v>
      </c>
      <c r="M461" s="25">
        <v>0</v>
      </c>
      <c r="N461" s="26">
        <f t="shared" si="92"/>
        <v>0</v>
      </c>
      <c r="O461" s="24">
        <f t="shared" si="98"/>
        <v>0</v>
      </c>
      <c r="P461" s="24">
        <f t="shared" si="103"/>
        <v>0</v>
      </c>
      <c r="Q461" s="29">
        <f t="shared" si="104"/>
        <v>0</v>
      </c>
      <c r="R461" s="30">
        <f>COUNTIF(RAW_DATA[[#This Row],[CONVERTED]],"&gt;0")</f>
        <v>0</v>
      </c>
      <c r="S461" s="30">
        <f>COUNTIFS(RAW_DATA[[#This Row],[AM/PM]],"AM",RAW_DATA[[#This Row],[CONVERTED]],"&gt;0")</f>
        <v>0</v>
      </c>
      <c r="T461" s="19">
        <f t="shared" si="101"/>
        <v>0</v>
      </c>
      <c r="U461" s="20" t="str">
        <f t="shared" si="99"/>
        <v>SINGLE</v>
      </c>
    </row>
    <row r="462" spans="1:21" x14ac:dyDescent="0.35">
      <c r="A462" s="21">
        <f t="shared" si="102"/>
        <v>45321</v>
      </c>
      <c r="B462" s="22" t="str">
        <f t="shared" si="100"/>
        <v>AM</v>
      </c>
      <c r="C462" s="23" t="str">
        <f t="shared" si="93"/>
        <v>January</v>
      </c>
      <c r="D462" s="13" t="str">
        <f t="shared" si="94"/>
        <v>TUE</v>
      </c>
      <c r="E462" s="24">
        <v>0</v>
      </c>
      <c r="F462" s="24">
        <v>0</v>
      </c>
      <c r="G462" s="24">
        <v>0</v>
      </c>
      <c r="H462" s="24">
        <f t="shared" si="95"/>
        <v>0</v>
      </c>
      <c r="I462" s="24">
        <f t="shared" si="96"/>
        <v>0</v>
      </c>
      <c r="J462" s="24">
        <v>0</v>
      </c>
      <c r="K462" s="24">
        <f t="shared" si="97"/>
        <v>0</v>
      </c>
      <c r="L462" s="25">
        <v>0</v>
      </c>
      <c r="M462" s="25">
        <v>0</v>
      </c>
      <c r="N462" s="26">
        <f t="shared" si="92"/>
        <v>0</v>
      </c>
      <c r="O462" s="24">
        <f t="shared" si="98"/>
        <v>0</v>
      </c>
      <c r="P462" s="24">
        <f t="shared" si="103"/>
        <v>0</v>
      </c>
      <c r="Q462" s="29">
        <f t="shared" si="104"/>
        <v>0</v>
      </c>
      <c r="R462" s="30">
        <f>COUNTIF(RAW_DATA[[#This Row],[CONVERTED]],"&gt;0")</f>
        <v>0</v>
      </c>
      <c r="S462" s="30">
        <f>COUNTIFS(RAW_DATA[[#This Row],[AM/PM]],"AM",RAW_DATA[[#This Row],[CONVERTED]],"&gt;0")</f>
        <v>0</v>
      </c>
      <c r="T462" s="19">
        <f t="shared" si="101"/>
        <v>0</v>
      </c>
      <c r="U462" s="20" t="str">
        <f t="shared" si="99"/>
        <v>SINGLE</v>
      </c>
    </row>
    <row r="463" spans="1:21" x14ac:dyDescent="0.35">
      <c r="A463" s="31">
        <f t="shared" si="102"/>
        <v>45321</v>
      </c>
      <c r="B463" s="32" t="str">
        <f t="shared" si="100"/>
        <v>PM</v>
      </c>
      <c r="C463" s="33" t="str">
        <f t="shared" si="93"/>
        <v>January</v>
      </c>
      <c r="D463" s="34" t="str">
        <f t="shared" si="94"/>
        <v>TUE</v>
      </c>
      <c r="E463" s="35">
        <v>0</v>
      </c>
      <c r="F463" s="35">
        <v>0</v>
      </c>
      <c r="G463" s="35">
        <v>0</v>
      </c>
      <c r="H463" s="35">
        <f t="shared" si="95"/>
        <v>0</v>
      </c>
      <c r="I463" s="35">
        <f t="shared" si="96"/>
        <v>0</v>
      </c>
      <c r="J463" s="35">
        <v>0</v>
      </c>
      <c r="K463" s="35">
        <f t="shared" si="97"/>
        <v>0</v>
      </c>
      <c r="L463" s="36">
        <v>0</v>
      </c>
      <c r="M463" s="36">
        <v>0</v>
      </c>
      <c r="N463" s="37">
        <f t="shared" si="92"/>
        <v>0</v>
      </c>
      <c r="O463" s="35">
        <f t="shared" si="98"/>
        <v>0</v>
      </c>
      <c r="P463" s="35">
        <f t="shared" si="103"/>
        <v>0</v>
      </c>
      <c r="Q463" s="38">
        <f t="shared" si="104"/>
        <v>0</v>
      </c>
      <c r="R463" s="39">
        <f>COUNTIF(RAW_DATA[[#This Row],[CONVERTED]],"&gt;0")</f>
        <v>0</v>
      </c>
      <c r="S463" s="39">
        <f>COUNTIFS(RAW_DATA[[#This Row],[AM/PM]],"AM",RAW_DATA[[#This Row],[CONVERTED]],"&gt;0")</f>
        <v>0</v>
      </c>
      <c r="T463" s="40">
        <f t="shared" si="101"/>
        <v>0</v>
      </c>
      <c r="U463" s="41" t="str">
        <f t="shared" si="99"/>
        <v>SINGLE</v>
      </c>
    </row>
    <row r="464" spans="1:21" x14ac:dyDescent="0.35">
      <c r="A464" s="21">
        <f t="shared" si="102"/>
        <v>45322</v>
      </c>
      <c r="B464" s="22" t="str">
        <f t="shared" si="100"/>
        <v>AM</v>
      </c>
      <c r="C464" s="23" t="str">
        <f t="shared" si="93"/>
        <v>January</v>
      </c>
      <c r="D464" s="13" t="str">
        <f t="shared" si="94"/>
        <v>WED</v>
      </c>
      <c r="E464" s="24">
        <v>0</v>
      </c>
      <c r="F464" s="24">
        <v>0</v>
      </c>
      <c r="G464" s="24">
        <v>0</v>
      </c>
      <c r="H464" s="24">
        <f t="shared" si="95"/>
        <v>0</v>
      </c>
      <c r="I464" s="24">
        <f t="shared" si="96"/>
        <v>0</v>
      </c>
      <c r="J464" s="24">
        <v>0</v>
      </c>
      <c r="K464" s="24">
        <f t="shared" si="97"/>
        <v>0</v>
      </c>
      <c r="L464" s="25">
        <v>0</v>
      </c>
      <c r="M464" s="25">
        <v>0</v>
      </c>
      <c r="N464" s="26">
        <f t="shared" si="92"/>
        <v>0</v>
      </c>
      <c r="O464" s="24">
        <f t="shared" si="98"/>
        <v>0</v>
      </c>
      <c r="P464" s="24">
        <f t="shared" si="103"/>
        <v>0</v>
      </c>
      <c r="Q464" s="29">
        <f t="shared" si="104"/>
        <v>0</v>
      </c>
      <c r="R464" s="30">
        <f>COUNTIF(RAW_DATA[[#This Row],[CONVERTED]],"&gt;0")</f>
        <v>0</v>
      </c>
      <c r="S464" s="30">
        <f>COUNTIFS(RAW_DATA[[#This Row],[AM/PM]],"AM",RAW_DATA[[#This Row],[CONVERTED]],"&gt;0")</f>
        <v>0</v>
      </c>
      <c r="T464" s="19">
        <f t="shared" si="101"/>
        <v>0</v>
      </c>
      <c r="U464" s="20" t="str">
        <f t="shared" si="99"/>
        <v>SINGLE</v>
      </c>
    </row>
    <row r="465" spans="1:21" x14ac:dyDescent="0.35">
      <c r="A465" s="21">
        <f t="shared" si="102"/>
        <v>45322</v>
      </c>
      <c r="B465" s="22" t="str">
        <f t="shared" si="100"/>
        <v>PM</v>
      </c>
      <c r="C465" s="23" t="str">
        <f t="shared" si="93"/>
        <v>January</v>
      </c>
      <c r="D465" s="13" t="str">
        <f t="shared" si="94"/>
        <v>WED</v>
      </c>
      <c r="E465" s="24">
        <v>1320</v>
      </c>
      <c r="F465" s="24">
        <v>227.24</v>
      </c>
      <c r="G465" s="24">
        <v>0</v>
      </c>
      <c r="H465" s="24">
        <f t="shared" si="95"/>
        <v>52.800000000000004</v>
      </c>
      <c r="I465" s="24">
        <f t="shared" si="96"/>
        <v>3.8176320000000001</v>
      </c>
      <c r="J465" s="24">
        <v>0</v>
      </c>
      <c r="K465" s="24">
        <f t="shared" si="97"/>
        <v>170.62236799999999</v>
      </c>
      <c r="L465" s="25">
        <v>6</v>
      </c>
      <c r="M465" s="25">
        <v>16</v>
      </c>
      <c r="N465" s="26">
        <f>((L465*60)+M465)/60</f>
        <v>6.2666666666666666</v>
      </c>
      <c r="O465" s="24">
        <f t="shared" si="98"/>
        <v>13.347999999999999</v>
      </c>
      <c r="P465" s="24">
        <f t="shared" si="103"/>
        <v>183.97036800000001</v>
      </c>
      <c r="Q465" s="29">
        <f t="shared" si="104"/>
        <v>183.97036800000001</v>
      </c>
      <c r="R465" s="30">
        <f>COUNTIF(RAW_DATA[[#This Row],[CONVERTED]],"&gt;0")</f>
        <v>1</v>
      </c>
      <c r="S465" s="30">
        <f>COUNTIFS(RAW_DATA[[#This Row],[AM/PM]],"AM",RAW_DATA[[#This Row],[CONVERTED]],"&gt;0")</f>
        <v>0</v>
      </c>
      <c r="T465" s="19">
        <f t="shared" si="101"/>
        <v>0</v>
      </c>
      <c r="U465" s="20" t="str">
        <f t="shared" si="99"/>
        <v>SINGLE</v>
      </c>
    </row>
    <row r="466" spans="1:21" x14ac:dyDescent="0.35">
      <c r="A466" s="21">
        <f t="shared" si="102"/>
        <v>45323</v>
      </c>
      <c r="B466" s="22" t="str">
        <f t="shared" si="100"/>
        <v>AM</v>
      </c>
      <c r="C466" s="23" t="str">
        <f t="shared" si="93"/>
        <v>February</v>
      </c>
      <c r="D466" s="13" t="str">
        <f t="shared" si="94"/>
        <v>THU</v>
      </c>
      <c r="E466" s="24">
        <v>0</v>
      </c>
      <c r="F466" s="24">
        <v>0</v>
      </c>
      <c r="G466" s="24">
        <v>0</v>
      </c>
      <c r="H466" s="24">
        <f t="shared" si="95"/>
        <v>0</v>
      </c>
      <c r="I466" s="24">
        <f t="shared" si="96"/>
        <v>0</v>
      </c>
      <c r="J466" s="24">
        <v>0</v>
      </c>
      <c r="K466" s="24">
        <f t="shared" si="97"/>
        <v>0</v>
      </c>
      <c r="L466" s="25">
        <v>0</v>
      </c>
      <c r="M466" s="25">
        <v>0</v>
      </c>
      <c r="N466" s="26">
        <f>((L466*60)+M466)/60</f>
        <v>0</v>
      </c>
      <c r="O466" s="24">
        <f t="shared" si="98"/>
        <v>0</v>
      </c>
      <c r="P466" s="24">
        <f t="shared" si="103"/>
        <v>0</v>
      </c>
      <c r="Q466" s="29">
        <f t="shared" si="104"/>
        <v>0</v>
      </c>
      <c r="R466" s="30">
        <f>COUNTIF(RAW_DATA[[#This Row],[CONVERTED]],"&gt;0")</f>
        <v>0</v>
      </c>
      <c r="S466" s="30">
        <f>COUNTIFS(RAW_DATA[[#This Row],[AM/PM]],"AM",RAW_DATA[[#This Row],[CONVERTED]],"&gt;0")</f>
        <v>0</v>
      </c>
      <c r="T466" s="19">
        <f t="shared" si="101"/>
        <v>0</v>
      </c>
      <c r="U466" s="20" t="str">
        <f t="shared" si="99"/>
        <v>SINGLE</v>
      </c>
    </row>
    <row r="467" spans="1:21" x14ac:dyDescent="0.35">
      <c r="A467" s="21">
        <f t="shared" si="102"/>
        <v>45323</v>
      </c>
      <c r="B467" s="22" t="str">
        <f t="shared" si="100"/>
        <v>PM</v>
      </c>
      <c r="C467" s="23" t="str">
        <f t="shared" si="93"/>
        <v>February</v>
      </c>
      <c r="D467" s="13" t="str">
        <f t="shared" si="94"/>
        <v>THU</v>
      </c>
      <c r="E467" s="24">
        <v>1451.5</v>
      </c>
      <c r="F467" s="24">
        <v>227.86</v>
      </c>
      <c r="G467" s="24">
        <v>61</v>
      </c>
      <c r="H467" s="24">
        <f t="shared" si="95"/>
        <v>58.06</v>
      </c>
      <c r="I467" s="24">
        <f t="shared" si="96"/>
        <v>3.8280479999999999</v>
      </c>
      <c r="J467" s="24">
        <v>10.96</v>
      </c>
      <c r="K467" s="24">
        <f t="shared" si="97"/>
        <v>165.97195200000002</v>
      </c>
      <c r="L467" s="25">
        <v>6</v>
      </c>
      <c r="M467" s="25">
        <v>38</v>
      </c>
      <c r="N467" s="26">
        <f>((L467*60)+M467)/60</f>
        <v>6.6333333333333337</v>
      </c>
      <c r="O467" s="24">
        <f t="shared" si="98"/>
        <v>14.129</v>
      </c>
      <c r="P467" s="24">
        <f t="shared" si="103"/>
        <v>191.06095200000001</v>
      </c>
      <c r="Q467" s="29">
        <f t="shared" si="104"/>
        <v>241.10095200000001</v>
      </c>
      <c r="R467" s="30">
        <f>COUNTIF(RAW_DATA[[#This Row],[CONVERTED]],"&gt;0")</f>
        <v>1</v>
      </c>
      <c r="S467" s="30">
        <f>COUNTIFS(RAW_DATA[[#This Row],[AM/PM]],"AM",RAW_DATA[[#This Row],[CONVERTED]],"&gt;0")</f>
        <v>0</v>
      </c>
      <c r="T467" s="19">
        <f t="shared" si="101"/>
        <v>0</v>
      </c>
      <c r="U467" s="20" t="str">
        <f t="shared" si="99"/>
        <v>SINGLE</v>
      </c>
    </row>
    <row r="468" spans="1:21" x14ac:dyDescent="0.35">
      <c r="A468" s="21">
        <f t="shared" si="102"/>
        <v>45324</v>
      </c>
      <c r="B468" s="22" t="str">
        <f t="shared" si="100"/>
        <v>AM</v>
      </c>
      <c r="C468" s="23" t="str">
        <f t="shared" si="93"/>
        <v>February</v>
      </c>
      <c r="D468" s="13" t="str">
        <f t="shared" si="94"/>
        <v>FRI</v>
      </c>
      <c r="E468" s="24">
        <v>0</v>
      </c>
      <c r="F468" s="24">
        <v>0</v>
      </c>
      <c r="G468" s="24">
        <v>0</v>
      </c>
      <c r="H468" s="24">
        <f t="shared" si="95"/>
        <v>0</v>
      </c>
      <c r="I468" s="24">
        <f t="shared" si="96"/>
        <v>0</v>
      </c>
      <c r="J468" s="24">
        <v>0</v>
      </c>
      <c r="K468" s="24">
        <f t="shared" si="97"/>
        <v>0</v>
      </c>
      <c r="L468" s="25">
        <v>0</v>
      </c>
      <c r="M468" s="25">
        <v>0</v>
      </c>
      <c r="N468" s="26">
        <f>((L468*60)+M468)/60</f>
        <v>0</v>
      </c>
      <c r="O468" s="24">
        <f t="shared" si="98"/>
        <v>0</v>
      </c>
      <c r="P468" s="24">
        <f t="shared" si="103"/>
        <v>0</v>
      </c>
      <c r="Q468" s="29">
        <f t="shared" si="104"/>
        <v>0</v>
      </c>
      <c r="R468" s="30">
        <f>COUNTIF(RAW_DATA[[#This Row],[CONVERTED]],"&gt;0")</f>
        <v>0</v>
      </c>
      <c r="S468" s="30">
        <f>COUNTIFS(RAW_DATA[[#This Row],[AM/PM]],"AM",RAW_DATA[[#This Row],[CONVERTED]],"&gt;0")</f>
        <v>0</v>
      </c>
      <c r="T468" s="19">
        <f t="shared" si="101"/>
        <v>0</v>
      </c>
      <c r="U468" s="20" t="str">
        <f t="shared" si="99"/>
        <v>SINGLE</v>
      </c>
    </row>
    <row r="469" spans="1:21" x14ac:dyDescent="0.35">
      <c r="A469" s="21">
        <f>IF(B468 = "AM",A468,A468+1)</f>
        <v>45324</v>
      </c>
      <c r="B469" s="22" t="str">
        <f>IF(B468="AM","PM","AM")</f>
        <v>PM</v>
      </c>
      <c r="C469" s="23" t="str">
        <f>TEXT(A469,"mmmm")</f>
        <v>February</v>
      </c>
      <c r="D469" s="13" t="str">
        <f t="shared" si="94"/>
        <v>FRI</v>
      </c>
      <c r="E469" s="24">
        <v>1462</v>
      </c>
      <c r="F469" s="24">
        <v>268.33</v>
      </c>
      <c r="G469" s="24">
        <v>54</v>
      </c>
      <c r="H469" s="24">
        <f>E469*0.04</f>
        <v>58.480000000000004</v>
      </c>
      <c r="I469" s="24">
        <f>F469*0.0168</f>
        <v>4.5079439999999993</v>
      </c>
      <c r="J469" s="24">
        <v>13.75</v>
      </c>
      <c r="K469" s="24">
        <f>F469-(H469+I469)</f>
        <v>205.34205599999999</v>
      </c>
      <c r="L469" s="25">
        <v>7</v>
      </c>
      <c r="M469" s="25">
        <v>58</v>
      </c>
      <c r="N469" s="26">
        <f>((L469*60)+M469)/60</f>
        <v>7.9666666666666668</v>
      </c>
      <c r="O469" s="24">
        <f>N469*2.13</f>
        <v>16.968999999999998</v>
      </c>
      <c r="P469" s="24">
        <f>K469+J469+O469</f>
        <v>236.06105599999998</v>
      </c>
      <c r="Q469" s="29">
        <f>G469+K469+O469</f>
        <v>276.31105599999995</v>
      </c>
      <c r="R469" s="30">
        <f>COUNTIF(RAW_DATA[[#This Row],[CONVERTED]],"&gt;0")</f>
        <v>1</v>
      </c>
      <c r="S469" s="30">
        <f>COUNTIFS(RAW_DATA[[#This Row],[AM/PM]],"AM",RAW_DATA[[#This Row],[CONVERTED]],"&gt;0")</f>
        <v>0</v>
      </c>
      <c r="T469" s="19">
        <f t="shared" si="101"/>
        <v>0</v>
      </c>
      <c r="U469" s="20" t="str">
        <f t="shared" si="99"/>
        <v>SINGLE</v>
      </c>
    </row>
    <row r="470" spans="1:21" x14ac:dyDescent="0.35">
      <c r="A470" s="21">
        <f t="shared" ref="A470:A476" si="105">IF(B469 = "AM",A469,A469+1)</f>
        <v>45325</v>
      </c>
      <c r="B470" s="22" t="str">
        <f t="shared" ref="B470:B476" si="106">IF(B469="AM","PM","AM")</f>
        <v>AM</v>
      </c>
      <c r="C470" s="23" t="str">
        <f t="shared" ref="C470:C476" si="107">TEXT(A470,"mmmm")</f>
        <v>February</v>
      </c>
      <c r="D470" s="13" t="str">
        <f t="shared" si="94"/>
        <v>SAT</v>
      </c>
      <c r="E470" s="24">
        <v>207</v>
      </c>
      <c r="F470" s="24">
        <v>30.09</v>
      </c>
      <c r="G470" s="24">
        <v>16</v>
      </c>
      <c r="H470" s="24">
        <f t="shared" ref="H470:H476" si="108">E470*0.04</f>
        <v>8.2799999999999994</v>
      </c>
      <c r="I470" s="24">
        <f t="shared" ref="I470:I476" si="109">F470*0.0168</f>
        <v>0.50551199999999996</v>
      </c>
      <c r="J470" s="24">
        <v>6.08</v>
      </c>
      <c r="K470" s="24">
        <f t="shared" ref="K470:K476" si="110">F470-(H470+I470)</f>
        <v>21.304487999999999</v>
      </c>
      <c r="L470" s="25">
        <v>2</v>
      </c>
      <c r="M470" s="25">
        <v>44</v>
      </c>
      <c r="N470" s="26">
        <f t="shared" ref="N470:N476" si="111">((L470*60)+M470)/60</f>
        <v>2.7333333333333334</v>
      </c>
      <c r="O470" s="24">
        <f t="shared" ref="O470:O476" si="112">N470*2.13</f>
        <v>5.8220000000000001</v>
      </c>
      <c r="P470" s="24">
        <f t="shared" ref="P470:P476" si="113">K470+J470+O470</f>
        <v>33.206488</v>
      </c>
      <c r="Q470" s="29">
        <f t="shared" ref="Q470:Q476" si="114">G470+K470+O470</f>
        <v>43.126488000000002</v>
      </c>
      <c r="R470" s="30">
        <f>COUNTIF(RAW_DATA[[#This Row],[CONVERTED]],"&gt;0")</f>
        <v>1</v>
      </c>
      <c r="S470" s="30">
        <f>COUNTIFS(RAW_DATA[[#This Row],[AM/PM]],"AM",RAW_DATA[[#This Row],[CONVERTED]],"&gt;0")</f>
        <v>1</v>
      </c>
      <c r="T470" s="19">
        <f t="shared" si="101"/>
        <v>0</v>
      </c>
      <c r="U470" s="20" t="str">
        <f t="shared" si="99"/>
        <v>SINGLE</v>
      </c>
    </row>
    <row r="471" spans="1:21" x14ac:dyDescent="0.35">
      <c r="A471" s="21">
        <f t="shared" si="105"/>
        <v>45325</v>
      </c>
      <c r="B471" s="22" t="str">
        <f t="shared" si="106"/>
        <v>PM</v>
      </c>
      <c r="C471" s="23" t="str">
        <f t="shared" si="107"/>
        <v>February</v>
      </c>
      <c r="D471" s="13" t="str">
        <f t="shared" si="94"/>
        <v>SAT</v>
      </c>
      <c r="E471" s="24">
        <v>0</v>
      </c>
      <c r="F471" s="24">
        <v>0</v>
      </c>
      <c r="G471" s="24">
        <v>0</v>
      </c>
      <c r="H471" s="24">
        <f t="shared" si="108"/>
        <v>0</v>
      </c>
      <c r="I471" s="24">
        <f t="shared" si="109"/>
        <v>0</v>
      </c>
      <c r="J471" s="24">
        <v>0</v>
      </c>
      <c r="K471" s="24">
        <f t="shared" si="110"/>
        <v>0</v>
      </c>
      <c r="L471" s="25">
        <v>0</v>
      </c>
      <c r="M471" s="25">
        <v>0</v>
      </c>
      <c r="N471" s="26">
        <f t="shared" si="111"/>
        <v>0</v>
      </c>
      <c r="O471" s="24">
        <f t="shared" si="112"/>
        <v>0</v>
      </c>
      <c r="P471" s="24">
        <f t="shared" si="113"/>
        <v>0</v>
      </c>
      <c r="Q471" s="29">
        <f t="shared" si="114"/>
        <v>0</v>
      </c>
      <c r="R471" s="30">
        <f>COUNTIF(RAW_DATA[[#This Row],[CONVERTED]],"&gt;0")</f>
        <v>0</v>
      </c>
      <c r="S471" s="30">
        <f>COUNTIFS(RAW_DATA[[#This Row],[AM/PM]],"AM",RAW_DATA[[#This Row],[CONVERTED]],"&gt;0")</f>
        <v>0</v>
      </c>
      <c r="T471" s="19">
        <f t="shared" si="101"/>
        <v>0</v>
      </c>
      <c r="U471" s="20" t="str">
        <f t="shared" si="99"/>
        <v>SINGLE</v>
      </c>
    </row>
    <row r="472" spans="1:21" x14ac:dyDescent="0.35">
      <c r="A472" s="21">
        <f t="shared" si="105"/>
        <v>45326</v>
      </c>
      <c r="B472" s="22" t="str">
        <f t="shared" si="106"/>
        <v>AM</v>
      </c>
      <c r="C472" s="23" t="str">
        <f t="shared" si="107"/>
        <v>February</v>
      </c>
      <c r="D472" s="13" t="str">
        <f t="shared" si="94"/>
        <v>SUN</v>
      </c>
      <c r="E472" s="24">
        <v>0</v>
      </c>
      <c r="F472" s="24">
        <v>0</v>
      </c>
      <c r="G472" s="24">
        <v>0</v>
      </c>
      <c r="H472" s="24">
        <f t="shared" si="108"/>
        <v>0</v>
      </c>
      <c r="I472" s="24">
        <f t="shared" si="109"/>
        <v>0</v>
      </c>
      <c r="J472" s="24">
        <v>0</v>
      </c>
      <c r="K472" s="24">
        <f t="shared" si="110"/>
        <v>0</v>
      </c>
      <c r="L472" s="25">
        <v>0</v>
      </c>
      <c r="M472" s="25">
        <v>0</v>
      </c>
      <c r="N472" s="26">
        <f t="shared" si="111"/>
        <v>0</v>
      </c>
      <c r="O472" s="24">
        <f t="shared" si="112"/>
        <v>0</v>
      </c>
      <c r="P472" s="24">
        <f t="shared" si="113"/>
        <v>0</v>
      </c>
      <c r="Q472" s="29">
        <f t="shared" si="114"/>
        <v>0</v>
      </c>
      <c r="R472" s="30">
        <f>COUNTIF(RAW_DATA[[#This Row],[CONVERTED]],"&gt;0")</f>
        <v>0</v>
      </c>
      <c r="S472" s="30">
        <f>COUNTIFS(RAW_DATA[[#This Row],[AM/PM]],"AM",RAW_DATA[[#This Row],[CONVERTED]],"&gt;0")</f>
        <v>0</v>
      </c>
      <c r="T472" s="19">
        <f t="shared" si="101"/>
        <v>0</v>
      </c>
      <c r="U472" s="20" t="str">
        <f t="shared" si="99"/>
        <v>SINGLE</v>
      </c>
    </row>
    <row r="473" spans="1:21" x14ac:dyDescent="0.35">
      <c r="A473" s="21">
        <f t="shared" si="105"/>
        <v>45326</v>
      </c>
      <c r="B473" s="22" t="str">
        <f t="shared" si="106"/>
        <v>PM</v>
      </c>
      <c r="C473" s="23" t="str">
        <f t="shared" si="107"/>
        <v>February</v>
      </c>
      <c r="D473" s="13" t="str">
        <f t="shared" si="94"/>
        <v>SUN</v>
      </c>
      <c r="E473" s="24">
        <v>1094.5</v>
      </c>
      <c r="F473" s="24">
        <v>170.05</v>
      </c>
      <c r="G473" s="24">
        <v>56</v>
      </c>
      <c r="H473" s="24">
        <f t="shared" si="108"/>
        <v>43.78</v>
      </c>
      <c r="I473" s="24">
        <f t="shared" si="109"/>
        <v>2.85684</v>
      </c>
      <c r="J473" s="24">
        <v>16.28</v>
      </c>
      <c r="K473" s="24">
        <f t="shared" si="110"/>
        <v>123.41316</v>
      </c>
      <c r="L473" s="25">
        <v>4</v>
      </c>
      <c r="M473" s="25">
        <v>0</v>
      </c>
      <c r="N473" s="26">
        <f t="shared" si="111"/>
        <v>4</v>
      </c>
      <c r="O473" s="24">
        <f t="shared" si="112"/>
        <v>8.52</v>
      </c>
      <c r="P473" s="24">
        <f t="shared" si="113"/>
        <v>148.21316000000002</v>
      </c>
      <c r="Q473" s="29">
        <f t="shared" si="114"/>
        <v>187.93316000000002</v>
      </c>
      <c r="R473" s="30">
        <f>COUNTIF(RAW_DATA[[#This Row],[CONVERTED]],"&gt;0")</f>
        <v>1</v>
      </c>
      <c r="S473" s="30">
        <f>COUNTIFS(RAW_DATA[[#This Row],[AM/PM]],"AM",RAW_DATA[[#This Row],[CONVERTED]],"&gt;0")</f>
        <v>0</v>
      </c>
      <c r="T473" s="19">
        <f t="shared" si="101"/>
        <v>0</v>
      </c>
      <c r="U473" s="20" t="str">
        <f t="shared" si="99"/>
        <v>SINGLE</v>
      </c>
    </row>
    <row r="474" spans="1:21" x14ac:dyDescent="0.35">
      <c r="A474" s="21">
        <f t="shared" si="105"/>
        <v>45327</v>
      </c>
      <c r="B474" s="22" t="str">
        <f t="shared" si="106"/>
        <v>AM</v>
      </c>
      <c r="C474" s="23" t="str">
        <f t="shared" si="107"/>
        <v>February</v>
      </c>
      <c r="D474" s="13" t="str">
        <f t="shared" si="94"/>
        <v>MON</v>
      </c>
      <c r="E474" s="24">
        <v>334</v>
      </c>
      <c r="F474" s="24">
        <v>55.57</v>
      </c>
      <c r="G474" s="24">
        <v>11</v>
      </c>
      <c r="H474" s="24">
        <f t="shared" si="108"/>
        <v>13.36</v>
      </c>
      <c r="I474" s="24">
        <f t="shared" si="109"/>
        <v>0.93357599999999996</v>
      </c>
      <c r="J474" s="24">
        <v>2.4</v>
      </c>
      <c r="K474" s="24">
        <f t="shared" si="110"/>
        <v>41.276423999999999</v>
      </c>
      <c r="L474" s="25">
        <v>2</v>
      </c>
      <c r="M474" s="25">
        <v>31</v>
      </c>
      <c r="N474" s="26">
        <f t="shared" si="111"/>
        <v>2.5166666666666666</v>
      </c>
      <c r="O474" s="24">
        <f t="shared" si="112"/>
        <v>5.3605</v>
      </c>
      <c r="P474" s="24">
        <f t="shared" si="113"/>
        <v>49.036923999999999</v>
      </c>
      <c r="Q474" s="29">
        <f t="shared" si="114"/>
        <v>57.636924</v>
      </c>
      <c r="R474" s="30">
        <f>COUNTIF(RAW_DATA[[#This Row],[CONVERTED]],"&gt;0")</f>
        <v>1</v>
      </c>
      <c r="S474" s="30">
        <f>COUNTIFS(RAW_DATA[[#This Row],[AM/PM]],"AM",RAW_DATA[[#This Row],[CONVERTED]],"&gt;0")</f>
        <v>1</v>
      </c>
      <c r="T474" s="19">
        <f t="shared" si="101"/>
        <v>0</v>
      </c>
      <c r="U474" s="20" t="str">
        <f t="shared" si="99"/>
        <v>DOUBLE</v>
      </c>
    </row>
    <row r="475" spans="1:21" x14ac:dyDescent="0.35">
      <c r="A475" s="21">
        <f t="shared" si="105"/>
        <v>45327</v>
      </c>
      <c r="B475" s="22" t="str">
        <f t="shared" si="106"/>
        <v>PM</v>
      </c>
      <c r="C475" s="23" t="str">
        <f t="shared" si="107"/>
        <v>February</v>
      </c>
      <c r="D475" s="13" t="str">
        <f t="shared" si="94"/>
        <v>MON</v>
      </c>
      <c r="E475" s="24">
        <v>1044</v>
      </c>
      <c r="F475" s="24">
        <v>178.2</v>
      </c>
      <c r="G475" s="24">
        <v>41</v>
      </c>
      <c r="H475" s="24">
        <f t="shared" si="108"/>
        <v>41.76</v>
      </c>
      <c r="I475" s="24">
        <f t="shared" si="109"/>
        <v>2.9937599999999995</v>
      </c>
      <c r="J475" s="24">
        <v>6.48</v>
      </c>
      <c r="K475" s="24">
        <f t="shared" si="110"/>
        <v>133.44623999999999</v>
      </c>
      <c r="L475" s="25">
        <v>4</v>
      </c>
      <c r="M475" s="25">
        <v>32</v>
      </c>
      <c r="N475" s="26">
        <f t="shared" si="111"/>
        <v>4.5333333333333332</v>
      </c>
      <c r="O475" s="24">
        <f t="shared" si="112"/>
        <v>9.6559999999999988</v>
      </c>
      <c r="P475" s="24">
        <f t="shared" si="113"/>
        <v>149.58223999999998</v>
      </c>
      <c r="Q475" s="29">
        <f t="shared" si="114"/>
        <v>184.10223999999999</v>
      </c>
      <c r="R475" s="30">
        <f>COUNTIF(RAW_DATA[[#This Row],[CONVERTED]],"&gt;0")</f>
        <v>1</v>
      </c>
      <c r="S475" s="30">
        <f>COUNTIFS(RAW_DATA[[#This Row],[AM/PM]],"AM",RAW_DATA[[#This Row],[CONVERTED]],"&gt;0")</f>
        <v>0</v>
      </c>
      <c r="T475" s="19">
        <f t="shared" si="101"/>
        <v>1</v>
      </c>
      <c r="U475" s="20" t="str">
        <f t="shared" si="99"/>
        <v>DOUBLE</v>
      </c>
    </row>
    <row r="476" spans="1:21" x14ac:dyDescent="0.35">
      <c r="A476" s="21">
        <f t="shared" si="105"/>
        <v>45328</v>
      </c>
      <c r="B476" s="22" t="str">
        <f t="shared" si="106"/>
        <v>AM</v>
      </c>
      <c r="C476" s="23" t="str">
        <f t="shared" si="107"/>
        <v>February</v>
      </c>
      <c r="D476" s="13" t="str">
        <f t="shared" si="94"/>
        <v>TUE</v>
      </c>
      <c r="E476" s="24">
        <v>0</v>
      </c>
      <c r="F476" s="24">
        <v>0</v>
      </c>
      <c r="G476" s="24">
        <v>0</v>
      </c>
      <c r="H476" s="24">
        <f t="shared" si="108"/>
        <v>0</v>
      </c>
      <c r="I476" s="24">
        <f t="shared" si="109"/>
        <v>0</v>
      </c>
      <c r="J476" s="24">
        <v>0</v>
      </c>
      <c r="K476" s="24">
        <f t="shared" si="110"/>
        <v>0</v>
      </c>
      <c r="L476" s="25">
        <v>0</v>
      </c>
      <c r="M476" s="25">
        <v>0</v>
      </c>
      <c r="N476" s="26">
        <f t="shared" si="111"/>
        <v>0</v>
      </c>
      <c r="O476" s="24">
        <f t="shared" si="112"/>
        <v>0</v>
      </c>
      <c r="P476" s="24">
        <f t="shared" si="113"/>
        <v>0</v>
      </c>
      <c r="Q476" s="29">
        <f t="shared" si="114"/>
        <v>0</v>
      </c>
      <c r="R476" s="30">
        <f>COUNTIF(RAW_DATA[[#This Row],[CONVERTED]],"&gt;0")</f>
        <v>0</v>
      </c>
      <c r="S476" s="30">
        <f>COUNTIFS(RAW_DATA[[#This Row],[AM/PM]],"AM",RAW_DATA[[#This Row],[CONVERTED]],"&gt;0")</f>
        <v>0</v>
      </c>
      <c r="T476" s="19">
        <f t="shared" si="101"/>
        <v>0</v>
      </c>
      <c r="U476" s="20" t="str">
        <f t="shared" si="99"/>
        <v>SINGLE</v>
      </c>
    </row>
    <row r="477" spans="1:21" x14ac:dyDescent="0.35">
      <c r="A477" s="21">
        <f>IF(B476 = "AM",A476,A476+1)</f>
        <v>45328</v>
      </c>
      <c r="B477" s="22" t="str">
        <f>IF(B476="AM","PM","AM")</f>
        <v>PM</v>
      </c>
      <c r="C477" s="23" t="str">
        <f>TEXT(A477,"mmmm")</f>
        <v>February</v>
      </c>
      <c r="D477" s="13" t="str">
        <f t="shared" si="94"/>
        <v>TUE</v>
      </c>
      <c r="E477" s="24">
        <v>0</v>
      </c>
      <c r="F477" s="24">
        <v>0</v>
      </c>
      <c r="G477" s="24">
        <v>0</v>
      </c>
      <c r="H477" s="24">
        <f>E477*0.04</f>
        <v>0</v>
      </c>
      <c r="I477" s="24">
        <f>F477*0.0168</f>
        <v>0</v>
      </c>
      <c r="J477" s="24">
        <v>0</v>
      </c>
      <c r="K477" s="24">
        <f>F477-(H477+I477)</f>
        <v>0</v>
      </c>
      <c r="L477" s="25">
        <v>0</v>
      </c>
      <c r="M477" s="25">
        <v>0</v>
      </c>
      <c r="N477" s="26">
        <f>((L477*60)+M477)/60</f>
        <v>0</v>
      </c>
      <c r="O477" s="24">
        <f>N477*2.13</f>
        <v>0</v>
      </c>
      <c r="P477" s="24">
        <f>K477+J477+O477</f>
        <v>0</v>
      </c>
      <c r="Q477" s="29">
        <f>G477+K477+O477</f>
        <v>0</v>
      </c>
      <c r="R477" s="30">
        <f>COUNTIF(RAW_DATA[[#This Row],[CONVERTED]],"&gt;0")</f>
        <v>0</v>
      </c>
      <c r="S477" s="30">
        <f>COUNTIFS(RAW_DATA[[#This Row],[AM/PM]],"AM",RAW_DATA[[#This Row],[CONVERTED]],"&gt;0")</f>
        <v>0</v>
      </c>
      <c r="T477" s="19">
        <f t="shared" si="101"/>
        <v>0</v>
      </c>
      <c r="U477" s="20" t="str">
        <f t="shared" si="99"/>
        <v>SINGLE</v>
      </c>
    </row>
    <row r="478" spans="1:21" x14ac:dyDescent="0.35">
      <c r="A478" s="21">
        <f>IF(B477 = "AM",A477,A477+1)</f>
        <v>45329</v>
      </c>
      <c r="B478" s="22" t="str">
        <f>IF(B477="AM","PM","AM")</f>
        <v>AM</v>
      </c>
      <c r="C478" s="23" t="str">
        <f>TEXT(A478,"mmmm")</f>
        <v>February</v>
      </c>
      <c r="D478" s="13" t="str">
        <f t="shared" si="94"/>
        <v>WED</v>
      </c>
      <c r="E478" s="24">
        <v>980</v>
      </c>
      <c r="F478" s="24">
        <v>205.09</v>
      </c>
      <c r="G478" s="24">
        <v>50</v>
      </c>
      <c r="H478" s="24">
        <f>E478*0.04</f>
        <v>39.200000000000003</v>
      </c>
      <c r="I478" s="24">
        <f>F478*0.0168</f>
        <v>3.4455119999999999</v>
      </c>
      <c r="J478" s="24">
        <v>0</v>
      </c>
      <c r="K478" s="24">
        <f>F478-(H478+I478)</f>
        <v>162.44448800000001</v>
      </c>
      <c r="L478" s="25">
        <v>3</v>
      </c>
      <c r="M478" s="25">
        <v>47</v>
      </c>
      <c r="N478" s="26">
        <f>((L478*60)+M478)/60</f>
        <v>3.7833333333333332</v>
      </c>
      <c r="O478" s="24">
        <f>N478*2.13</f>
        <v>8.0584999999999987</v>
      </c>
      <c r="P478" s="24">
        <f>K478+J478+O478</f>
        <v>170.50298800000002</v>
      </c>
      <c r="Q478" s="29">
        <f>G478+K478+O478</f>
        <v>220.50298800000002</v>
      </c>
      <c r="R478" s="30">
        <f>COUNTIF(RAW_DATA[[#This Row],[CONVERTED]],"&gt;0")</f>
        <v>1</v>
      </c>
      <c r="S478" s="30">
        <f>COUNTIFS(RAW_DATA[[#This Row],[AM/PM]],"AM",RAW_DATA[[#This Row],[CONVERTED]],"&gt;0")</f>
        <v>1</v>
      </c>
      <c r="T478" s="19">
        <f t="shared" si="101"/>
        <v>0</v>
      </c>
      <c r="U478" s="20" t="str">
        <f t="shared" si="99"/>
        <v>DOUBLE</v>
      </c>
    </row>
    <row r="479" spans="1:21" x14ac:dyDescent="0.35">
      <c r="A479" s="21">
        <f t="shared" ref="A479:A492" si="115">IF(B478 = "AM",A478,A478+1)</f>
        <v>45329</v>
      </c>
      <c r="B479" s="22" t="str">
        <f t="shared" ref="B479:B492" si="116">IF(B478="AM","PM","AM")</f>
        <v>PM</v>
      </c>
      <c r="C479" s="23" t="str">
        <f t="shared" ref="C479:C492" si="117">TEXT(A479,"mmmm")</f>
        <v>February</v>
      </c>
      <c r="D479" s="13" t="str">
        <f t="shared" si="94"/>
        <v>WED</v>
      </c>
      <c r="E479" s="24">
        <v>1491.5</v>
      </c>
      <c r="F479" s="24">
        <v>301.27999999999997</v>
      </c>
      <c r="G479" s="24">
        <v>0</v>
      </c>
      <c r="H479" s="24">
        <f t="shared" ref="H479:H492" si="118">E479*0.04</f>
        <v>59.660000000000004</v>
      </c>
      <c r="I479" s="24">
        <f t="shared" ref="I479:I509" si="119">F479*0.0168</f>
        <v>5.0615039999999993</v>
      </c>
      <c r="J479" s="24">
        <v>0</v>
      </c>
      <c r="K479" s="24">
        <f t="shared" ref="K479:K508" si="120">F479-(H479+I479)</f>
        <v>236.55849599999996</v>
      </c>
      <c r="L479" s="25">
        <v>5</v>
      </c>
      <c r="M479" s="25">
        <v>47</v>
      </c>
      <c r="N479" s="26">
        <f t="shared" ref="N479:N492" si="121">((L479*60)+M479)/60</f>
        <v>5.7833333333333332</v>
      </c>
      <c r="O479" s="24">
        <f t="shared" ref="O479:O492" si="122">N479*2.13</f>
        <v>12.318499999999998</v>
      </c>
      <c r="P479" s="24">
        <f t="shared" ref="P479:P508" si="123">K479+J479+O479</f>
        <v>248.87699599999996</v>
      </c>
      <c r="Q479" s="29">
        <f t="shared" ref="Q479:Q508" si="124">G479+K479+O479</f>
        <v>248.87699599999996</v>
      </c>
      <c r="R479" s="30">
        <f>COUNTIF(RAW_DATA[[#This Row],[CONVERTED]],"&gt;0")</f>
        <v>1</v>
      </c>
      <c r="S479" s="30">
        <f>COUNTIFS(RAW_DATA[[#This Row],[AM/PM]],"AM",RAW_DATA[[#This Row],[CONVERTED]],"&gt;0")</f>
        <v>0</v>
      </c>
      <c r="T479" s="19">
        <f t="shared" si="101"/>
        <v>1</v>
      </c>
      <c r="U479" s="20" t="str">
        <f t="shared" si="99"/>
        <v>DOUBLE</v>
      </c>
    </row>
    <row r="480" spans="1:21" x14ac:dyDescent="0.35">
      <c r="A480" s="21">
        <f t="shared" si="115"/>
        <v>45330</v>
      </c>
      <c r="B480" s="22" t="str">
        <f t="shared" si="116"/>
        <v>AM</v>
      </c>
      <c r="C480" s="23" t="str">
        <f t="shared" si="117"/>
        <v>February</v>
      </c>
      <c r="D480" s="13" t="str">
        <f t="shared" si="94"/>
        <v>THU</v>
      </c>
      <c r="E480" s="24">
        <v>0</v>
      </c>
      <c r="F480" s="24">
        <v>0</v>
      </c>
      <c r="G480" s="24">
        <v>0</v>
      </c>
      <c r="H480" s="24">
        <f t="shared" si="118"/>
        <v>0</v>
      </c>
      <c r="I480" s="24">
        <f t="shared" si="119"/>
        <v>0</v>
      </c>
      <c r="J480" s="24">
        <v>0</v>
      </c>
      <c r="K480" s="24">
        <f t="shared" si="120"/>
        <v>0</v>
      </c>
      <c r="L480" s="25">
        <v>0</v>
      </c>
      <c r="M480" s="25">
        <v>0</v>
      </c>
      <c r="N480" s="26">
        <f t="shared" si="121"/>
        <v>0</v>
      </c>
      <c r="O480" s="24">
        <f t="shared" si="122"/>
        <v>0</v>
      </c>
      <c r="P480" s="52">
        <f t="shared" si="123"/>
        <v>0</v>
      </c>
      <c r="Q480" s="53">
        <f t="shared" si="124"/>
        <v>0</v>
      </c>
      <c r="R480" s="25">
        <f>COUNTIF(RAW_DATA[[#This Row],[CONVERTED]],"&gt;0")</f>
        <v>0</v>
      </c>
      <c r="S480" s="30">
        <f>COUNTIFS(RAW_DATA[[#This Row],[AM/PM]],"AM",RAW_DATA[[#This Row],[CONVERTED]],"&gt;0")</f>
        <v>0</v>
      </c>
      <c r="T480" s="19">
        <f t="shared" si="101"/>
        <v>0</v>
      </c>
      <c r="U480" s="20" t="str">
        <f t="shared" si="99"/>
        <v>SINGLE</v>
      </c>
    </row>
    <row r="481" spans="1:21" x14ac:dyDescent="0.35">
      <c r="A481" s="21">
        <f t="shared" si="115"/>
        <v>45330</v>
      </c>
      <c r="B481" s="22" t="str">
        <f t="shared" si="116"/>
        <v>PM</v>
      </c>
      <c r="C481" s="23" t="str">
        <f t="shared" si="117"/>
        <v>February</v>
      </c>
      <c r="D481" s="13" t="str">
        <f t="shared" si="94"/>
        <v>THU</v>
      </c>
      <c r="E481" s="24">
        <v>1198</v>
      </c>
      <c r="F481" s="24">
        <v>245.79</v>
      </c>
      <c r="G481" s="24">
        <v>0</v>
      </c>
      <c r="H481" s="24">
        <f t="shared" si="118"/>
        <v>47.92</v>
      </c>
      <c r="I481" s="24">
        <f t="shared" si="119"/>
        <v>4.1292719999999994</v>
      </c>
      <c r="J481" s="24">
        <v>0</v>
      </c>
      <c r="K481" s="24">
        <f t="shared" si="120"/>
        <v>193.74072799999999</v>
      </c>
      <c r="L481" s="25">
        <v>6</v>
      </c>
      <c r="M481" s="25">
        <v>8</v>
      </c>
      <c r="N481" s="26">
        <f t="shared" si="121"/>
        <v>6.1333333333333337</v>
      </c>
      <c r="O481" s="24">
        <f t="shared" si="122"/>
        <v>13.064</v>
      </c>
      <c r="P481" s="52">
        <f t="shared" si="123"/>
        <v>206.80472799999998</v>
      </c>
      <c r="Q481" s="53">
        <f t="shared" si="124"/>
        <v>206.80472799999998</v>
      </c>
      <c r="R481" s="25">
        <f>COUNTIF(RAW_DATA[[#This Row],[CONVERTED]],"&gt;0")</f>
        <v>1</v>
      </c>
      <c r="S481" s="30">
        <f>COUNTIFS(RAW_DATA[[#This Row],[AM/PM]],"AM",RAW_DATA[[#This Row],[CONVERTED]],"&gt;0")</f>
        <v>0</v>
      </c>
      <c r="T481" s="19">
        <f t="shared" si="101"/>
        <v>0</v>
      </c>
      <c r="U481" s="20" t="str">
        <f t="shared" si="99"/>
        <v>SINGLE</v>
      </c>
    </row>
    <row r="482" spans="1:21" x14ac:dyDescent="0.35">
      <c r="A482" s="21">
        <f t="shared" si="115"/>
        <v>45331</v>
      </c>
      <c r="B482" s="22" t="str">
        <f t="shared" si="116"/>
        <v>AM</v>
      </c>
      <c r="C482" s="23" t="str">
        <f t="shared" si="117"/>
        <v>February</v>
      </c>
      <c r="D482" s="13" t="str">
        <f t="shared" si="94"/>
        <v>FRI</v>
      </c>
      <c r="E482" s="24">
        <v>0</v>
      </c>
      <c r="F482" s="24">
        <v>0</v>
      </c>
      <c r="G482" s="24">
        <v>0</v>
      </c>
      <c r="H482" s="24">
        <f t="shared" si="118"/>
        <v>0</v>
      </c>
      <c r="I482" s="24">
        <f t="shared" si="119"/>
        <v>0</v>
      </c>
      <c r="J482" s="24">
        <v>0</v>
      </c>
      <c r="K482" s="24">
        <f t="shared" si="120"/>
        <v>0</v>
      </c>
      <c r="L482" s="25">
        <v>0</v>
      </c>
      <c r="M482" s="25">
        <v>0</v>
      </c>
      <c r="N482" s="26">
        <f t="shared" si="121"/>
        <v>0</v>
      </c>
      <c r="O482" s="24">
        <f t="shared" si="122"/>
        <v>0</v>
      </c>
      <c r="P482" s="52">
        <f t="shared" si="123"/>
        <v>0</v>
      </c>
      <c r="Q482" s="53">
        <f t="shared" si="124"/>
        <v>0</v>
      </c>
      <c r="R482" s="25">
        <f>COUNTIF(RAW_DATA[[#This Row],[CONVERTED]],"&gt;0")</f>
        <v>0</v>
      </c>
      <c r="S482" s="30">
        <f>COUNTIFS(RAW_DATA[[#This Row],[AM/PM]],"AM",RAW_DATA[[#This Row],[CONVERTED]],"&gt;0")</f>
        <v>0</v>
      </c>
      <c r="T482" s="19">
        <f t="shared" si="101"/>
        <v>0</v>
      </c>
      <c r="U482" s="20" t="str">
        <f t="shared" si="99"/>
        <v>SINGLE</v>
      </c>
    </row>
    <row r="483" spans="1:21" x14ac:dyDescent="0.35">
      <c r="A483" s="21">
        <f t="shared" si="115"/>
        <v>45331</v>
      </c>
      <c r="B483" s="22" t="str">
        <f t="shared" si="116"/>
        <v>PM</v>
      </c>
      <c r="C483" s="23" t="str">
        <f t="shared" si="117"/>
        <v>February</v>
      </c>
      <c r="D483" s="13" t="str">
        <f t="shared" si="94"/>
        <v>FRI</v>
      </c>
      <c r="E483" s="24">
        <v>0</v>
      </c>
      <c r="F483" s="24">
        <v>0</v>
      </c>
      <c r="G483" s="24">
        <v>0</v>
      </c>
      <c r="H483" s="24">
        <f t="shared" si="118"/>
        <v>0</v>
      </c>
      <c r="I483" s="24">
        <f t="shared" si="119"/>
        <v>0</v>
      </c>
      <c r="J483" s="24">
        <v>0</v>
      </c>
      <c r="K483" s="24">
        <f t="shared" si="120"/>
        <v>0</v>
      </c>
      <c r="L483" s="25">
        <v>0</v>
      </c>
      <c r="M483" s="25">
        <v>0</v>
      </c>
      <c r="N483" s="26">
        <f t="shared" si="121"/>
        <v>0</v>
      </c>
      <c r="O483" s="24">
        <f t="shared" si="122"/>
        <v>0</v>
      </c>
      <c r="P483" s="52">
        <f t="shared" si="123"/>
        <v>0</v>
      </c>
      <c r="Q483" s="53">
        <f t="shared" si="124"/>
        <v>0</v>
      </c>
      <c r="R483" s="25">
        <f>COUNTIF(RAW_DATA[[#This Row],[CONVERTED]],"&gt;0")</f>
        <v>0</v>
      </c>
      <c r="S483" s="30">
        <f>COUNTIFS(RAW_DATA[[#This Row],[AM/PM]],"AM",RAW_DATA[[#This Row],[CONVERTED]],"&gt;0")</f>
        <v>0</v>
      </c>
      <c r="T483" s="19">
        <f t="shared" si="101"/>
        <v>0</v>
      </c>
      <c r="U483" s="20" t="str">
        <f t="shared" si="99"/>
        <v>SINGLE</v>
      </c>
    </row>
    <row r="484" spans="1:21" x14ac:dyDescent="0.35">
      <c r="A484" s="21">
        <f t="shared" si="115"/>
        <v>45332</v>
      </c>
      <c r="B484" s="22" t="str">
        <f t="shared" si="116"/>
        <v>AM</v>
      </c>
      <c r="C484" s="23" t="str">
        <f t="shared" si="117"/>
        <v>February</v>
      </c>
      <c r="D484" s="13" t="str">
        <f t="shared" si="94"/>
        <v>SAT</v>
      </c>
      <c r="E484" s="24">
        <v>908.5</v>
      </c>
      <c r="F484" s="24">
        <v>168.28</v>
      </c>
      <c r="G484" s="24">
        <v>36</v>
      </c>
      <c r="H484" s="24">
        <f t="shared" si="118"/>
        <v>36.340000000000003</v>
      </c>
      <c r="I484" s="24">
        <f t="shared" si="119"/>
        <v>2.8271039999999998</v>
      </c>
      <c r="J484" s="24">
        <v>8.4</v>
      </c>
      <c r="K484" s="24">
        <f t="shared" si="120"/>
        <v>129.11289600000001</v>
      </c>
      <c r="L484" s="25">
        <v>4</v>
      </c>
      <c r="M484" s="25">
        <v>56</v>
      </c>
      <c r="N484" s="26">
        <f t="shared" si="121"/>
        <v>4.9333333333333336</v>
      </c>
      <c r="O484" s="24">
        <f t="shared" si="122"/>
        <v>10.507999999999999</v>
      </c>
      <c r="P484" s="52">
        <f t="shared" si="123"/>
        <v>148.02089600000002</v>
      </c>
      <c r="Q484" s="53">
        <f t="shared" si="124"/>
        <v>175.62089600000002</v>
      </c>
      <c r="R484" s="25">
        <f>COUNTIF(RAW_DATA[[#This Row],[CONVERTED]],"&gt;0")</f>
        <v>1</v>
      </c>
      <c r="S484" s="30">
        <f>COUNTIFS(RAW_DATA[[#This Row],[AM/PM]],"AM",RAW_DATA[[#This Row],[CONVERTED]],"&gt;0")</f>
        <v>1</v>
      </c>
      <c r="T484" s="19">
        <f t="shared" si="101"/>
        <v>0</v>
      </c>
      <c r="U484" s="20" t="str">
        <f t="shared" si="99"/>
        <v>SINGLE</v>
      </c>
    </row>
    <row r="485" spans="1:21" x14ac:dyDescent="0.35">
      <c r="A485" s="21">
        <f t="shared" si="115"/>
        <v>45332</v>
      </c>
      <c r="B485" s="22" t="str">
        <f t="shared" si="116"/>
        <v>PM</v>
      </c>
      <c r="C485" s="23" t="str">
        <f t="shared" si="117"/>
        <v>February</v>
      </c>
      <c r="D485" s="13" t="str">
        <f t="shared" si="94"/>
        <v>SAT</v>
      </c>
      <c r="E485" s="24">
        <v>0</v>
      </c>
      <c r="F485" s="24">
        <v>0</v>
      </c>
      <c r="G485" s="24">
        <v>0</v>
      </c>
      <c r="H485" s="24">
        <f t="shared" si="118"/>
        <v>0</v>
      </c>
      <c r="I485" s="24">
        <f t="shared" si="119"/>
        <v>0</v>
      </c>
      <c r="J485" s="24">
        <v>0</v>
      </c>
      <c r="K485" s="24">
        <f t="shared" si="120"/>
        <v>0</v>
      </c>
      <c r="L485" s="25">
        <v>0</v>
      </c>
      <c r="M485" s="25">
        <v>0</v>
      </c>
      <c r="N485" s="26">
        <f t="shared" si="121"/>
        <v>0</v>
      </c>
      <c r="O485" s="24">
        <f t="shared" si="122"/>
        <v>0</v>
      </c>
      <c r="P485" s="52">
        <f t="shared" si="123"/>
        <v>0</v>
      </c>
      <c r="Q485" s="53">
        <f t="shared" si="124"/>
        <v>0</v>
      </c>
      <c r="R485" s="25">
        <f>COUNTIF(RAW_DATA[[#This Row],[CONVERTED]],"&gt;0")</f>
        <v>0</v>
      </c>
      <c r="S485" s="30">
        <f>COUNTIFS(RAW_DATA[[#This Row],[AM/PM]],"AM",RAW_DATA[[#This Row],[CONVERTED]],"&gt;0")</f>
        <v>0</v>
      </c>
      <c r="T485" s="19">
        <f t="shared" si="101"/>
        <v>0</v>
      </c>
      <c r="U485" s="20" t="str">
        <f t="shared" si="99"/>
        <v>SINGLE</v>
      </c>
    </row>
    <row r="486" spans="1:21" x14ac:dyDescent="0.35">
      <c r="A486" s="21">
        <f t="shared" si="115"/>
        <v>45333</v>
      </c>
      <c r="B486" s="22" t="str">
        <f t="shared" si="116"/>
        <v>AM</v>
      </c>
      <c r="C486" s="23" t="str">
        <f t="shared" si="117"/>
        <v>February</v>
      </c>
      <c r="D486" s="13" t="str">
        <f t="shared" si="94"/>
        <v>SUN</v>
      </c>
      <c r="E486" s="24">
        <v>513</v>
      </c>
      <c r="F486" s="24">
        <v>102.4</v>
      </c>
      <c r="G486" s="24">
        <v>0</v>
      </c>
      <c r="H486" s="24">
        <f t="shared" si="118"/>
        <v>20.52</v>
      </c>
      <c r="I486" s="24">
        <f t="shared" si="119"/>
        <v>1.7203200000000001</v>
      </c>
      <c r="J486" s="24">
        <v>0</v>
      </c>
      <c r="K486" s="24">
        <f t="shared" si="120"/>
        <v>80.159680000000009</v>
      </c>
      <c r="L486" s="25">
        <v>3</v>
      </c>
      <c r="M486" s="25">
        <v>40</v>
      </c>
      <c r="N486" s="26">
        <f t="shared" si="121"/>
        <v>3.6666666666666665</v>
      </c>
      <c r="O486" s="24">
        <f t="shared" si="122"/>
        <v>7.81</v>
      </c>
      <c r="P486" s="52">
        <f t="shared" si="123"/>
        <v>87.969680000000011</v>
      </c>
      <c r="Q486" s="53">
        <f t="shared" si="124"/>
        <v>87.969680000000011</v>
      </c>
      <c r="R486" s="25">
        <f>COUNTIF(RAW_DATA[[#This Row],[CONVERTED]],"&gt;0")</f>
        <v>1</v>
      </c>
      <c r="S486" s="30">
        <f>COUNTIFS(RAW_DATA[[#This Row],[AM/PM]],"AM",RAW_DATA[[#This Row],[CONVERTED]],"&gt;0")</f>
        <v>1</v>
      </c>
      <c r="T486" s="19">
        <f t="shared" si="101"/>
        <v>0</v>
      </c>
      <c r="U486" s="20" t="str">
        <f t="shared" si="99"/>
        <v>SINGLE</v>
      </c>
    </row>
    <row r="487" spans="1:21" x14ac:dyDescent="0.35">
      <c r="A487" s="21">
        <f t="shared" si="115"/>
        <v>45333</v>
      </c>
      <c r="B487" s="22" t="str">
        <f t="shared" si="116"/>
        <v>PM</v>
      </c>
      <c r="C487" s="23" t="str">
        <f t="shared" si="117"/>
        <v>February</v>
      </c>
      <c r="D487" s="13" t="str">
        <f t="shared" si="94"/>
        <v>SUN</v>
      </c>
      <c r="E487" s="24">
        <v>0</v>
      </c>
      <c r="F487" s="24">
        <v>0</v>
      </c>
      <c r="G487" s="24">
        <v>0</v>
      </c>
      <c r="H487" s="24">
        <f t="shared" si="118"/>
        <v>0</v>
      </c>
      <c r="I487" s="24">
        <f t="shared" si="119"/>
        <v>0</v>
      </c>
      <c r="J487" s="24">
        <v>0</v>
      </c>
      <c r="K487" s="24">
        <f t="shared" si="120"/>
        <v>0</v>
      </c>
      <c r="L487" s="25">
        <v>0</v>
      </c>
      <c r="M487" s="25">
        <v>0</v>
      </c>
      <c r="N487" s="26">
        <f t="shared" si="121"/>
        <v>0</v>
      </c>
      <c r="O487" s="24">
        <f t="shared" si="122"/>
        <v>0</v>
      </c>
      <c r="P487" s="52">
        <f t="shared" si="123"/>
        <v>0</v>
      </c>
      <c r="Q487" s="53">
        <f t="shared" si="124"/>
        <v>0</v>
      </c>
      <c r="R487" s="25">
        <f>COUNTIF(RAW_DATA[[#This Row],[CONVERTED]],"&gt;0")</f>
        <v>0</v>
      </c>
      <c r="S487" s="30">
        <f>COUNTIFS(RAW_DATA[[#This Row],[AM/PM]],"AM",RAW_DATA[[#This Row],[CONVERTED]],"&gt;0")</f>
        <v>0</v>
      </c>
      <c r="T487" s="19">
        <f t="shared" si="101"/>
        <v>0</v>
      </c>
      <c r="U487" s="20" t="str">
        <f t="shared" si="99"/>
        <v>SINGLE</v>
      </c>
    </row>
    <row r="488" spans="1:21" x14ac:dyDescent="0.35">
      <c r="A488" s="21">
        <f t="shared" si="115"/>
        <v>45334</v>
      </c>
      <c r="B488" s="22" t="str">
        <f t="shared" si="116"/>
        <v>AM</v>
      </c>
      <c r="C488" s="23" t="str">
        <f t="shared" si="117"/>
        <v>February</v>
      </c>
      <c r="D488" s="13" t="str">
        <f t="shared" si="94"/>
        <v>MON</v>
      </c>
      <c r="E488" s="24">
        <v>55</v>
      </c>
      <c r="F488" s="24">
        <v>11</v>
      </c>
      <c r="G488" s="24">
        <v>0</v>
      </c>
      <c r="H488" s="24">
        <f t="shared" si="118"/>
        <v>2.2000000000000002</v>
      </c>
      <c r="I488" s="24">
        <f t="shared" si="119"/>
        <v>0.18479999999999999</v>
      </c>
      <c r="J488" s="24">
        <v>0</v>
      </c>
      <c r="K488" s="24">
        <f t="shared" si="120"/>
        <v>8.6151999999999997</v>
      </c>
      <c r="L488" s="25">
        <v>1</v>
      </c>
      <c r="M488" s="25">
        <v>55</v>
      </c>
      <c r="N488" s="26">
        <f t="shared" si="121"/>
        <v>1.9166666666666667</v>
      </c>
      <c r="O488" s="24">
        <f t="shared" si="122"/>
        <v>4.0824999999999996</v>
      </c>
      <c r="P488" s="52">
        <f t="shared" si="123"/>
        <v>12.697699999999999</v>
      </c>
      <c r="Q488" s="53">
        <f t="shared" si="124"/>
        <v>12.697699999999999</v>
      </c>
      <c r="R488" s="25">
        <f>COUNTIF(RAW_DATA[[#This Row],[CONVERTED]],"&gt;0")</f>
        <v>1</v>
      </c>
      <c r="S488" s="30">
        <f>COUNTIFS(RAW_DATA[[#This Row],[AM/PM]],"AM",RAW_DATA[[#This Row],[CONVERTED]],"&gt;0")</f>
        <v>1</v>
      </c>
      <c r="T488" s="19">
        <f t="shared" si="101"/>
        <v>0</v>
      </c>
      <c r="U488" s="20" t="str">
        <f t="shared" si="99"/>
        <v>DOUBLE</v>
      </c>
    </row>
    <row r="489" spans="1:21" x14ac:dyDescent="0.35">
      <c r="A489" s="21">
        <f t="shared" si="115"/>
        <v>45334</v>
      </c>
      <c r="B489" s="22" t="str">
        <f t="shared" si="116"/>
        <v>PM</v>
      </c>
      <c r="C489" s="23" t="str">
        <f t="shared" si="117"/>
        <v>February</v>
      </c>
      <c r="D489" s="13" t="str">
        <f t="shared" si="94"/>
        <v>MON</v>
      </c>
      <c r="E489" s="24">
        <v>1041.5</v>
      </c>
      <c r="F489" s="24">
        <v>177.22</v>
      </c>
      <c r="G489" s="24">
        <v>0</v>
      </c>
      <c r="H489" s="24">
        <f t="shared" si="118"/>
        <v>41.660000000000004</v>
      </c>
      <c r="I489" s="24">
        <f t="shared" si="119"/>
        <v>2.9772959999999999</v>
      </c>
      <c r="J489" s="24">
        <v>0</v>
      </c>
      <c r="K489" s="24">
        <f t="shared" si="120"/>
        <v>132.58270399999998</v>
      </c>
      <c r="L489" s="25">
        <v>4</v>
      </c>
      <c r="M489" s="25">
        <v>23</v>
      </c>
      <c r="N489" s="26">
        <f t="shared" si="121"/>
        <v>4.3833333333333337</v>
      </c>
      <c r="O489" s="24">
        <f t="shared" si="122"/>
        <v>9.3365000000000009</v>
      </c>
      <c r="P489" s="52">
        <f t="shared" si="123"/>
        <v>141.91920399999998</v>
      </c>
      <c r="Q489" s="53">
        <f t="shared" si="124"/>
        <v>141.91920399999998</v>
      </c>
      <c r="R489" s="25">
        <f>COUNTIF(RAW_DATA[[#This Row],[CONVERTED]],"&gt;0")</f>
        <v>1</v>
      </c>
      <c r="S489" s="30">
        <f>COUNTIFS(RAW_DATA[[#This Row],[AM/PM]],"AM",RAW_DATA[[#This Row],[CONVERTED]],"&gt;0")</f>
        <v>0</v>
      </c>
      <c r="T489" s="19">
        <f t="shared" si="101"/>
        <v>1</v>
      </c>
      <c r="U489" s="20" t="str">
        <f t="shared" si="99"/>
        <v>DOUBLE</v>
      </c>
    </row>
    <row r="490" spans="1:21" x14ac:dyDescent="0.35">
      <c r="A490" s="21">
        <f t="shared" si="115"/>
        <v>45335</v>
      </c>
      <c r="B490" s="22" t="str">
        <f t="shared" si="116"/>
        <v>AM</v>
      </c>
      <c r="C490" s="23" t="str">
        <f t="shared" si="117"/>
        <v>February</v>
      </c>
      <c r="D490" s="13" t="str">
        <f t="shared" si="94"/>
        <v>TUE</v>
      </c>
      <c r="E490" s="24">
        <v>0</v>
      </c>
      <c r="F490" s="24">
        <v>0</v>
      </c>
      <c r="G490" s="24">
        <v>0</v>
      </c>
      <c r="H490" s="24">
        <f t="shared" si="118"/>
        <v>0</v>
      </c>
      <c r="I490" s="24">
        <f t="shared" si="119"/>
        <v>0</v>
      </c>
      <c r="J490" s="24">
        <v>0</v>
      </c>
      <c r="K490" s="24">
        <f t="shared" si="120"/>
        <v>0</v>
      </c>
      <c r="L490" s="25">
        <v>0</v>
      </c>
      <c r="M490" s="25">
        <v>0</v>
      </c>
      <c r="N490" s="26">
        <f t="shared" si="121"/>
        <v>0</v>
      </c>
      <c r="O490" s="24">
        <f t="shared" si="122"/>
        <v>0</v>
      </c>
      <c r="P490" s="52">
        <f t="shared" si="123"/>
        <v>0</v>
      </c>
      <c r="Q490" s="53">
        <f t="shared" si="124"/>
        <v>0</v>
      </c>
      <c r="R490" s="25">
        <f>COUNTIF(RAW_DATA[[#This Row],[CONVERTED]],"&gt;0")</f>
        <v>0</v>
      </c>
      <c r="S490" s="30">
        <f>COUNTIFS(RAW_DATA[[#This Row],[AM/PM]],"AM",RAW_DATA[[#This Row],[CONVERTED]],"&gt;0")</f>
        <v>0</v>
      </c>
      <c r="T490" s="19">
        <f t="shared" si="101"/>
        <v>0</v>
      </c>
      <c r="U490" s="20" t="str">
        <f t="shared" si="99"/>
        <v>SINGLE</v>
      </c>
    </row>
    <row r="491" spans="1:21" x14ac:dyDescent="0.35">
      <c r="A491" s="21">
        <f t="shared" si="115"/>
        <v>45335</v>
      </c>
      <c r="B491" s="22" t="str">
        <f t="shared" si="116"/>
        <v>PM</v>
      </c>
      <c r="C491" s="23" t="str">
        <f t="shared" si="117"/>
        <v>February</v>
      </c>
      <c r="D491" s="13" t="str">
        <f t="shared" si="94"/>
        <v>TUE</v>
      </c>
      <c r="E491" s="24">
        <v>0</v>
      </c>
      <c r="F491" s="24">
        <v>0</v>
      </c>
      <c r="G491" s="24">
        <v>0</v>
      </c>
      <c r="H491" s="24">
        <f t="shared" si="118"/>
        <v>0</v>
      </c>
      <c r="I491" s="24">
        <f t="shared" si="119"/>
        <v>0</v>
      </c>
      <c r="J491" s="24">
        <v>0</v>
      </c>
      <c r="K491" s="24">
        <f t="shared" si="120"/>
        <v>0</v>
      </c>
      <c r="L491" s="25">
        <v>0</v>
      </c>
      <c r="M491" s="25">
        <v>0</v>
      </c>
      <c r="N491" s="26">
        <f t="shared" si="121"/>
        <v>0</v>
      </c>
      <c r="O491" s="24">
        <f t="shared" si="122"/>
        <v>0</v>
      </c>
      <c r="P491" s="52">
        <f t="shared" si="123"/>
        <v>0</v>
      </c>
      <c r="Q491" s="53">
        <f t="shared" si="124"/>
        <v>0</v>
      </c>
      <c r="R491" s="25">
        <f>COUNTIF(RAW_DATA[[#This Row],[CONVERTED]],"&gt;0")</f>
        <v>0</v>
      </c>
      <c r="S491" s="30">
        <f>COUNTIFS(RAW_DATA[[#This Row],[AM/PM]],"AM",RAW_DATA[[#This Row],[CONVERTED]],"&gt;0")</f>
        <v>0</v>
      </c>
      <c r="T491" s="19">
        <f t="shared" si="101"/>
        <v>0</v>
      </c>
      <c r="U491" s="20" t="str">
        <f t="shared" si="99"/>
        <v>SINGLE</v>
      </c>
    </row>
    <row r="492" spans="1:21" x14ac:dyDescent="0.35">
      <c r="A492" s="54">
        <f t="shared" si="115"/>
        <v>45336</v>
      </c>
      <c r="B492" s="55" t="str">
        <f t="shared" si="116"/>
        <v>AM</v>
      </c>
      <c r="C492" s="56" t="str">
        <f t="shared" si="117"/>
        <v>February</v>
      </c>
      <c r="D492" s="57" t="str">
        <f t="shared" si="94"/>
        <v>WED</v>
      </c>
      <c r="E492" s="58">
        <v>0</v>
      </c>
      <c r="F492" s="58">
        <v>0</v>
      </c>
      <c r="G492" s="58">
        <v>0</v>
      </c>
      <c r="H492" s="58">
        <f t="shared" si="118"/>
        <v>0</v>
      </c>
      <c r="I492" s="58">
        <f t="shared" si="119"/>
        <v>0</v>
      </c>
      <c r="J492" s="58">
        <v>0</v>
      </c>
      <c r="K492" s="58">
        <f t="shared" si="120"/>
        <v>0</v>
      </c>
      <c r="L492" s="59">
        <v>0</v>
      </c>
      <c r="M492" s="59">
        <v>0</v>
      </c>
      <c r="N492" s="60">
        <f t="shared" si="121"/>
        <v>0</v>
      </c>
      <c r="O492" s="58">
        <f t="shared" si="122"/>
        <v>0</v>
      </c>
      <c r="P492" s="58">
        <f t="shared" si="123"/>
        <v>0</v>
      </c>
      <c r="Q492" s="61">
        <f t="shared" si="124"/>
        <v>0</v>
      </c>
      <c r="R492" s="62">
        <f>COUNTIF(RAW_DATA[[#This Row],[CONVERTED]],"&gt;0")</f>
        <v>0</v>
      </c>
      <c r="S492" s="62">
        <f>COUNTIFS(RAW_DATA[[#This Row],[AM/PM]],"AM",RAW_DATA[[#This Row],[CONVERTED]],"&gt;0")</f>
        <v>0</v>
      </c>
      <c r="T492" s="63">
        <f t="shared" si="101"/>
        <v>0</v>
      </c>
      <c r="U492" s="64" t="str">
        <f t="shared" si="99"/>
        <v>SINGLE</v>
      </c>
    </row>
    <row r="493" spans="1:21" x14ac:dyDescent="0.35">
      <c r="A493" s="21">
        <f>IF(B492 = "AM",A492,A492+1)</f>
        <v>45336</v>
      </c>
      <c r="B493" s="22" t="str">
        <f>IF(B492="AM","PM","AM")</f>
        <v>PM</v>
      </c>
      <c r="C493" s="23" t="str">
        <f>TEXT(A493,"mmmm")</f>
        <v>February</v>
      </c>
      <c r="D493" s="13" t="str">
        <f t="shared" si="94"/>
        <v>WED</v>
      </c>
      <c r="E493" s="24">
        <v>2119</v>
      </c>
      <c r="F493" s="24">
        <v>265.49</v>
      </c>
      <c r="G493" s="24">
        <v>183</v>
      </c>
      <c r="H493" s="24">
        <f>E493*0.04</f>
        <v>84.76</v>
      </c>
      <c r="I493" s="24">
        <f t="shared" si="119"/>
        <v>4.4602319999999995</v>
      </c>
      <c r="J493" s="24">
        <v>21.2</v>
      </c>
      <c r="K493" s="24">
        <f t="shared" si="120"/>
        <v>176.269768</v>
      </c>
      <c r="L493" s="25">
        <v>6</v>
      </c>
      <c r="M493" s="25">
        <v>28</v>
      </c>
      <c r="N493" s="26">
        <f>((L493*60)+M493)/60</f>
        <v>6.4666666666666668</v>
      </c>
      <c r="O493" s="24">
        <f>N493*2.13</f>
        <v>13.773999999999999</v>
      </c>
      <c r="P493" s="24">
        <f t="shared" si="123"/>
        <v>211.24376799999999</v>
      </c>
      <c r="Q493" s="29">
        <f t="shared" si="124"/>
        <v>373.043768</v>
      </c>
      <c r="R493" s="30">
        <f>COUNTIF(RAW_DATA[[#This Row],[CONVERTED]],"&gt;0")</f>
        <v>1</v>
      </c>
      <c r="S493" s="30">
        <f>COUNTIFS(RAW_DATA[[#This Row],[AM/PM]],"AM",RAW_DATA[[#This Row],[CONVERTED]],"&gt;0")</f>
        <v>0</v>
      </c>
      <c r="T493" s="19">
        <f t="shared" si="101"/>
        <v>0</v>
      </c>
      <c r="U493" s="20" t="str">
        <f t="shared" si="99"/>
        <v>SINGLE</v>
      </c>
    </row>
    <row r="494" spans="1:21" x14ac:dyDescent="0.35">
      <c r="A494" s="21">
        <f>IF(B493 = "AM",A493,A493+1)</f>
        <v>45337</v>
      </c>
      <c r="B494" s="22" t="str">
        <f>IF(B493="AM","PM","AM")</f>
        <v>AM</v>
      </c>
      <c r="C494" s="23" t="str">
        <f>TEXT(A494,"mmmm")</f>
        <v>February</v>
      </c>
      <c r="D494" s="13" t="str">
        <f t="shared" si="94"/>
        <v>THU</v>
      </c>
      <c r="E494" s="24">
        <v>0</v>
      </c>
      <c r="F494" s="24">
        <v>0</v>
      </c>
      <c r="G494" s="24">
        <v>0</v>
      </c>
      <c r="H494" s="24">
        <f>E494*0.04</f>
        <v>0</v>
      </c>
      <c r="I494" s="24">
        <f t="shared" si="119"/>
        <v>0</v>
      </c>
      <c r="J494" s="24">
        <v>0</v>
      </c>
      <c r="K494" s="24">
        <f t="shared" si="120"/>
        <v>0</v>
      </c>
      <c r="L494" s="25">
        <v>0</v>
      </c>
      <c r="M494" s="25">
        <v>0</v>
      </c>
      <c r="N494" s="26">
        <f>((L494*60)+M494)/60</f>
        <v>0</v>
      </c>
      <c r="O494" s="24">
        <f>N494*2.13</f>
        <v>0</v>
      </c>
      <c r="P494" s="24">
        <f t="shared" si="123"/>
        <v>0</v>
      </c>
      <c r="Q494" s="29">
        <f t="shared" si="124"/>
        <v>0</v>
      </c>
      <c r="R494" s="30">
        <f>COUNTIF(RAW_DATA[[#This Row],[CONVERTED]],"&gt;0")</f>
        <v>0</v>
      </c>
      <c r="S494" s="30">
        <f>COUNTIFS(RAW_DATA[[#This Row],[AM/PM]],"AM",RAW_DATA[[#This Row],[CONVERTED]],"&gt;0")</f>
        <v>0</v>
      </c>
      <c r="T494" s="19">
        <f t="shared" si="101"/>
        <v>0</v>
      </c>
      <c r="U494" s="20" t="str">
        <f t="shared" si="99"/>
        <v>SINGLE</v>
      </c>
    </row>
    <row r="495" spans="1:21" x14ac:dyDescent="0.35">
      <c r="A495" s="21">
        <f>IF(B494 = "AM",A494,A494+1)</f>
        <v>45337</v>
      </c>
      <c r="B495" s="22" t="str">
        <f>IF(B494="AM","PM","AM")</f>
        <v>PM</v>
      </c>
      <c r="C495" s="23" t="str">
        <f>TEXT(A495,"mmmm")</f>
        <v>February</v>
      </c>
      <c r="D495" s="13" t="str">
        <f t="shared" si="94"/>
        <v>THU</v>
      </c>
      <c r="E495" s="24">
        <v>1197</v>
      </c>
      <c r="F495" s="24">
        <v>200.31</v>
      </c>
      <c r="G495" s="24">
        <v>47</v>
      </c>
      <c r="H495" s="24">
        <f>E495*0.04</f>
        <v>47.88</v>
      </c>
      <c r="I495" s="24">
        <f t="shared" si="119"/>
        <v>3.365208</v>
      </c>
      <c r="J495" s="24">
        <v>5.12</v>
      </c>
      <c r="K495" s="24">
        <f t="shared" si="120"/>
        <v>149.06479200000001</v>
      </c>
      <c r="L495" s="25">
        <v>7</v>
      </c>
      <c r="M495" s="25">
        <v>3</v>
      </c>
      <c r="N495" s="26">
        <f>((L495*60)+M495)/60</f>
        <v>7.05</v>
      </c>
      <c r="O495" s="24">
        <f>N495*2.13</f>
        <v>15.016499999999999</v>
      </c>
      <c r="P495" s="24">
        <f t="shared" si="123"/>
        <v>169.20129200000002</v>
      </c>
      <c r="Q495" s="29">
        <f t="shared" si="124"/>
        <v>211.08129200000002</v>
      </c>
      <c r="R495" s="30">
        <f>COUNTIF(RAW_DATA[[#This Row],[CONVERTED]],"&gt;0")</f>
        <v>1</v>
      </c>
      <c r="S495" s="30">
        <f>COUNTIFS(RAW_DATA[[#This Row],[AM/PM]],"AM",RAW_DATA[[#This Row],[CONVERTED]],"&gt;0")</f>
        <v>0</v>
      </c>
      <c r="T495" s="19">
        <f t="shared" si="101"/>
        <v>0</v>
      </c>
      <c r="U495" s="20" t="str">
        <f t="shared" si="99"/>
        <v>SINGLE</v>
      </c>
    </row>
    <row r="496" spans="1:21" x14ac:dyDescent="0.35">
      <c r="A496" s="21">
        <f t="shared" ref="A496:A501" si="125">IF(B495 = "AM",A495,A495+1)</f>
        <v>45338</v>
      </c>
      <c r="B496" s="22" t="str">
        <f t="shared" ref="B496:B501" si="126">IF(B495="AM","PM","AM")</f>
        <v>AM</v>
      </c>
      <c r="C496" s="23" t="str">
        <f t="shared" ref="C496:C501" si="127">TEXT(A496,"mmmm")</f>
        <v>February</v>
      </c>
      <c r="D496" s="13" t="str">
        <f t="shared" si="94"/>
        <v>FRI</v>
      </c>
      <c r="E496" s="24">
        <v>0</v>
      </c>
      <c r="F496" s="24">
        <v>0</v>
      </c>
      <c r="G496" s="24">
        <v>0</v>
      </c>
      <c r="H496" s="24">
        <f t="shared" ref="H496:H501" si="128">E496*0.04</f>
        <v>0</v>
      </c>
      <c r="I496" s="24">
        <f t="shared" si="119"/>
        <v>0</v>
      </c>
      <c r="J496" s="24">
        <v>0</v>
      </c>
      <c r="K496" s="24">
        <f t="shared" si="120"/>
        <v>0</v>
      </c>
      <c r="L496" s="25">
        <v>0</v>
      </c>
      <c r="M496" s="25">
        <v>0</v>
      </c>
      <c r="N496" s="26">
        <f t="shared" ref="N496:N501" si="129">((L496*60)+M496)/60</f>
        <v>0</v>
      </c>
      <c r="O496" s="24">
        <f t="shared" ref="O496:O508" si="130">N496*2.13</f>
        <v>0</v>
      </c>
      <c r="P496" s="24">
        <f t="shared" si="123"/>
        <v>0</v>
      </c>
      <c r="Q496" s="29">
        <f t="shared" si="124"/>
        <v>0</v>
      </c>
      <c r="R496" s="30">
        <f>COUNTIF(RAW_DATA[[#This Row],[CONVERTED]],"&gt;0")</f>
        <v>0</v>
      </c>
      <c r="S496" s="30">
        <f>COUNTIFS(RAW_DATA[[#This Row],[AM/PM]],"AM",RAW_DATA[[#This Row],[CONVERTED]],"&gt;0")</f>
        <v>0</v>
      </c>
      <c r="T496" s="19">
        <f t="shared" si="101"/>
        <v>0</v>
      </c>
      <c r="U496" s="20" t="str">
        <f t="shared" si="99"/>
        <v>SINGLE</v>
      </c>
    </row>
    <row r="497" spans="1:21" x14ac:dyDescent="0.35">
      <c r="A497" s="21">
        <f t="shared" si="125"/>
        <v>45338</v>
      </c>
      <c r="B497" s="22" t="str">
        <f t="shared" si="126"/>
        <v>PM</v>
      </c>
      <c r="C497" s="23" t="str">
        <f t="shared" si="127"/>
        <v>February</v>
      </c>
      <c r="D497" s="13" t="str">
        <f t="shared" si="94"/>
        <v>FRI</v>
      </c>
      <c r="E497" s="24">
        <v>0</v>
      </c>
      <c r="F497" s="24">
        <v>0</v>
      </c>
      <c r="G497" s="24">
        <v>0</v>
      </c>
      <c r="H497" s="24">
        <f t="shared" si="128"/>
        <v>0</v>
      </c>
      <c r="I497" s="24">
        <f t="shared" si="119"/>
        <v>0</v>
      </c>
      <c r="J497" s="24">
        <v>0</v>
      </c>
      <c r="K497" s="24">
        <f t="shared" si="120"/>
        <v>0</v>
      </c>
      <c r="L497" s="25">
        <v>0</v>
      </c>
      <c r="M497" s="25">
        <v>0</v>
      </c>
      <c r="N497" s="26">
        <f t="shared" si="129"/>
        <v>0</v>
      </c>
      <c r="O497" s="24">
        <f t="shared" si="130"/>
        <v>0</v>
      </c>
      <c r="P497" s="24">
        <f t="shared" si="123"/>
        <v>0</v>
      </c>
      <c r="Q497" s="29">
        <f t="shared" si="124"/>
        <v>0</v>
      </c>
      <c r="R497" s="30">
        <f>COUNTIF(RAW_DATA[[#This Row],[CONVERTED]],"&gt;0")</f>
        <v>0</v>
      </c>
      <c r="S497" s="30">
        <f>COUNTIFS(RAW_DATA[[#This Row],[AM/PM]],"AM",RAW_DATA[[#This Row],[CONVERTED]],"&gt;0")</f>
        <v>0</v>
      </c>
      <c r="T497" s="19">
        <f t="shared" si="101"/>
        <v>0</v>
      </c>
      <c r="U497" s="20" t="str">
        <f t="shared" si="99"/>
        <v>SINGLE</v>
      </c>
    </row>
    <row r="498" spans="1:21" x14ac:dyDescent="0.35">
      <c r="A498" s="21">
        <f t="shared" si="125"/>
        <v>45339</v>
      </c>
      <c r="B498" s="22" t="str">
        <f t="shared" si="126"/>
        <v>AM</v>
      </c>
      <c r="C498" s="23" t="str">
        <f t="shared" si="127"/>
        <v>February</v>
      </c>
      <c r="D498" s="13" t="str">
        <f t="shared" si="94"/>
        <v>SAT</v>
      </c>
      <c r="E498" s="24">
        <v>1085</v>
      </c>
      <c r="F498" s="24">
        <v>193.89</v>
      </c>
      <c r="G498" s="24">
        <v>5</v>
      </c>
      <c r="H498" s="24">
        <f t="shared" si="128"/>
        <v>43.4</v>
      </c>
      <c r="I498" s="24">
        <f t="shared" si="119"/>
        <v>3.2573519999999996</v>
      </c>
      <c r="J498" s="24">
        <v>0.56000000000000005</v>
      </c>
      <c r="K498" s="24">
        <f t="shared" si="120"/>
        <v>147.23264799999998</v>
      </c>
      <c r="L498" s="25">
        <v>5</v>
      </c>
      <c r="M498" s="25">
        <v>16</v>
      </c>
      <c r="N498" s="26">
        <f t="shared" si="129"/>
        <v>5.2666666666666666</v>
      </c>
      <c r="O498" s="24">
        <f t="shared" si="130"/>
        <v>11.218</v>
      </c>
      <c r="P498" s="24">
        <f t="shared" si="123"/>
        <v>159.01064799999997</v>
      </c>
      <c r="Q498" s="29">
        <f t="shared" si="124"/>
        <v>163.45064799999997</v>
      </c>
      <c r="R498" s="30">
        <f>COUNTIF(RAW_DATA[[#This Row],[CONVERTED]],"&gt;0")</f>
        <v>1</v>
      </c>
      <c r="S498" s="30">
        <f>COUNTIFS(RAW_DATA[[#This Row],[AM/PM]],"AM",RAW_DATA[[#This Row],[CONVERTED]],"&gt;0")</f>
        <v>1</v>
      </c>
      <c r="T498" s="19">
        <f t="shared" si="101"/>
        <v>0</v>
      </c>
      <c r="U498" s="20" t="str">
        <f t="shared" si="99"/>
        <v>DOUBLE</v>
      </c>
    </row>
    <row r="499" spans="1:21" x14ac:dyDescent="0.35">
      <c r="A499" s="21">
        <f t="shared" si="125"/>
        <v>45339</v>
      </c>
      <c r="B499" s="22" t="str">
        <f t="shared" si="126"/>
        <v>PM</v>
      </c>
      <c r="C499" s="23" t="str">
        <f t="shared" si="127"/>
        <v>February</v>
      </c>
      <c r="D499" s="13" t="str">
        <f t="shared" si="94"/>
        <v>SAT</v>
      </c>
      <c r="E499" s="24">
        <v>1526.5</v>
      </c>
      <c r="F499" s="24">
        <v>293.52</v>
      </c>
      <c r="G499" s="24">
        <v>0</v>
      </c>
      <c r="H499" s="24">
        <f t="shared" si="128"/>
        <v>61.06</v>
      </c>
      <c r="I499" s="24">
        <f t="shared" si="119"/>
        <v>4.9311359999999995</v>
      </c>
      <c r="J499" s="24">
        <v>0</v>
      </c>
      <c r="K499" s="24">
        <f t="shared" si="120"/>
        <v>227.528864</v>
      </c>
      <c r="L499" s="25">
        <v>5</v>
      </c>
      <c r="M499" s="25">
        <v>6</v>
      </c>
      <c r="N499" s="26">
        <f t="shared" si="129"/>
        <v>5.0999999999999996</v>
      </c>
      <c r="O499" s="24">
        <f t="shared" si="130"/>
        <v>10.863</v>
      </c>
      <c r="P499" s="24">
        <f t="shared" si="123"/>
        <v>238.391864</v>
      </c>
      <c r="Q499" s="29">
        <f t="shared" si="124"/>
        <v>238.391864</v>
      </c>
      <c r="R499" s="30">
        <f>COUNTIF(RAW_DATA[[#This Row],[CONVERTED]],"&gt;0")</f>
        <v>1</v>
      </c>
      <c r="S499" s="30">
        <f>COUNTIFS(RAW_DATA[[#This Row],[AM/PM]],"AM",RAW_DATA[[#This Row],[CONVERTED]],"&gt;0")</f>
        <v>0</v>
      </c>
      <c r="T499" s="19">
        <f t="shared" si="101"/>
        <v>1</v>
      </c>
      <c r="U499" s="20" t="str">
        <f t="shared" si="99"/>
        <v>DOUBLE</v>
      </c>
    </row>
    <row r="500" spans="1:21" x14ac:dyDescent="0.35">
      <c r="A500" s="21">
        <f t="shared" si="125"/>
        <v>45340</v>
      </c>
      <c r="B500" s="22" t="str">
        <f t="shared" si="126"/>
        <v>AM</v>
      </c>
      <c r="C500" s="23" t="str">
        <f t="shared" si="127"/>
        <v>February</v>
      </c>
      <c r="D500" s="13" t="str">
        <f t="shared" si="94"/>
        <v>SUN</v>
      </c>
      <c r="E500" s="24">
        <v>779</v>
      </c>
      <c r="F500" s="24">
        <v>137.66</v>
      </c>
      <c r="G500" s="24">
        <v>20</v>
      </c>
      <c r="H500" s="24">
        <f t="shared" si="128"/>
        <v>31.16</v>
      </c>
      <c r="I500" s="24">
        <f t="shared" si="119"/>
        <v>2.3126879999999996</v>
      </c>
      <c r="J500" s="24">
        <v>5.4</v>
      </c>
      <c r="K500" s="24">
        <f t="shared" si="120"/>
        <v>104.18731199999999</v>
      </c>
      <c r="L500" s="25">
        <v>4</v>
      </c>
      <c r="M500" s="25">
        <v>40</v>
      </c>
      <c r="N500" s="26">
        <f t="shared" si="129"/>
        <v>4.666666666666667</v>
      </c>
      <c r="O500" s="24">
        <f t="shared" si="130"/>
        <v>9.94</v>
      </c>
      <c r="P500" s="24">
        <f t="shared" si="123"/>
        <v>119.52731199999999</v>
      </c>
      <c r="Q500" s="29">
        <f t="shared" si="124"/>
        <v>134.12731199999999</v>
      </c>
      <c r="R500" s="30">
        <f>COUNTIF(RAW_DATA[[#This Row],[CONVERTED]],"&gt;0")</f>
        <v>1</v>
      </c>
      <c r="S500" s="30">
        <f>COUNTIFS(RAW_DATA[[#This Row],[AM/PM]],"AM",RAW_DATA[[#This Row],[CONVERTED]],"&gt;0")</f>
        <v>1</v>
      </c>
      <c r="T500" s="19">
        <f t="shared" si="101"/>
        <v>0</v>
      </c>
      <c r="U500" s="20" t="str">
        <f t="shared" si="99"/>
        <v>DOUBLE</v>
      </c>
    </row>
    <row r="501" spans="1:21" x14ac:dyDescent="0.35">
      <c r="A501" s="21">
        <f t="shared" si="125"/>
        <v>45340</v>
      </c>
      <c r="B501" s="22" t="str">
        <f t="shared" si="126"/>
        <v>PM</v>
      </c>
      <c r="C501" s="23" t="str">
        <f t="shared" si="127"/>
        <v>February</v>
      </c>
      <c r="D501" s="13" t="str">
        <f t="shared" si="94"/>
        <v>SUN</v>
      </c>
      <c r="E501" s="24">
        <v>1245</v>
      </c>
      <c r="F501" s="24">
        <v>254.37</v>
      </c>
      <c r="G501" s="24">
        <v>25</v>
      </c>
      <c r="H501" s="24">
        <f t="shared" si="128"/>
        <v>49.800000000000004</v>
      </c>
      <c r="I501" s="24">
        <f t="shared" si="119"/>
        <v>4.2734160000000001</v>
      </c>
      <c r="J501" s="24">
        <v>1.1200000000000001</v>
      </c>
      <c r="K501" s="24">
        <f t="shared" si="120"/>
        <v>200.296584</v>
      </c>
      <c r="L501" s="25">
        <v>4</v>
      </c>
      <c r="M501" s="25">
        <v>35</v>
      </c>
      <c r="N501" s="26">
        <f t="shared" si="129"/>
        <v>4.583333333333333</v>
      </c>
      <c r="O501" s="24">
        <f t="shared" si="130"/>
        <v>9.7624999999999993</v>
      </c>
      <c r="P501" s="24">
        <f t="shared" si="123"/>
        <v>211.17908399999999</v>
      </c>
      <c r="Q501" s="29">
        <f t="shared" si="124"/>
        <v>235.05908399999998</v>
      </c>
      <c r="R501" s="30">
        <f>COUNTIF(RAW_DATA[[#This Row],[CONVERTED]],"&gt;0")</f>
        <v>1</v>
      </c>
      <c r="S501" s="30">
        <f>COUNTIFS(RAW_DATA[[#This Row],[AM/PM]],"AM",RAW_DATA[[#This Row],[CONVERTED]],"&gt;0")</f>
        <v>0</v>
      </c>
      <c r="T501" s="19">
        <f t="shared" si="101"/>
        <v>1</v>
      </c>
      <c r="U501" s="20" t="str">
        <f t="shared" si="99"/>
        <v>DOUBLE</v>
      </c>
    </row>
    <row r="502" spans="1:21" x14ac:dyDescent="0.35">
      <c r="A502" s="21">
        <f>IF(B501 = "AM",A501,A501+1)</f>
        <v>45341</v>
      </c>
      <c r="B502" s="22" t="str">
        <f>IF(B501="AM","PM","AM")</f>
        <v>AM</v>
      </c>
      <c r="C502" s="23" t="str">
        <f>TEXT(A502,"mmmm")</f>
        <v>February</v>
      </c>
      <c r="D502" s="13" t="str">
        <f t="shared" si="94"/>
        <v>MON</v>
      </c>
      <c r="E502" s="24">
        <v>566</v>
      </c>
      <c r="F502" s="24">
        <v>69.63</v>
      </c>
      <c r="G502" s="24">
        <v>34</v>
      </c>
      <c r="H502" s="24">
        <f>E502*0.04</f>
        <v>22.64</v>
      </c>
      <c r="I502" s="24">
        <f t="shared" si="119"/>
        <v>1.1697839999999999</v>
      </c>
      <c r="J502" s="24">
        <v>9.84</v>
      </c>
      <c r="K502" s="24">
        <f t="shared" si="120"/>
        <v>45.820215999999995</v>
      </c>
      <c r="L502" s="25">
        <v>4</v>
      </c>
      <c r="M502" s="25">
        <v>0</v>
      </c>
      <c r="N502" s="26">
        <f>((L502*60)+M502)/60</f>
        <v>4</v>
      </c>
      <c r="O502" s="24">
        <f>N502*2.13</f>
        <v>8.52</v>
      </c>
      <c r="P502" s="24">
        <f t="shared" si="123"/>
        <v>64.180215999999987</v>
      </c>
      <c r="Q502" s="29">
        <f t="shared" si="124"/>
        <v>88.340215999999984</v>
      </c>
      <c r="R502" s="30">
        <f>COUNTIF(RAW_DATA[[#This Row],[CONVERTED]],"&gt;0")</f>
        <v>1</v>
      </c>
      <c r="S502" s="30">
        <f>COUNTIFS(RAW_DATA[[#This Row],[AM/PM]],"AM",RAW_DATA[[#This Row],[CONVERTED]],"&gt;0")</f>
        <v>1</v>
      </c>
      <c r="T502" s="19">
        <f t="shared" si="101"/>
        <v>0</v>
      </c>
      <c r="U502" s="20" t="str">
        <f t="shared" si="99"/>
        <v>DOUBLE</v>
      </c>
    </row>
    <row r="503" spans="1:21" x14ac:dyDescent="0.35">
      <c r="A503" s="21">
        <f t="shared" ref="A503:A508" si="131">IF(B502 = "AM",A502,A502+1)</f>
        <v>45341</v>
      </c>
      <c r="B503" s="22" t="str">
        <f t="shared" ref="B503:B508" si="132">IF(B502="AM","PM","AM")</f>
        <v>PM</v>
      </c>
      <c r="C503" s="23" t="str">
        <f t="shared" ref="C503:C508" si="133">TEXT(A503,"mmmm")</f>
        <v>February</v>
      </c>
      <c r="D503" s="13" t="str">
        <f t="shared" si="94"/>
        <v>MON</v>
      </c>
      <c r="E503" s="24">
        <v>1027.5</v>
      </c>
      <c r="F503" s="24">
        <v>196.57</v>
      </c>
      <c r="G503" s="24">
        <v>16</v>
      </c>
      <c r="H503" s="24">
        <f t="shared" ref="H503:H508" si="134">E503*0.04</f>
        <v>41.1</v>
      </c>
      <c r="I503" s="24">
        <f t="shared" si="119"/>
        <v>3.3023759999999998</v>
      </c>
      <c r="J503" s="24">
        <v>5.84</v>
      </c>
      <c r="K503" s="24">
        <f t="shared" si="120"/>
        <v>152.16762399999999</v>
      </c>
      <c r="L503" s="25">
        <v>4</v>
      </c>
      <c r="M503" s="25">
        <v>58</v>
      </c>
      <c r="N503" s="26">
        <f t="shared" ref="N503:N508" si="135">((L503*60)+M503)/60</f>
        <v>4.9666666666666668</v>
      </c>
      <c r="O503" s="24">
        <f t="shared" si="130"/>
        <v>10.578999999999999</v>
      </c>
      <c r="P503" s="24">
        <f t="shared" si="123"/>
        <v>168.586624</v>
      </c>
      <c r="Q503" s="29">
        <f t="shared" si="124"/>
        <v>178.746624</v>
      </c>
      <c r="R503" s="30">
        <f>COUNTIF(RAW_DATA[[#This Row],[CONVERTED]],"&gt;0")</f>
        <v>1</v>
      </c>
      <c r="S503" s="30">
        <f>COUNTIFS(RAW_DATA[[#This Row],[AM/PM]],"AM",RAW_DATA[[#This Row],[CONVERTED]],"&gt;0")</f>
        <v>0</v>
      </c>
      <c r="T503" s="19">
        <f t="shared" si="101"/>
        <v>1</v>
      </c>
      <c r="U503" s="20" t="str">
        <f t="shared" si="99"/>
        <v>DOUBLE</v>
      </c>
    </row>
    <row r="504" spans="1:21" x14ac:dyDescent="0.35">
      <c r="A504" s="21">
        <f t="shared" si="131"/>
        <v>45342</v>
      </c>
      <c r="B504" s="22" t="str">
        <f t="shared" si="132"/>
        <v>AM</v>
      </c>
      <c r="C504" s="23" t="str">
        <f t="shared" si="133"/>
        <v>February</v>
      </c>
      <c r="D504" s="13" t="str">
        <f t="shared" si="94"/>
        <v>TUE</v>
      </c>
      <c r="E504" s="24">
        <v>0</v>
      </c>
      <c r="F504" s="24">
        <v>0</v>
      </c>
      <c r="G504" s="24">
        <v>0</v>
      </c>
      <c r="H504" s="24">
        <f t="shared" si="134"/>
        <v>0</v>
      </c>
      <c r="I504" s="24">
        <f t="shared" si="119"/>
        <v>0</v>
      </c>
      <c r="J504" s="24">
        <v>0</v>
      </c>
      <c r="K504" s="24">
        <f t="shared" si="120"/>
        <v>0</v>
      </c>
      <c r="L504" s="25">
        <v>0</v>
      </c>
      <c r="M504" s="25">
        <v>0</v>
      </c>
      <c r="N504" s="26">
        <f t="shared" si="135"/>
        <v>0</v>
      </c>
      <c r="O504" s="24">
        <f t="shared" si="130"/>
        <v>0</v>
      </c>
      <c r="P504" s="24">
        <f t="shared" si="123"/>
        <v>0</v>
      </c>
      <c r="Q504" s="29">
        <f t="shared" si="124"/>
        <v>0</v>
      </c>
      <c r="R504" s="30">
        <f>COUNTIF(RAW_DATA[[#This Row],[CONVERTED]],"&gt;0")</f>
        <v>0</v>
      </c>
      <c r="S504" s="30">
        <f>COUNTIFS(RAW_DATA[[#This Row],[AM/PM]],"AM",RAW_DATA[[#This Row],[CONVERTED]],"&gt;0")</f>
        <v>0</v>
      </c>
      <c r="T504" s="19">
        <f t="shared" si="101"/>
        <v>0</v>
      </c>
      <c r="U504" s="20" t="str">
        <f t="shared" si="99"/>
        <v>SINGLE</v>
      </c>
    </row>
    <row r="505" spans="1:21" x14ac:dyDescent="0.35">
      <c r="A505" s="21">
        <f t="shared" si="131"/>
        <v>45342</v>
      </c>
      <c r="B505" s="22" t="str">
        <f t="shared" si="132"/>
        <v>PM</v>
      </c>
      <c r="C505" s="23" t="str">
        <f t="shared" si="133"/>
        <v>February</v>
      </c>
      <c r="D505" s="13" t="str">
        <f t="shared" si="94"/>
        <v>TUE</v>
      </c>
      <c r="E505" s="24">
        <v>0</v>
      </c>
      <c r="F505" s="24">
        <v>0</v>
      </c>
      <c r="G505" s="24">
        <v>0</v>
      </c>
      <c r="H505" s="24">
        <f t="shared" si="134"/>
        <v>0</v>
      </c>
      <c r="I505" s="24">
        <f t="shared" si="119"/>
        <v>0</v>
      </c>
      <c r="J505" s="24">
        <v>0</v>
      </c>
      <c r="K505" s="24">
        <f t="shared" si="120"/>
        <v>0</v>
      </c>
      <c r="L505" s="25">
        <v>0</v>
      </c>
      <c r="M505" s="25">
        <v>0</v>
      </c>
      <c r="N505" s="26">
        <f t="shared" si="135"/>
        <v>0</v>
      </c>
      <c r="O505" s="24">
        <f t="shared" si="130"/>
        <v>0</v>
      </c>
      <c r="P505" s="24">
        <f t="shared" si="123"/>
        <v>0</v>
      </c>
      <c r="Q505" s="29">
        <f t="shared" si="124"/>
        <v>0</v>
      </c>
      <c r="R505" s="30">
        <f>COUNTIF(RAW_DATA[[#This Row],[CONVERTED]],"&gt;0")</f>
        <v>0</v>
      </c>
      <c r="S505" s="30">
        <f>COUNTIFS(RAW_DATA[[#This Row],[AM/PM]],"AM",RAW_DATA[[#This Row],[CONVERTED]],"&gt;0")</f>
        <v>0</v>
      </c>
      <c r="T505" s="19">
        <f t="shared" si="101"/>
        <v>0</v>
      </c>
      <c r="U505" s="20" t="str">
        <f t="shared" si="99"/>
        <v>SINGLE</v>
      </c>
    </row>
    <row r="506" spans="1:21" x14ac:dyDescent="0.35">
      <c r="A506" s="54">
        <f t="shared" si="131"/>
        <v>45343</v>
      </c>
      <c r="B506" s="55" t="str">
        <f t="shared" si="132"/>
        <v>AM</v>
      </c>
      <c r="C506" s="56" t="str">
        <f t="shared" si="133"/>
        <v>February</v>
      </c>
      <c r="D506" s="57" t="str">
        <f t="shared" si="94"/>
        <v>WED</v>
      </c>
      <c r="E506" s="58">
        <v>0</v>
      </c>
      <c r="F506" s="58">
        <v>0</v>
      </c>
      <c r="G506" s="58">
        <v>0</v>
      </c>
      <c r="H506" s="58">
        <f t="shared" si="134"/>
        <v>0</v>
      </c>
      <c r="I506" s="58">
        <f t="shared" si="119"/>
        <v>0</v>
      </c>
      <c r="J506" s="58">
        <v>0</v>
      </c>
      <c r="K506" s="58">
        <f t="shared" si="120"/>
        <v>0</v>
      </c>
      <c r="L506" s="59">
        <v>0</v>
      </c>
      <c r="M506" s="59">
        <v>0</v>
      </c>
      <c r="N506" s="60">
        <f t="shared" si="135"/>
        <v>0</v>
      </c>
      <c r="O506" s="58">
        <f t="shared" si="130"/>
        <v>0</v>
      </c>
      <c r="P506" s="58">
        <f t="shared" si="123"/>
        <v>0</v>
      </c>
      <c r="Q506" s="61">
        <f t="shared" si="124"/>
        <v>0</v>
      </c>
      <c r="R506" s="62">
        <f>COUNTIF(RAW_DATA[[#This Row],[CONVERTED]],"&gt;0")</f>
        <v>0</v>
      </c>
      <c r="S506" s="62">
        <f>COUNTIFS(RAW_DATA[[#This Row],[AM/PM]],"AM",RAW_DATA[[#This Row],[CONVERTED]],"&gt;0")</f>
        <v>0</v>
      </c>
      <c r="T506" s="63">
        <f t="shared" si="101"/>
        <v>0</v>
      </c>
      <c r="U506" s="64" t="str">
        <f t="shared" si="99"/>
        <v>SINGLE</v>
      </c>
    </row>
    <row r="507" spans="1:21" x14ac:dyDescent="0.35">
      <c r="A507" s="21">
        <f t="shared" si="131"/>
        <v>45343</v>
      </c>
      <c r="B507" s="22" t="str">
        <f t="shared" si="132"/>
        <v>PM</v>
      </c>
      <c r="C507" s="23" t="str">
        <f t="shared" si="133"/>
        <v>February</v>
      </c>
      <c r="D507" s="13" t="str">
        <f t="shared" si="94"/>
        <v>WED</v>
      </c>
      <c r="E507" s="24">
        <v>0</v>
      </c>
      <c r="F507" s="24">
        <v>0</v>
      </c>
      <c r="G507" s="24">
        <v>0</v>
      </c>
      <c r="H507" s="24">
        <f t="shared" si="134"/>
        <v>0</v>
      </c>
      <c r="I507" s="24">
        <f t="shared" si="119"/>
        <v>0</v>
      </c>
      <c r="J507" s="24">
        <v>0</v>
      </c>
      <c r="K507" s="24">
        <f t="shared" si="120"/>
        <v>0</v>
      </c>
      <c r="L507" s="25">
        <v>0</v>
      </c>
      <c r="M507" s="25">
        <v>0</v>
      </c>
      <c r="N507" s="26">
        <f t="shared" si="135"/>
        <v>0</v>
      </c>
      <c r="O507" s="24">
        <f t="shared" si="130"/>
        <v>0</v>
      </c>
      <c r="P507" s="24">
        <f t="shared" si="123"/>
        <v>0</v>
      </c>
      <c r="Q507" s="29">
        <f t="shared" si="124"/>
        <v>0</v>
      </c>
      <c r="R507" s="30">
        <f>COUNTIF(RAW_DATA[[#This Row],[CONVERTED]],"&gt;0")</f>
        <v>0</v>
      </c>
      <c r="S507" s="30">
        <f>COUNTIFS(RAW_DATA[[#This Row],[AM/PM]],"AM",RAW_DATA[[#This Row],[CONVERTED]],"&gt;0")</f>
        <v>0</v>
      </c>
      <c r="T507" s="19">
        <f t="shared" si="101"/>
        <v>0</v>
      </c>
      <c r="U507" s="20" t="str">
        <f t="shared" si="99"/>
        <v>SINGLE</v>
      </c>
    </row>
    <row r="508" spans="1:21" x14ac:dyDescent="0.35">
      <c r="A508" s="21">
        <f t="shared" si="131"/>
        <v>45344</v>
      </c>
      <c r="B508" s="22" t="str">
        <f t="shared" si="132"/>
        <v>AM</v>
      </c>
      <c r="C508" s="23" t="str">
        <f t="shared" si="133"/>
        <v>February</v>
      </c>
      <c r="D508" s="13" t="str">
        <f t="shared" si="94"/>
        <v>THU</v>
      </c>
      <c r="E508" s="24">
        <v>0</v>
      </c>
      <c r="F508" s="24">
        <v>0</v>
      </c>
      <c r="G508" s="24">
        <v>0</v>
      </c>
      <c r="H508" s="24">
        <f t="shared" si="134"/>
        <v>0</v>
      </c>
      <c r="I508" s="24">
        <f t="shared" si="119"/>
        <v>0</v>
      </c>
      <c r="J508" s="24">
        <v>0</v>
      </c>
      <c r="K508" s="24">
        <f t="shared" si="120"/>
        <v>0</v>
      </c>
      <c r="L508" s="25">
        <v>0</v>
      </c>
      <c r="M508" s="25">
        <v>0</v>
      </c>
      <c r="N508" s="26">
        <f t="shared" si="135"/>
        <v>0</v>
      </c>
      <c r="O508" s="24">
        <f t="shared" si="130"/>
        <v>0</v>
      </c>
      <c r="P508" s="24">
        <f t="shared" si="123"/>
        <v>0</v>
      </c>
      <c r="Q508" s="29">
        <f t="shared" si="124"/>
        <v>0</v>
      </c>
      <c r="R508" s="30">
        <f>COUNTIF(RAW_DATA[[#This Row],[CONVERTED]],"&gt;0")</f>
        <v>0</v>
      </c>
      <c r="S508" s="30">
        <f>COUNTIFS(RAW_DATA[[#This Row],[AM/PM]],"AM",RAW_DATA[[#This Row],[CONVERTED]],"&gt;0")</f>
        <v>0</v>
      </c>
      <c r="T508" s="19">
        <f t="shared" si="101"/>
        <v>0</v>
      </c>
      <c r="U508" s="20" t="str">
        <f t="shared" si="99"/>
        <v>SINGLE</v>
      </c>
    </row>
    <row r="509" spans="1:21" x14ac:dyDescent="0.35">
      <c r="A509" s="21">
        <f>IF(B508 = "AM",A508,A508+1)</f>
        <v>45344</v>
      </c>
      <c r="B509" s="22" t="str">
        <f>IF(B508="AM","PM","AM")</f>
        <v>PM</v>
      </c>
      <c r="C509" s="23" t="str">
        <f>TEXT(A509,"mmmm")</f>
        <v>February</v>
      </c>
      <c r="D509" s="13" t="str">
        <f t="shared" si="94"/>
        <v>THU</v>
      </c>
      <c r="E509" s="24">
        <v>0</v>
      </c>
      <c r="F509" s="24">
        <v>0</v>
      </c>
      <c r="G509" s="24">
        <v>0</v>
      </c>
      <c r="H509" s="24">
        <v>0</v>
      </c>
      <c r="I509" s="24">
        <f t="shared" si="119"/>
        <v>0</v>
      </c>
      <c r="J509" s="24">
        <v>0</v>
      </c>
      <c r="K509" s="24">
        <v>0</v>
      </c>
      <c r="L509" s="25">
        <v>0</v>
      </c>
      <c r="M509" s="25">
        <v>0</v>
      </c>
      <c r="N509" s="26">
        <f>((L509*60)+M509)/60</f>
        <v>0</v>
      </c>
      <c r="O509" s="24">
        <f>N509*2.13</f>
        <v>0</v>
      </c>
      <c r="P509" s="24">
        <v>0</v>
      </c>
      <c r="Q509" s="29">
        <v>0</v>
      </c>
      <c r="R509" s="30">
        <f>COUNTIF(RAW_DATA[[#This Row],[CONVERTED]],"&gt;0")</f>
        <v>0</v>
      </c>
      <c r="S509" s="30">
        <f>COUNTIFS(RAW_DATA[[#This Row],[AM/PM]],"AM",RAW_DATA[[#This Row],[CONVERTED]],"&gt;0")</f>
        <v>0</v>
      </c>
      <c r="T509" s="19">
        <f t="shared" si="101"/>
        <v>0</v>
      </c>
      <c r="U509" s="20" t="str">
        <f t="shared" si="99"/>
        <v>SINGLE</v>
      </c>
    </row>
    <row r="510" spans="1:21" x14ac:dyDescent="0.35">
      <c r="A510" s="21">
        <f>IF(B509 = "AM",A509,A509+1)</f>
        <v>45345</v>
      </c>
      <c r="B510" s="22" t="str">
        <f>IF(B509="AM","PM","AM")</f>
        <v>AM</v>
      </c>
      <c r="C510" s="23" t="str">
        <f>TEXT(A510,"mmmm")</f>
        <v>February</v>
      </c>
      <c r="D510" s="13" t="str">
        <f t="shared" si="94"/>
        <v>FRI</v>
      </c>
      <c r="E510" s="24">
        <v>0</v>
      </c>
      <c r="F510" s="24">
        <v>0</v>
      </c>
      <c r="G510" s="24">
        <v>0</v>
      </c>
      <c r="H510" s="24">
        <f>E510*0.04</f>
        <v>0</v>
      </c>
      <c r="I510" s="24">
        <f>F510*0.0168</f>
        <v>0</v>
      </c>
      <c r="J510" s="24">
        <v>0</v>
      </c>
      <c r="K510" s="24">
        <f>F510-(H510+I510)</f>
        <v>0</v>
      </c>
      <c r="L510" s="25">
        <v>0</v>
      </c>
      <c r="M510" s="25">
        <v>0</v>
      </c>
      <c r="N510" s="26">
        <f>((L510*60)+M510)/60</f>
        <v>0</v>
      </c>
      <c r="O510" s="24">
        <f>N510*2.13</f>
        <v>0</v>
      </c>
      <c r="P510" s="24">
        <f>K510+J510+O510</f>
        <v>0</v>
      </c>
      <c r="Q510" s="29">
        <f>G510+K510+O510</f>
        <v>0</v>
      </c>
      <c r="R510" s="30">
        <f>COUNTIF(RAW_DATA[[#This Row],[CONVERTED]],"&gt;0")</f>
        <v>0</v>
      </c>
      <c r="S510" s="30">
        <f>COUNTIFS(RAW_DATA[[#This Row],[AM/PM]],"AM",RAW_DATA[[#This Row],[CONVERTED]],"&gt;0")</f>
        <v>0</v>
      </c>
      <c r="T510" s="19">
        <f t="shared" si="101"/>
        <v>0</v>
      </c>
      <c r="U510" s="20" t="str">
        <f t="shared" si="99"/>
        <v>SINGLE</v>
      </c>
    </row>
    <row r="511" spans="1:21" x14ac:dyDescent="0.35">
      <c r="A511" s="21">
        <f>IF(B510 = "AM",A510,A510+1)</f>
        <v>45345</v>
      </c>
      <c r="B511" s="22" t="str">
        <f>IF(B510="AM","PM","AM")</f>
        <v>PM</v>
      </c>
      <c r="C511" s="23" t="str">
        <f>TEXT(A511,"mmmm")</f>
        <v>February</v>
      </c>
      <c r="D511" s="13" t="str">
        <f t="shared" si="94"/>
        <v>FRI</v>
      </c>
      <c r="E511" s="24">
        <v>0</v>
      </c>
      <c r="F511" s="24">
        <v>0</v>
      </c>
      <c r="G511" s="24">
        <v>0</v>
      </c>
      <c r="H511" s="24">
        <f>E511*0.04</f>
        <v>0</v>
      </c>
      <c r="I511" s="24">
        <f>F511*0.0168</f>
        <v>0</v>
      </c>
      <c r="J511" s="24">
        <v>0</v>
      </c>
      <c r="K511" s="24">
        <f>F511-(H511+I511)</f>
        <v>0</v>
      </c>
      <c r="L511" s="25">
        <v>0</v>
      </c>
      <c r="M511" s="25">
        <v>0</v>
      </c>
      <c r="N511" s="26">
        <f>((L511*60)+M511)/60</f>
        <v>0</v>
      </c>
      <c r="O511" s="24">
        <f>N511*2.13</f>
        <v>0</v>
      </c>
      <c r="P511" s="24">
        <f>K511+J511+O511</f>
        <v>0</v>
      </c>
      <c r="Q511" s="29">
        <f>G511+K511+O511</f>
        <v>0</v>
      </c>
      <c r="R511" s="30">
        <f>COUNTIF(RAW_DATA[[#This Row],[CONVERTED]],"&gt;0")</f>
        <v>0</v>
      </c>
      <c r="S511" s="30">
        <f>COUNTIFS(RAW_DATA[[#This Row],[AM/PM]],"AM",RAW_DATA[[#This Row],[CONVERTED]],"&gt;0")</f>
        <v>0</v>
      </c>
      <c r="T511" s="19">
        <f t="shared" si="101"/>
        <v>0</v>
      </c>
      <c r="U511" s="20" t="str">
        <f t="shared" si="99"/>
        <v>SINGLE</v>
      </c>
    </row>
    <row r="512" spans="1:21" x14ac:dyDescent="0.35">
      <c r="A512" s="21">
        <f t="shared" ref="A512:A574" si="136">IF(B511 = "AM",A511,A511+1)</f>
        <v>45346</v>
      </c>
      <c r="B512" s="22" t="str">
        <f t="shared" ref="B512:B574" si="137">IF(B511="AM","PM","AM")</f>
        <v>AM</v>
      </c>
      <c r="C512" s="23" t="str">
        <f t="shared" ref="C512:C575" si="138">TEXT(A512,"mmmm")</f>
        <v>February</v>
      </c>
      <c r="D512" s="13" t="str">
        <f t="shared" si="94"/>
        <v>SAT</v>
      </c>
      <c r="E512" s="24">
        <v>0</v>
      </c>
      <c r="F512" s="24">
        <v>0</v>
      </c>
      <c r="G512" s="24">
        <v>0</v>
      </c>
      <c r="H512" s="24">
        <f t="shared" ref="H512:H575" si="139">E512*0.04</f>
        <v>0</v>
      </c>
      <c r="I512" s="24">
        <f t="shared" ref="I512:I575" si="140">F512*0.0168</f>
        <v>0</v>
      </c>
      <c r="J512" s="24">
        <v>0</v>
      </c>
      <c r="K512" s="24">
        <f t="shared" ref="K512:K575" si="141">F512-(H512+I512)</f>
        <v>0</v>
      </c>
      <c r="L512" s="25">
        <v>0</v>
      </c>
      <c r="M512" s="25">
        <v>0</v>
      </c>
      <c r="N512" s="26">
        <f t="shared" ref="N512:N575" si="142">((L512*60)+M512)/60</f>
        <v>0</v>
      </c>
      <c r="O512" s="24">
        <f t="shared" ref="O512:O523" si="143">N512*2.13</f>
        <v>0</v>
      </c>
      <c r="P512" s="24">
        <f t="shared" ref="P512:P575" si="144">K512+J512+O512</f>
        <v>0</v>
      </c>
      <c r="Q512" s="29">
        <f t="shared" ref="Q512:Q575" si="145">G512+K512+O512</f>
        <v>0</v>
      </c>
      <c r="R512" s="30">
        <f>COUNTIF(RAW_DATA[[#This Row],[CONVERTED]],"&gt;0")</f>
        <v>0</v>
      </c>
      <c r="S512" s="30">
        <f>COUNTIFS(RAW_DATA[[#This Row],[AM/PM]],"AM",RAW_DATA[[#This Row],[CONVERTED]],"&gt;0")</f>
        <v>0</v>
      </c>
      <c r="T512" s="19">
        <f t="shared" si="101"/>
        <v>0</v>
      </c>
      <c r="U512" s="20" t="str">
        <f t="shared" si="99"/>
        <v>SINGLE</v>
      </c>
    </row>
    <row r="513" spans="1:21" x14ac:dyDescent="0.35">
      <c r="A513" s="21">
        <f t="shared" si="136"/>
        <v>45346</v>
      </c>
      <c r="B513" s="22" t="str">
        <f t="shared" si="137"/>
        <v>PM</v>
      </c>
      <c r="C513" s="23" t="str">
        <f t="shared" si="138"/>
        <v>February</v>
      </c>
      <c r="D513" s="13" t="str">
        <f t="shared" si="94"/>
        <v>SAT</v>
      </c>
      <c r="E513" s="24">
        <v>1762</v>
      </c>
      <c r="F513" s="24">
        <v>282.76</v>
      </c>
      <c r="G513" s="24">
        <v>70</v>
      </c>
      <c r="H513" s="24">
        <f t="shared" si="139"/>
        <v>70.48</v>
      </c>
      <c r="I513" s="24">
        <f t="shared" si="140"/>
        <v>4.7503679999999999</v>
      </c>
      <c r="J513" s="24">
        <v>0</v>
      </c>
      <c r="K513" s="24">
        <f t="shared" si="141"/>
        <v>207.52963199999999</v>
      </c>
      <c r="L513" s="25">
        <v>5</v>
      </c>
      <c r="M513" s="25">
        <v>45</v>
      </c>
      <c r="N513" s="26">
        <f t="shared" si="142"/>
        <v>5.75</v>
      </c>
      <c r="O513" s="24">
        <f t="shared" si="143"/>
        <v>12.247499999999999</v>
      </c>
      <c r="P513" s="24">
        <f t="shared" si="144"/>
        <v>219.77713199999999</v>
      </c>
      <c r="Q513" s="29">
        <f t="shared" si="145"/>
        <v>289.77713199999999</v>
      </c>
      <c r="R513" s="30">
        <f>COUNTIF(RAW_DATA[[#This Row],[CONVERTED]],"&gt;0")</f>
        <v>1</v>
      </c>
      <c r="S513" s="30">
        <f>COUNTIFS(RAW_DATA[[#This Row],[AM/PM]],"AM",RAW_DATA[[#This Row],[CONVERTED]],"&gt;0")</f>
        <v>0</v>
      </c>
      <c r="T513" s="19">
        <f t="shared" si="101"/>
        <v>0</v>
      </c>
      <c r="U513" s="20" t="str">
        <f t="shared" si="99"/>
        <v>SINGLE</v>
      </c>
    </row>
    <row r="514" spans="1:21" x14ac:dyDescent="0.35">
      <c r="A514" s="21">
        <f t="shared" si="136"/>
        <v>45347</v>
      </c>
      <c r="B514" s="22" t="str">
        <f t="shared" si="137"/>
        <v>AM</v>
      </c>
      <c r="C514" s="23" t="str">
        <f t="shared" si="138"/>
        <v>February</v>
      </c>
      <c r="D514" s="13" t="str">
        <f t="shared" ref="D514:D577" si="146">CHOOSE(WEEKDAY(A514),"SUN","MON","TUE","WED","THU","FRI","SAT")</f>
        <v>SUN</v>
      </c>
      <c r="E514" s="24">
        <v>0</v>
      </c>
      <c r="F514" s="24">
        <v>0</v>
      </c>
      <c r="G514" s="24">
        <v>0</v>
      </c>
      <c r="H514" s="24">
        <f t="shared" si="139"/>
        <v>0</v>
      </c>
      <c r="I514" s="24">
        <f t="shared" si="140"/>
        <v>0</v>
      </c>
      <c r="J514" s="24">
        <v>0</v>
      </c>
      <c r="K514" s="24">
        <f t="shared" si="141"/>
        <v>0</v>
      </c>
      <c r="L514" s="25">
        <v>0</v>
      </c>
      <c r="M514" s="25">
        <v>0</v>
      </c>
      <c r="N514" s="26">
        <f t="shared" si="142"/>
        <v>0</v>
      </c>
      <c r="O514" s="24">
        <f t="shared" si="143"/>
        <v>0</v>
      </c>
      <c r="P514" s="24">
        <f t="shared" si="144"/>
        <v>0</v>
      </c>
      <c r="Q514" s="29">
        <f t="shared" si="145"/>
        <v>0</v>
      </c>
      <c r="R514" s="30">
        <f>COUNTIF(RAW_DATA[[#This Row],[CONVERTED]],"&gt;0")</f>
        <v>0</v>
      </c>
      <c r="S514" s="30">
        <f>COUNTIFS(RAW_DATA[[#This Row],[AM/PM]],"AM",RAW_DATA[[#This Row],[CONVERTED]],"&gt;0")</f>
        <v>0</v>
      </c>
      <c r="T514" s="19">
        <f t="shared" si="101"/>
        <v>0</v>
      </c>
      <c r="U514" s="20" t="str">
        <f t="shared" ref="U514:U577" si="147">IF(AND(S514=1,T515=1,B514="AM"),"DOUBLE",IF(AND(S513=1,N514&gt;0),"DOUBLE","SINGLE"))</f>
        <v>SINGLE</v>
      </c>
    </row>
    <row r="515" spans="1:21" x14ac:dyDescent="0.35">
      <c r="A515" s="21">
        <f t="shared" si="136"/>
        <v>45347</v>
      </c>
      <c r="B515" s="22" t="str">
        <f t="shared" si="137"/>
        <v>PM</v>
      </c>
      <c r="C515" s="23" t="str">
        <f t="shared" si="138"/>
        <v>February</v>
      </c>
      <c r="D515" s="13" t="str">
        <f t="shared" si="146"/>
        <v>SUN</v>
      </c>
      <c r="E515" s="24">
        <v>1062</v>
      </c>
      <c r="F515" s="24">
        <v>173.3</v>
      </c>
      <c r="G515" s="24">
        <v>30</v>
      </c>
      <c r="H515" s="24">
        <f t="shared" si="139"/>
        <v>42.480000000000004</v>
      </c>
      <c r="I515" s="24">
        <f t="shared" si="140"/>
        <v>2.9114399999999998</v>
      </c>
      <c r="J515" s="24">
        <v>9.52</v>
      </c>
      <c r="K515" s="24">
        <f t="shared" si="141"/>
        <v>127.90856000000001</v>
      </c>
      <c r="L515" s="25">
        <v>5</v>
      </c>
      <c r="M515" s="25">
        <v>14</v>
      </c>
      <c r="N515" s="26">
        <f t="shared" si="142"/>
        <v>5.2333333333333334</v>
      </c>
      <c r="O515" s="24">
        <f t="shared" si="143"/>
        <v>11.147</v>
      </c>
      <c r="P515" s="24">
        <f t="shared" si="144"/>
        <v>148.57556</v>
      </c>
      <c r="Q515" s="29">
        <f t="shared" si="145"/>
        <v>169.05556000000001</v>
      </c>
      <c r="R515" s="30">
        <f>COUNTIF(RAW_DATA[[#This Row],[CONVERTED]],"&gt;0")</f>
        <v>1</v>
      </c>
      <c r="S515" s="30">
        <f>COUNTIFS(RAW_DATA[[#This Row],[AM/PM]],"AM",RAW_DATA[[#This Row],[CONVERTED]],"&gt;0")</f>
        <v>0</v>
      </c>
      <c r="T515" s="19">
        <f t="shared" ref="T515:T578" si="148">IF(AND($S514=1,$N515&gt;0),1,0)</f>
        <v>0</v>
      </c>
      <c r="U515" s="20" t="str">
        <f t="shared" si="147"/>
        <v>SINGLE</v>
      </c>
    </row>
    <row r="516" spans="1:21" x14ac:dyDescent="0.35">
      <c r="A516" s="21">
        <f t="shared" si="136"/>
        <v>45348</v>
      </c>
      <c r="B516" s="22" t="str">
        <f t="shared" si="137"/>
        <v>AM</v>
      </c>
      <c r="C516" s="23" t="str">
        <f t="shared" si="138"/>
        <v>February</v>
      </c>
      <c r="D516" s="13" t="str">
        <f t="shared" si="146"/>
        <v>MON</v>
      </c>
      <c r="E516" s="24">
        <v>451.5</v>
      </c>
      <c r="F516" s="24">
        <v>81.67</v>
      </c>
      <c r="G516" s="24">
        <v>0</v>
      </c>
      <c r="H516" s="24">
        <f t="shared" si="139"/>
        <v>18.059999999999999</v>
      </c>
      <c r="I516" s="24">
        <f t="shared" si="140"/>
        <v>1.3720559999999999</v>
      </c>
      <c r="J516" s="24">
        <v>0</v>
      </c>
      <c r="K516" s="24">
        <f t="shared" si="141"/>
        <v>62.237943999999999</v>
      </c>
      <c r="L516" s="25">
        <v>3</v>
      </c>
      <c r="M516" s="25">
        <v>1</v>
      </c>
      <c r="N516" s="26">
        <f t="shared" si="142"/>
        <v>3.0166666666666666</v>
      </c>
      <c r="O516" s="24">
        <f t="shared" si="143"/>
        <v>6.4254999999999995</v>
      </c>
      <c r="P516" s="24">
        <f t="shared" si="144"/>
        <v>68.663443999999998</v>
      </c>
      <c r="Q516" s="29">
        <f t="shared" si="145"/>
        <v>68.663443999999998</v>
      </c>
      <c r="R516" s="30">
        <f>COUNTIF(RAW_DATA[[#This Row],[CONVERTED]],"&gt;0")</f>
        <v>1</v>
      </c>
      <c r="S516" s="30">
        <f>COUNTIFS(RAW_DATA[[#This Row],[AM/PM]],"AM",RAW_DATA[[#This Row],[CONVERTED]],"&gt;0")</f>
        <v>1</v>
      </c>
      <c r="T516" s="19">
        <f t="shared" si="148"/>
        <v>0</v>
      </c>
      <c r="U516" s="20" t="str">
        <f t="shared" si="147"/>
        <v>DOUBLE</v>
      </c>
    </row>
    <row r="517" spans="1:21" x14ac:dyDescent="0.35">
      <c r="A517" s="21">
        <f t="shared" si="136"/>
        <v>45348</v>
      </c>
      <c r="B517" s="22" t="str">
        <f t="shared" si="137"/>
        <v>PM</v>
      </c>
      <c r="C517" s="23" t="str">
        <f t="shared" si="138"/>
        <v>February</v>
      </c>
      <c r="D517" s="13" t="str">
        <f t="shared" si="146"/>
        <v>MON</v>
      </c>
      <c r="E517" s="24">
        <v>975</v>
      </c>
      <c r="F517" s="24">
        <v>156.74</v>
      </c>
      <c r="G517" s="24">
        <v>55</v>
      </c>
      <c r="H517" s="24">
        <f t="shared" si="139"/>
        <v>39</v>
      </c>
      <c r="I517" s="24">
        <f t="shared" si="140"/>
        <v>2.633232</v>
      </c>
      <c r="J517" s="24">
        <v>14.56</v>
      </c>
      <c r="K517" s="24">
        <f t="shared" si="141"/>
        <v>115.10676800000002</v>
      </c>
      <c r="L517" s="25">
        <v>5</v>
      </c>
      <c r="M517" s="25">
        <v>26</v>
      </c>
      <c r="N517" s="26">
        <f t="shared" si="142"/>
        <v>5.4333333333333336</v>
      </c>
      <c r="O517" s="24">
        <f t="shared" si="143"/>
        <v>11.573</v>
      </c>
      <c r="P517" s="24">
        <f t="shared" si="144"/>
        <v>141.23976800000003</v>
      </c>
      <c r="Q517" s="29">
        <f t="shared" si="145"/>
        <v>181.67976800000002</v>
      </c>
      <c r="R517" s="30">
        <f>COUNTIF(RAW_DATA[[#This Row],[CONVERTED]],"&gt;0")</f>
        <v>1</v>
      </c>
      <c r="S517" s="30">
        <f>COUNTIFS(RAW_DATA[[#This Row],[AM/PM]],"AM",RAW_DATA[[#This Row],[CONVERTED]],"&gt;0")</f>
        <v>0</v>
      </c>
      <c r="T517" s="19">
        <f t="shared" si="148"/>
        <v>1</v>
      </c>
      <c r="U517" s="20" t="str">
        <f t="shared" si="147"/>
        <v>DOUBLE</v>
      </c>
    </row>
    <row r="518" spans="1:21" x14ac:dyDescent="0.35">
      <c r="A518" s="21">
        <f t="shared" si="136"/>
        <v>45349</v>
      </c>
      <c r="B518" s="22" t="str">
        <f t="shared" si="137"/>
        <v>AM</v>
      </c>
      <c r="C518" s="23" t="str">
        <f t="shared" si="138"/>
        <v>February</v>
      </c>
      <c r="D518" s="13" t="str">
        <f t="shared" si="146"/>
        <v>TUE</v>
      </c>
      <c r="E518" s="24">
        <v>0</v>
      </c>
      <c r="F518" s="24">
        <v>0</v>
      </c>
      <c r="G518" s="24">
        <v>0</v>
      </c>
      <c r="H518" s="24">
        <f t="shared" si="139"/>
        <v>0</v>
      </c>
      <c r="I518" s="24">
        <f t="shared" si="140"/>
        <v>0</v>
      </c>
      <c r="J518" s="24">
        <v>0</v>
      </c>
      <c r="K518" s="24">
        <f t="shared" si="141"/>
        <v>0</v>
      </c>
      <c r="L518" s="25">
        <v>0</v>
      </c>
      <c r="M518" s="25">
        <v>0</v>
      </c>
      <c r="N518" s="26">
        <f t="shared" si="142"/>
        <v>0</v>
      </c>
      <c r="O518" s="24">
        <f t="shared" si="143"/>
        <v>0</v>
      </c>
      <c r="P518" s="24">
        <f t="shared" si="144"/>
        <v>0</v>
      </c>
      <c r="Q518" s="29">
        <f t="shared" si="145"/>
        <v>0</v>
      </c>
      <c r="R518" s="30">
        <f>COUNTIF(RAW_DATA[[#This Row],[CONVERTED]],"&gt;0")</f>
        <v>0</v>
      </c>
      <c r="S518" s="30">
        <f>COUNTIFS(RAW_DATA[[#This Row],[AM/PM]],"AM",RAW_DATA[[#This Row],[CONVERTED]],"&gt;0")</f>
        <v>0</v>
      </c>
      <c r="T518" s="19">
        <f t="shared" si="148"/>
        <v>0</v>
      </c>
      <c r="U518" s="20" t="str">
        <f t="shared" si="147"/>
        <v>SINGLE</v>
      </c>
    </row>
    <row r="519" spans="1:21" x14ac:dyDescent="0.35">
      <c r="A519" s="21">
        <f t="shared" si="136"/>
        <v>45349</v>
      </c>
      <c r="B519" s="22" t="str">
        <f t="shared" si="137"/>
        <v>PM</v>
      </c>
      <c r="C519" s="23" t="str">
        <f t="shared" si="138"/>
        <v>February</v>
      </c>
      <c r="D519" s="13" t="str">
        <f t="shared" si="146"/>
        <v>TUE</v>
      </c>
      <c r="E519" s="24">
        <v>0</v>
      </c>
      <c r="F519" s="24">
        <v>0</v>
      </c>
      <c r="G519" s="24">
        <v>0</v>
      </c>
      <c r="H519" s="24">
        <f t="shared" si="139"/>
        <v>0</v>
      </c>
      <c r="I519" s="24">
        <f t="shared" si="140"/>
        <v>0</v>
      </c>
      <c r="J519" s="24">
        <v>0</v>
      </c>
      <c r="K519" s="24">
        <f t="shared" si="141"/>
        <v>0</v>
      </c>
      <c r="L519" s="25">
        <v>0</v>
      </c>
      <c r="M519" s="25">
        <v>0</v>
      </c>
      <c r="N519" s="26">
        <f t="shared" si="142"/>
        <v>0</v>
      </c>
      <c r="O519" s="24">
        <f t="shared" si="143"/>
        <v>0</v>
      </c>
      <c r="P519" s="24">
        <f t="shared" si="144"/>
        <v>0</v>
      </c>
      <c r="Q519" s="29">
        <f t="shared" si="145"/>
        <v>0</v>
      </c>
      <c r="R519" s="30">
        <f>COUNTIF(RAW_DATA[[#This Row],[CONVERTED]],"&gt;0")</f>
        <v>0</v>
      </c>
      <c r="S519" s="30">
        <f>COUNTIFS(RAW_DATA[[#This Row],[AM/PM]],"AM",RAW_DATA[[#This Row],[CONVERTED]],"&gt;0")</f>
        <v>0</v>
      </c>
      <c r="T519" s="19">
        <f t="shared" si="148"/>
        <v>0</v>
      </c>
      <c r="U519" s="20" t="str">
        <f t="shared" si="147"/>
        <v>SINGLE</v>
      </c>
    </row>
    <row r="520" spans="1:21" x14ac:dyDescent="0.35">
      <c r="A520" s="54">
        <f t="shared" si="136"/>
        <v>45350</v>
      </c>
      <c r="B520" s="55" t="str">
        <f t="shared" si="137"/>
        <v>AM</v>
      </c>
      <c r="C520" s="56" t="str">
        <f t="shared" si="138"/>
        <v>February</v>
      </c>
      <c r="D520" s="57" t="str">
        <f t="shared" si="146"/>
        <v>WED</v>
      </c>
      <c r="E520" s="58">
        <v>0</v>
      </c>
      <c r="F520" s="58">
        <v>0</v>
      </c>
      <c r="G520" s="58">
        <v>0</v>
      </c>
      <c r="H520" s="58">
        <f t="shared" si="139"/>
        <v>0</v>
      </c>
      <c r="I520" s="58">
        <f t="shared" si="140"/>
        <v>0</v>
      </c>
      <c r="J520" s="58">
        <v>0</v>
      </c>
      <c r="K520" s="58">
        <f t="shared" si="141"/>
        <v>0</v>
      </c>
      <c r="L520" s="59">
        <v>0</v>
      </c>
      <c r="M520" s="59">
        <v>0</v>
      </c>
      <c r="N520" s="60">
        <f t="shared" si="142"/>
        <v>0</v>
      </c>
      <c r="O520" s="58">
        <f t="shared" si="143"/>
        <v>0</v>
      </c>
      <c r="P520" s="58">
        <f t="shared" si="144"/>
        <v>0</v>
      </c>
      <c r="Q520" s="61">
        <f t="shared" si="145"/>
        <v>0</v>
      </c>
      <c r="R520" s="62">
        <f>COUNTIF(RAW_DATA[[#This Row],[CONVERTED]],"&gt;0")</f>
        <v>0</v>
      </c>
      <c r="S520" s="62">
        <f>COUNTIFS(RAW_DATA[[#This Row],[AM/PM]],"AM",RAW_DATA[[#This Row],[CONVERTED]],"&gt;0")</f>
        <v>0</v>
      </c>
      <c r="T520" s="63">
        <f t="shared" si="148"/>
        <v>0</v>
      </c>
      <c r="U520" s="64" t="str">
        <f t="shared" si="147"/>
        <v>SINGLE</v>
      </c>
    </row>
    <row r="521" spans="1:21" x14ac:dyDescent="0.35">
      <c r="A521" s="21">
        <f t="shared" si="136"/>
        <v>45350</v>
      </c>
      <c r="B521" s="22" t="str">
        <f t="shared" si="137"/>
        <v>PM</v>
      </c>
      <c r="C521" s="23" t="str">
        <f t="shared" si="138"/>
        <v>February</v>
      </c>
      <c r="D521" s="13" t="str">
        <f t="shared" si="146"/>
        <v>WED</v>
      </c>
      <c r="E521" s="24">
        <v>992</v>
      </c>
      <c r="F521" s="24">
        <v>195.46</v>
      </c>
      <c r="G521" s="24">
        <v>0</v>
      </c>
      <c r="H521" s="24">
        <f t="shared" si="139"/>
        <v>39.68</v>
      </c>
      <c r="I521" s="24">
        <f t="shared" si="140"/>
        <v>3.283728</v>
      </c>
      <c r="J521" s="24">
        <v>0</v>
      </c>
      <c r="K521" s="24">
        <f t="shared" si="141"/>
        <v>152.496272</v>
      </c>
      <c r="L521" s="25">
        <v>6</v>
      </c>
      <c r="M521" s="25">
        <v>0</v>
      </c>
      <c r="N521" s="26">
        <f t="shared" si="142"/>
        <v>6</v>
      </c>
      <c r="O521" s="24">
        <f t="shared" si="143"/>
        <v>12.78</v>
      </c>
      <c r="P521" s="24">
        <f t="shared" si="144"/>
        <v>165.27627200000001</v>
      </c>
      <c r="Q521" s="29">
        <f t="shared" si="145"/>
        <v>165.27627200000001</v>
      </c>
      <c r="R521" s="30">
        <f>COUNTIF(RAW_DATA[[#This Row],[CONVERTED]],"&gt;0")</f>
        <v>1</v>
      </c>
      <c r="S521" s="30">
        <f>COUNTIFS(RAW_DATA[[#This Row],[AM/PM]],"AM",RAW_DATA[[#This Row],[CONVERTED]],"&gt;0")</f>
        <v>0</v>
      </c>
      <c r="T521" s="19">
        <f t="shared" si="148"/>
        <v>0</v>
      </c>
      <c r="U521" s="20" t="str">
        <f t="shared" si="147"/>
        <v>SINGLE</v>
      </c>
    </row>
    <row r="522" spans="1:21" x14ac:dyDescent="0.35">
      <c r="A522" s="21">
        <f t="shared" si="136"/>
        <v>45351</v>
      </c>
      <c r="B522" s="22" t="str">
        <f t="shared" si="137"/>
        <v>AM</v>
      </c>
      <c r="C522" s="23" t="str">
        <f t="shared" si="138"/>
        <v>February</v>
      </c>
      <c r="D522" s="13" t="str">
        <f t="shared" si="146"/>
        <v>THU</v>
      </c>
      <c r="E522" s="24">
        <v>0</v>
      </c>
      <c r="F522" s="24">
        <v>0</v>
      </c>
      <c r="G522" s="24">
        <v>0</v>
      </c>
      <c r="H522" s="24">
        <f t="shared" si="139"/>
        <v>0</v>
      </c>
      <c r="I522" s="24">
        <f t="shared" si="140"/>
        <v>0</v>
      </c>
      <c r="J522" s="24">
        <v>0</v>
      </c>
      <c r="K522" s="24">
        <f t="shared" si="141"/>
        <v>0</v>
      </c>
      <c r="L522" s="25">
        <v>0</v>
      </c>
      <c r="M522" s="25">
        <v>0</v>
      </c>
      <c r="N522" s="26">
        <f t="shared" si="142"/>
        <v>0</v>
      </c>
      <c r="O522" s="24">
        <f t="shared" si="143"/>
        <v>0</v>
      </c>
      <c r="P522" s="24">
        <f t="shared" si="144"/>
        <v>0</v>
      </c>
      <c r="Q522" s="29">
        <f t="shared" si="145"/>
        <v>0</v>
      </c>
      <c r="R522" s="30">
        <f>COUNTIF(RAW_DATA[[#This Row],[CONVERTED]],"&gt;0")</f>
        <v>0</v>
      </c>
      <c r="S522" s="30">
        <f>COUNTIFS(RAW_DATA[[#This Row],[AM/PM]],"AM",RAW_DATA[[#This Row],[CONVERTED]],"&gt;0")</f>
        <v>0</v>
      </c>
      <c r="T522" s="19">
        <f t="shared" si="148"/>
        <v>0</v>
      </c>
      <c r="U522" s="20" t="str">
        <f t="shared" si="147"/>
        <v>SINGLE</v>
      </c>
    </row>
    <row r="523" spans="1:21" x14ac:dyDescent="0.35">
      <c r="A523" s="21">
        <f t="shared" si="136"/>
        <v>45351</v>
      </c>
      <c r="B523" s="22" t="str">
        <f t="shared" si="137"/>
        <v>PM</v>
      </c>
      <c r="C523" s="23" t="str">
        <f t="shared" si="138"/>
        <v>February</v>
      </c>
      <c r="D523" s="13" t="str">
        <f t="shared" si="146"/>
        <v>THU</v>
      </c>
      <c r="E523" s="24">
        <v>0</v>
      </c>
      <c r="F523" s="24">
        <v>0</v>
      </c>
      <c r="G523" s="24">
        <v>0</v>
      </c>
      <c r="H523" s="24">
        <f t="shared" si="139"/>
        <v>0</v>
      </c>
      <c r="I523" s="24">
        <f t="shared" si="140"/>
        <v>0</v>
      </c>
      <c r="J523" s="24">
        <v>0</v>
      </c>
      <c r="K523" s="24">
        <f t="shared" si="141"/>
        <v>0</v>
      </c>
      <c r="L523" s="25">
        <v>0</v>
      </c>
      <c r="M523" s="25">
        <v>0</v>
      </c>
      <c r="N523" s="26">
        <f t="shared" si="142"/>
        <v>0</v>
      </c>
      <c r="O523" s="24">
        <f t="shared" si="143"/>
        <v>0</v>
      </c>
      <c r="P523" s="24">
        <f t="shared" si="144"/>
        <v>0</v>
      </c>
      <c r="Q523" s="29">
        <f t="shared" si="145"/>
        <v>0</v>
      </c>
      <c r="R523" s="30">
        <f>COUNTIF(RAW_DATA[[#This Row],[CONVERTED]],"&gt;0")</f>
        <v>0</v>
      </c>
      <c r="S523" s="30">
        <f>COUNTIFS(RAW_DATA[[#This Row],[AM/PM]],"AM",RAW_DATA[[#This Row],[CONVERTED]],"&gt;0")</f>
        <v>0</v>
      </c>
      <c r="T523" s="19">
        <f t="shared" si="148"/>
        <v>0</v>
      </c>
      <c r="U523" s="20" t="str">
        <f t="shared" si="147"/>
        <v>SINGLE</v>
      </c>
    </row>
    <row r="524" spans="1:21" x14ac:dyDescent="0.35">
      <c r="A524" s="21">
        <f t="shared" si="136"/>
        <v>45352</v>
      </c>
      <c r="B524" s="22" t="str">
        <f t="shared" si="137"/>
        <v>AM</v>
      </c>
      <c r="C524" s="23" t="str">
        <f t="shared" si="138"/>
        <v>March</v>
      </c>
      <c r="D524" s="13" t="str">
        <f t="shared" si="146"/>
        <v>FRI</v>
      </c>
      <c r="E524" s="24">
        <v>1078</v>
      </c>
      <c r="F524" s="24">
        <v>136.03</v>
      </c>
      <c r="G524" s="24">
        <v>20</v>
      </c>
      <c r="H524" s="24">
        <f t="shared" si="139"/>
        <v>43.12</v>
      </c>
      <c r="I524" s="24">
        <f t="shared" si="140"/>
        <v>2.285304</v>
      </c>
      <c r="J524" s="24">
        <v>6.75</v>
      </c>
      <c r="K524" s="24">
        <f t="shared" si="141"/>
        <v>90.624696</v>
      </c>
      <c r="L524" s="25">
        <v>5</v>
      </c>
      <c r="M524" s="25">
        <v>15</v>
      </c>
      <c r="N524" s="26">
        <f t="shared" si="142"/>
        <v>5.25</v>
      </c>
      <c r="O524" s="24">
        <f>N524*2.13</f>
        <v>11.182499999999999</v>
      </c>
      <c r="P524" s="24">
        <f t="shared" si="144"/>
        <v>108.557196</v>
      </c>
      <c r="Q524" s="29">
        <f t="shared" si="145"/>
        <v>121.807196</v>
      </c>
      <c r="R524" s="30">
        <f>COUNTIF(RAW_DATA[[#This Row],[CONVERTED]],"&gt;0")</f>
        <v>1</v>
      </c>
      <c r="S524" s="30">
        <f>COUNTIFS(RAW_DATA[[#This Row],[AM/PM]],"AM",RAW_DATA[[#This Row],[CONVERTED]],"&gt;0")</f>
        <v>1</v>
      </c>
      <c r="T524" s="19">
        <f t="shared" si="148"/>
        <v>0</v>
      </c>
      <c r="U524" s="20" t="str">
        <f t="shared" si="147"/>
        <v>SINGLE</v>
      </c>
    </row>
    <row r="525" spans="1:21" x14ac:dyDescent="0.35">
      <c r="A525" s="21">
        <f t="shared" si="136"/>
        <v>45352</v>
      </c>
      <c r="B525" s="22" t="str">
        <f t="shared" si="137"/>
        <v>PM</v>
      </c>
      <c r="C525" s="23" t="str">
        <f t="shared" si="138"/>
        <v>March</v>
      </c>
      <c r="D525" s="13" t="str">
        <f t="shared" si="146"/>
        <v>FRI</v>
      </c>
      <c r="E525" s="24">
        <v>0</v>
      </c>
      <c r="F525" s="24">
        <v>0</v>
      </c>
      <c r="G525" s="24">
        <v>0</v>
      </c>
      <c r="H525" s="24">
        <f t="shared" si="139"/>
        <v>0</v>
      </c>
      <c r="I525" s="24">
        <f t="shared" si="140"/>
        <v>0</v>
      </c>
      <c r="J525" s="24">
        <v>0</v>
      </c>
      <c r="K525" s="24">
        <f t="shared" si="141"/>
        <v>0</v>
      </c>
      <c r="L525" s="25">
        <v>0</v>
      </c>
      <c r="M525" s="25">
        <v>0</v>
      </c>
      <c r="N525" s="26">
        <f t="shared" si="142"/>
        <v>0</v>
      </c>
      <c r="O525" s="24">
        <f>N525*2.13</f>
        <v>0</v>
      </c>
      <c r="P525" s="24">
        <f t="shared" si="144"/>
        <v>0</v>
      </c>
      <c r="Q525" s="29">
        <f t="shared" si="145"/>
        <v>0</v>
      </c>
      <c r="R525" s="30">
        <f>COUNTIF(RAW_DATA[[#This Row],[CONVERTED]],"&gt;0")</f>
        <v>0</v>
      </c>
      <c r="S525" s="30">
        <f>COUNTIFS(RAW_DATA[[#This Row],[AM/PM]],"AM",RAW_DATA[[#This Row],[CONVERTED]],"&gt;0")</f>
        <v>0</v>
      </c>
      <c r="T525" s="19">
        <f t="shared" si="148"/>
        <v>0</v>
      </c>
      <c r="U525" s="20" t="str">
        <f t="shared" si="147"/>
        <v>SINGLE</v>
      </c>
    </row>
    <row r="526" spans="1:21" x14ac:dyDescent="0.35">
      <c r="A526" s="21">
        <f t="shared" si="136"/>
        <v>45353</v>
      </c>
      <c r="B526" s="22" t="str">
        <f t="shared" si="137"/>
        <v>AM</v>
      </c>
      <c r="C526" s="23" t="str">
        <f t="shared" si="138"/>
        <v>March</v>
      </c>
      <c r="D526" s="13" t="str">
        <f t="shared" si="146"/>
        <v>SAT</v>
      </c>
      <c r="E526" s="24">
        <v>0</v>
      </c>
      <c r="F526" s="24">
        <v>0</v>
      </c>
      <c r="G526" s="24">
        <v>0</v>
      </c>
      <c r="H526" s="24">
        <f t="shared" si="139"/>
        <v>0</v>
      </c>
      <c r="I526" s="24">
        <f t="shared" si="140"/>
        <v>0</v>
      </c>
      <c r="J526" s="24">
        <v>0</v>
      </c>
      <c r="K526" s="24">
        <f t="shared" si="141"/>
        <v>0</v>
      </c>
      <c r="L526" s="25">
        <v>0</v>
      </c>
      <c r="M526" s="25">
        <v>0</v>
      </c>
      <c r="N526" s="26">
        <f t="shared" si="142"/>
        <v>0</v>
      </c>
      <c r="O526" s="24">
        <f>N526*2.13</f>
        <v>0</v>
      </c>
      <c r="P526" s="24">
        <f t="shared" si="144"/>
        <v>0</v>
      </c>
      <c r="Q526" s="29">
        <f t="shared" si="145"/>
        <v>0</v>
      </c>
      <c r="R526" s="30">
        <f>COUNTIF(RAW_DATA[[#This Row],[CONVERTED]],"&gt;0")</f>
        <v>0</v>
      </c>
      <c r="S526" s="30">
        <f>COUNTIFS(RAW_DATA[[#This Row],[AM/PM]],"AM",RAW_DATA[[#This Row],[CONVERTED]],"&gt;0")</f>
        <v>0</v>
      </c>
      <c r="T526" s="19">
        <f t="shared" si="148"/>
        <v>0</v>
      </c>
      <c r="U526" s="20" t="str">
        <f t="shared" si="147"/>
        <v>SINGLE</v>
      </c>
    </row>
    <row r="527" spans="1:21" x14ac:dyDescent="0.35">
      <c r="A527" s="21">
        <f t="shared" si="136"/>
        <v>45353</v>
      </c>
      <c r="B527" s="22" t="str">
        <f t="shared" si="137"/>
        <v>PM</v>
      </c>
      <c r="C527" s="23" t="str">
        <f t="shared" si="138"/>
        <v>March</v>
      </c>
      <c r="D527" s="13" t="str">
        <f t="shared" si="146"/>
        <v>SAT</v>
      </c>
      <c r="E527" s="24">
        <v>1060</v>
      </c>
      <c r="F527" s="24">
        <v>160.94999999999999</v>
      </c>
      <c r="G527" s="24">
        <v>35</v>
      </c>
      <c r="H527" s="24">
        <f t="shared" si="139"/>
        <v>42.4</v>
      </c>
      <c r="I527" s="24">
        <f t="shared" si="140"/>
        <v>2.7039599999999995</v>
      </c>
      <c r="J527" s="24">
        <v>0</v>
      </c>
      <c r="K527" s="24">
        <f t="shared" si="141"/>
        <v>115.84603999999999</v>
      </c>
      <c r="L527" s="25">
        <v>5</v>
      </c>
      <c r="M527" s="25">
        <v>32</v>
      </c>
      <c r="N527" s="26">
        <f t="shared" si="142"/>
        <v>5.5333333333333332</v>
      </c>
      <c r="O527" s="24">
        <f>N527*2.13</f>
        <v>11.786</v>
      </c>
      <c r="P527" s="24">
        <f t="shared" si="144"/>
        <v>127.63203999999999</v>
      </c>
      <c r="Q527" s="29">
        <f t="shared" si="145"/>
        <v>162.63203999999999</v>
      </c>
      <c r="R527" s="30">
        <f>COUNTIF(RAW_DATA[[#This Row],[CONVERTED]],"&gt;0")</f>
        <v>1</v>
      </c>
      <c r="S527" s="30">
        <f>COUNTIFS(RAW_DATA[[#This Row],[AM/PM]],"AM",RAW_DATA[[#This Row],[CONVERTED]],"&gt;0")</f>
        <v>0</v>
      </c>
      <c r="T527" s="19">
        <f t="shared" si="148"/>
        <v>0</v>
      </c>
      <c r="U527" s="20" t="str">
        <f t="shared" si="147"/>
        <v>SINGLE</v>
      </c>
    </row>
    <row r="528" spans="1:21" x14ac:dyDescent="0.35">
      <c r="A528" s="21">
        <f t="shared" si="136"/>
        <v>45354</v>
      </c>
      <c r="B528" s="22" t="str">
        <f t="shared" si="137"/>
        <v>AM</v>
      </c>
      <c r="C528" s="23" t="str">
        <f t="shared" si="138"/>
        <v>March</v>
      </c>
      <c r="D528" s="13" t="str">
        <f t="shared" si="146"/>
        <v>SUN</v>
      </c>
      <c r="E528" s="65">
        <v>600</v>
      </c>
      <c r="F528" s="65">
        <v>100</v>
      </c>
      <c r="G528" s="65">
        <v>0</v>
      </c>
      <c r="H528" s="65">
        <f t="shared" si="139"/>
        <v>24</v>
      </c>
      <c r="I528" s="65">
        <f t="shared" si="140"/>
        <v>1.68</v>
      </c>
      <c r="J528" s="65">
        <v>0</v>
      </c>
      <c r="K528" s="65">
        <f t="shared" si="141"/>
        <v>74.319999999999993</v>
      </c>
      <c r="L528" s="66">
        <v>4</v>
      </c>
      <c r="M528" s="66">
        <v>0</v>
      </c>
      <c r="N528" s="67">
        <f t="shared" si="142"/>
        <v>4</v>
      </c>
      <c r="O528" s="65">
        <f>N528*2.13</f>
        <v>8.52</v>
      </c>
      <c r="P528" s="65">
        <f t="shared" si="144"/>
        <v>82.839999999999989</v>
      </c>
      <c r="Q528" s="68">
        <f t="shared" si="145"/>
        <v>82.839999999999989</v>
      </c>
      <c r="R528" s="69">
        <f>COUNTIF(RAW_DATA[[#This Row],[CONVERTED]],"&gt;0")</f>
        <v>1</v>
      </c>
      <c r="S528" s="69">
        <f>COUNTIFS(RAW_DATA[[#This Row],[AM/PM]],"AM",RAW_DATA[[#This Row],[CONVERTED]],"&gt;0")</f>
        <v>1</v>
      </c>
      <c r="T528" s="19">
        <f t="shared" si="148"/>
        <v>0</v>
      </c>
      <c r="U528" s="20" t="str">
        <f t="shared" si="147"/>
        <v>DOUBLE</v>
      </c>
    </row>
    <row r="529" spans="1:21" x14ac:dyDescent="0.35">
      <c r="A529" s="21">
        <f t="shared" si="136"/>
        <v>45354</v>
      </c>
      <c r="B529" s="22" t="str">
        <f t="shared" si="137"/>
        <v>PM</v>
      </c>
      <c r="C529" s="23" t="str">
        <f t="shared" si="138"/>
        <v>March</v>
      </c>
      <c r="D529" s="13" t="str">
        <f t="shared" si="146"/>
        <v>SUN</v>
      </c>
      <c r="E529" s="24">
        <v>2022</v>
      </c>
      <c r="F529" s="24">
        <v>329.63</v>
      </c>
      <c r="G529" s="24">
        <v>28</v>
      </c>
      <c r="H529" s="24">
        <f t="shared" si="139"/>
        <v>80.88</v>
      </c>
      <c r="I529" s="24">
        <f t="shared" si="140"/>
        <v>5.5377839999999994</v>
      </c>
      <c r="J529" s="24">
        <v>7.6</v>
      </c>
      <c r="K529" s="24">
        <f t="shared" si="141"/>
        <v>243.21221600000001</v>
      </c>
      <c r="L529" s="25">
        <v>5</v>
      </c>
      <c r="M529" s="25">
        <v>34</v>
      </c>
      <c r="N529" s="26">
        <f t="shared" si="142"/>
        <v>5.5666666666666664</v>
      </c>
      <c r="O529" s="24">
        <f t="shared" ref="O529:O592" si="149">N529*2.13</f>
        <v>11.856999999999999</v>
      </c>
      <c r="P529" s="24">
        <f t="shared" si="144"/>
        <v>262.66921600000001</v>
      </c>
      <c r="Q529" s="29">
        <f t="shared" si="145"/>
        <v>283.06921599999998</v>
      </c>
      <c r="R529" s="30">
        <f>COUNTIF(RAW_DATA[[#This Row],[CONVERTED]],"&gt;0")</f>
        <v>1</v>
      </c>
      <c r="S529" s="30">
        <f>COUNTIFS(RAW_DATA[[#This Row],[AM/PM]],"AM",RAW_DATA[[#This Row],[CONVERTED]],"&gt;0")</f>
        <v>0</v>
      </c>
      <c r="T529" s="19">
        <f t="shared" si="148"/>
        <v>1</v>
      </c>
      <c r="U529" s="20" t="str">
        <f t="shared" si="147"/>
        <v>DOUBLE</v>
      </c>
    </row>
    <row r="530" spans="1:21" x14ac:dyDescent="0.35">
      <c r="A530" s="21">
        <f t="shared" si="136"/>
        <v>45355</v>
      </c>
      <c r="B530" s="22" t="str">
        <f t="shared" si="137"/>
        <v>AM</v>
      </c>
      <c r="C530" s="23" t="str">
        <f t="shared" si="138"/>
        <v>March</v>
      </c>
      <c r="D530" s="13" t="str">
        <f t="shared" si="146"/>
        <v>MON</v>
      </c>
      <c r="E530" s="24">
        <v>562</v>
      </c>
      <c r="F530" s="24">
        <v>107.72</v>
      </c>
      <c r="G530" s="24">
        <v>0</v>
      </c>
      <c r="H530" s="24">
        <f t="shared" si="139"/>
        <v>22.48</v>
      </c>
      <c r="I530" s="24">
        <f t="shared" si="140"/>
        <v>1.809696</v>
      </c>
      <c r="J530" s="24">
        <v>0</v>
      </c>
      <c r="K530" s="24">
        <f t="shared" si="141"/>
        <v>83.430304000000007</v>
      </c>
      <c r="L530" s="25">
        <v>2</v>
      </c>
      <c r="M530" s="25">
        <v>45</v>
      </c>
      <c r="N530" s="26">
        <f t="shared" si="142"/>
        <v>2.75</v>
      </c>
      <c r="O530" s="24">
        <f t="shared" si="149"/>
        <v>5.8574999999999999</v>
      </c>
      <c r="P530" s="24">
        <f t="shared" si="144"/>
        <v>89.287804000000008</v>
      </c>
      <c r="Q530" s="29">
        <f t="shared" si="145"/>
        <v>89.287804000000008</v>
      </c>
      <c r="R530" s="30">
        <f>COUNTIF(RAW_DATA[[#This Row],[CONVERTED]],"&gt;0")</f>
        <v>1</v>
      </c>
      <c r="S530" s="30">
        <f>COUNTIFS(RAW_DATA[[#This Row],[AM/PM]],"AM",RAW_DATA[[#This Row],[CONVERTED]],"&gt;0")</f>
        <v>1</v>
      </c>
      <c r="T530" s="19">
        <f t="shared" si="148"/>
        <v>0</v>
      </c>
      <c r="U530" s="20" t="str">
        <f t="shared" si="147"/>
        <v>DOUBLE</v>
      </c>
    </row>
    <row r="531" spans="1:21" x14ac:dyDescent="0.35">
      <c r="A531" s="21">
        <f t="shared" si="136"/>
        <v>45355</v>
      </c>
      <c r="B531" s="22" t="str">
        <f t="shared" si="137"/>
        <v>PM</v>
      </c>
      <c r="C531" s="23" t="str">
        <f t="shared" si="138"/>
        <v>March</v>
      </c>
      <c r="D531" s="13" t="str">
        <f t="shared" si="146"/>
        <v>MON</v>
      </c>
      <c r="E531" s="24">
        <v>1687</v>
      </c>
      <c r="F531" s="24">
        <v>309.07</v>
      </c>
      <c r="G531" s="24">
        <v>64</v>
      </c>
      <c r="H531" s="24">
        <f t="shared" si="139"/>
        <v>67.48</v>
      </c>
      <c r="I531" s="24">
        <f t="shared" si="140"/>
        <v>5.1923759999999994</v>
      </c>
      <c r="J531" s="24">
        <v>5.8</v>
      </c>
      <c r="K531" s="24">
        <f t="shared" si="141"/>
        <v>236.39762400000001</v>
      </c>
      <c r="L531" s="25">
        <v>5</v>
      </c>
      <c r="M531" s="25">
        <v>24</v>
      </c>
      <c r="N531" s="26">
        <f t="shared" si="142"/>
        <v>5.4</v>
      </c>
      <c r="O531" s="24">
        <f t="shared" si="149"/>
        <v>11.502000000000001</v>
      </c>
      <c r="P531" s="24">
        <f t="shared" si="144"/>
        <v>253.69962400000003</v>
      </c>
      <c r="Q531" s="29">
        <f t="shared" si="145"/>
        <v>311.89962400000002</v>
      </c>
      <c r="R531" s="30">
        <f>COUNTIF(RAW_DATA[[#This Row],[CONVERTED]],"&gt;0")</f>
        <v>1</v>
      </c>
      <c r="S531" s="30">
        <f>COUNTIFS(RAW_DATA[[#This Row],[AM/PM]],"AM",RAW_DATA[[#This Row],[CONVERTED]],"&gt;0")</f>
        <v>0</v>
      </c>
      <c r="T531" s="19">
        <f t="shared" si="148"/>
        <v>1</v>
      </c>
      <c r="U531" s="20" t="str">
        <f t="shared" si="147"/>
        <v>DOUBLE</v>
      </c>
    </row>
    <row r="532" spans="1:21" x14ac:dyDescent="0.35">
      <c r="A532" s="21">
        <f t="shared" si="136"/>
        <v>45356</v>
      </c>
      <c r="B532" s="22" t="str">
        <f t="shared" si="137"/>
        <v>AM</v>
      </c>
      <c r="C532" s="23" t="str">
        <f t="shared" si="138"/>
        <v>March</v>
      </c>
      <c r="D532" s="13" t="str">
        <f t="shared" si="146"/>
        <v>TUE</v>
      </c>
      <c r="E532" s="24">
        <v>0</v>
      </c>
      <c r="F532" s="24">
        <v>0</v>
      </c>
      <c r="G532" s="24">
        <v>0</v>
      </c>
      <c r="H532" s="24">
        <f t="shared" si="139"/>
        <v>0</v>
      </c>
      <c r="I532" s="24">
        <f t="shared" si="140"/>
        <v>0</v>
      </c>
      <c r="J532" s="24">
        <v>0</v>
      </c>
      <c r="K532" s="24">
        <f t="shared" si="141"/>
        <v>0</v>
      </c>
      <c r="L532" s="25">
        <v>0</v>
      </c>
      <c r="M532" s="25">
        <v>0</v>
      </c>
      <c r="N532" s="26">
        <f t="shared" si="142"/>
        <v>0</v>
      </c>
      <c r="O532" s="24">
        <f t="shared" si="149"/>
        <v>0</v>
      </c>
      <c r="P532" s="24">
        <f t="shared" si="144"/>
        <v>0</v>
      </c>
      <c r="Q532" s="29">
        <f t="shared" si="145"/>
        <v>0</v>
      </c>
      <c r="R532" s="30">
        <f>COUNTIF(RAW_DATA[[#This Row],[CONVERTED]],"&gt;0")</f>
        <v>0</v>
      </c>
      <c r="S532" s="30">
        <f>COUNTIFS(RAW_DATA[[#This Row],[AM/PM]],"AM",RAW_DATA[[#This Row],[CONVERTED]],"&gt;0")</f>
        <v>0</v>
      </c>
      <c r="T532" s="19">
        <f t="shared" si="148"/>
        <v>0</v>
      </c>
      <c r="U532" s="20" t="str">
        <f t="shared" si="147"/>
        <v>SINGLE</v>
      </c>
    </row>
    <row r="533" spans="1:21" x14ac:dyDescent="0.35">
      <c r="A533" s="21">
        <f t="shared" si="136"/>
        <v>45356</v>
      </c>
      <c r="B533" s="22" t="str">
        <f t="shared" si="137"/>
        <v>PM</v>
      </c>
      <c r="C533" s="23" t="str">
        <f t="shared" si="138"/>
        <v>March</v>
      </c>
      <c r="D533" s="13" t="str">
        <f t="shared" si="146"/>
        <v>TUE</v>
      </c>
      <c r="E533" s="24">
        <v>0</v>
      </c>
      <c r="F533" s="24">
        <v>0</v>
      </c>
      <c r="G533" s="24">
        <v>0</v>
      </c>
      <c r="H533" s="24">
        <f t="shared" si="139"/>
        <v>0</v>
      </c>
      <c r="I533" s="24">
        <f t="shared" si="140"/>
        <v>0</v>
      </c>
      <c r="J533" s="24">
        <v>0</v>
      </c>
      <c r="K533" s="24">
        <f t="shared" si="141"/>
        <v>0</v>
      </c>
      <c r="L533" s="25">
        <v>0</v>
      </c>
      <c r="M533" s="25">
        <v>0</v>
      </c>
      <c r="N533" s="26">
        <f t="shared" si="142"/>
        <v>0</v>
      </c>
      <c r="O533" s="24">
        <f t="shared" si="149"/>
        <v>0</v>
      </c>
      <c r="P533" s="24">
        <f t="shared" si="144"/>
        <v>0</v>
      </c>
      <c r="Q533" s="29">
        <f t="shared" si="145"/>
        <v>0</v>
      </c>
      <c r="R533" s="30">
        <f>COUNTIF(RAW_DATA[[#This Row],[CONVERTED]],"&gt;0")</f>
        <v>0</v>
      </c>
      <c r="S533" s="30">
        <f>COUNTIFS(RAW_DATA[[#This Row],[AM/PM]],"AM",RAW_DATA[[#This Row],[CONVERTED]],"&gt;0")</f>
        <v>0</v>
      </c>
      <c r="T533" s="19">
        <f t="shared" si="148"/>
        <v>0</v>
      </c>
      <c r="U533" s="20" t="str">
        <f t="shared" si="147"/>
        <v>SINGLE</v>
      </c>
    </row>
    <row r="534" spans="1:21" x14ac:dyDescent="0.35">
      <c r="A534" s="54">
        <f t="shared" si="136"/>
        <v>45357</v>
      </c>
      <c r="B534" s="55" t="str">
        <f t="shared" si="137"/>
        <v>AM</v>
      </c>
      <c r="C534" s="56" t="str">
        <f t="shared" si="138"/>
        <v>March</v>
      </c>
      <c r="D534" s="57" t="str">
        <f t="shared" si="146"/>
        <v>WED</v>
      </c>
      <c r="E534" s="58">
        <v>0</v>
      </c>
      <c r="F534" s="58">
        <v>0</v>
      </c>
      <c r="G534" s="58">
        <v>0</v>
      </c>
      <c r="H534" s="58">
        <f t="shared" si="139"/>
        <v>0</v>
      </c>
      <c r="I534" s="58">
        <f t="shared" si="140"/>
        <v>0</v>
      </c>
      <c r="J534" s="58">
        <v>0</v>
      </c>
      <c r="K534" s="58">
        <f t="shared" si="141"/>
        <v>0</v>
      </c>
      <c r="L534" s="59">
        <v>0</v>
      </c>
      <c r="M534" s="59">
        <v>0</v>
      </c>
      <c r="N534" s="60">
        <f t="shared" si="142"/>
        <v>0</v>
      </c>
      <c r="O534" s="58">
        <f t="shared" si="149"/>
        <v>0</v>
      </c>
      <c r="P534" s="58">
        <f t="shared" si="144"/>
        <v>0</v>
      </c>
      <c r="Q534" s="61">
        <f t="shared" si="145"/>
        <v>0</v>
      </c>
      <c r="R534" s="62">
        <f>COUNTIF(RAW_DATA[[#This Row],[CONVERTED]],"&gt;0")</f>
        <v>0</v>
      </c>
      <c r="S534" s="62">
        <f>COUNTIFS(RAW_DATA[[#This Row],[AM/PM]],"AM",RAW_DATA[[#This Row],[CONVERTED]],"&gt;0")</f>
        <v>0</v>
      </c>
      <c r="T534" s="63">
        <f t="shared" si="148"/>
        <v>0</v>
      </c>
      <c r="U534" s="64" t="str">
        <f t="shared" si="147"/>
        <v>SINGLE</v>
      </c>
    </row>
    <row r="535" spans="1:21" x14ac:dyDescent="0.35">
      <c r="A535" s="21">
        <f t="shared" si="136"/>
        <v>45357</v>
      </c>
      <c r="B535" s="22" t="str">
        <f t="shared" si="137"/>
        <v>PM</v>
      </c>
      <c r="C535" s="23" t="str">
        <f t="shared" si="138"/>
        <v>March</v>
      </c>
      <c r="D535" s="13" t="str">
        <f t="shared" si="146"/>
        <v>WED</v>
      </c>
      <c r="E535" s="24">
        <v>1484</v>
      </c>
      <c r="F535" s="24">
        <v>168.81</v>
      </c>
      <c r="G535" s="24">
        <v>128</v>
      </c>
      <c r="H535" s="24">
        <f t="shared" si="139"/>
        <v>59.36</v>
      </c>
      <c r="I535" s="24">
        <f t="shared" si="140"/>
        <v>2.8360080000000001</v>
      </c>
      <c r="J535" s="24">
        <v>13.44</v>
      </c>
      <c r="K535" s="24">
        <f t="shared" si="141"/>
        <v>106.613992</v>
      </c>
      <c r="L535" s="25">
        <v>6</v>
      </c>
      <c r="M535" s="25">
        <v>30</v>
      </c>
      <c r="N535" s="26">
        <f t="shared" si="142"/>
        <v>6.5</v>
      </c>
      <c r="O535" s="24">
        <f t="shared" si="149"/>
        <v>13.844999999999999</v>
      </c>
      <c r="P535" s="24">
        <f t="shared" si="144"/>
        <v>133.89899199999999</v>
      </c>
      <c r="Q535" s="29">
        <f t="shared" si="145"/>
        <v>248.45899199999999</v>
      </c>
      <c r="R535" s="30">
        <f>COUNTIF(RAW_DATA[[#This Row],[CONVERTED]],"&gt;0")</f>
        <v>1</v>
      </c>
      <c r="S535" s="30">
        <f>COUNTIFS(RAW_DATA[[#This Row],[AM/PM]],"AM",RAW_DATA[[#This Row],[CONVERTED]],"&gt;0")</f>
        <v>0</v>
      </c>
      <c r="T535" s="19">
        <f t="shared" si="148"/>
        <v>0</v>
      </c>
      <c r="U535" s="20" t="str">
        <f t="shared" si="147"/>
        <v>SINGLE</v>
      </c>
    </row>
    <row r="536" spans="1:21" x14ac:dyDescent="0.35">
      <c r="A536" s="21">
        <f t="shared" si="136"/>
        <v>45358</v>
      </c>
      <c r="B536" s="22" t="str">
        <f t="shared" si="137"/>
        <v>AM</v>
      </c>
      <c r="C536" s="23" t="str">
        <f t="shared" si="138"/>
        <v>March</v>
      </c>
      <c r="D536" s="13" t="str">
        <f t="shared" si="146"/>
        <v>THU</v>
      </c>
      <c r="E536" s="24">
        <v>0</v>
      </c>
      <c r="F536" s="24">
        <v>0</v>
      </c>
      <c r="G536" s="24">
        <v>0</v>
      </c>
      <c r="H536" s="24">
        <f t="shared" si="139"/>
        <v>0</v>
      </c>
      <c r="I536" s="24">
        <f t="shared" si="140"/>
        <v>0</v>
      </c>
      <c r="J536" s="24">
        <v>0</v>
      </c>
      <c r="K536" s="24">
        <f t="shared" si="141"/>
        <v>0</v>
      </c>
      <c r="L536" s="25">
        <v>0</v>
      </c>
      <c r="M536" s="25">
        <v>0</v>
      </c>
      <c r="N536" s="26">
        <f t="shared" si="142"/>
        <v>0</v>
      </c>
      <c r="O536" s="24">
        <f t="shared" si="149"/>
        <v>0</v>
      </c>
      <c r="P536" s="24">
        <f t="shared" si="144"/>
        <v>0</v>
      </c>
      <c r="Q536" s="29">
        <f t="shared" si="145"/>
        <v>0</v>
      </c>
      <c r="R536" s="30">
        <f>COUNTIF(RAW_DATA[[#This Row],[CONVERTED]],"&gt;0")</f>
        <v>0</v>
      </c>
      <c r="S536" s="30">
        <f>COUNTIFS(RAW_DATA[[#This Row],[AM/PM]],"AM",RAW_DATA[[#This Row],[CONVERTED]],"&gt;0")</f>
        <v>0</v>
      </c>
      <c r="T536" s="19">
        <f t="shared" si="148"/>
        <v>0</v>
      </c>
      <c r="U536" s="20" t="str">
        <f t="shared" si="147"/>
        <v>SINGLE</v>
      </c>
    </row>
    <row r="537" spans="1:21" x14ac:dyDescent="0.35">
      <c r="A537" s="21">
        <f t="shared" si="136"/>
        <v>45358</v>
      </c>
      <c r="B537" s="22" t="str">
        <f t="shared" si="137"/>
        <v>PM</v>
      </c>
      <c r="C537" s="23" t="str">
        <f t="shared" si="138"/>
        <v>March</v>
      </c>
      <c r="D537" s="13" t="str">
        <f t="shared" si="146"/>
        <v>THU</v>
      </c>
      <c r="E537" s="24">
        <v>0</v>
      </c>
      <c r="F537" s="24">
        <v>0</v>
      </c>
      <c r="G537" s="24">
        <v>0</v>
      </c>
      <c r="H537" s="24">
        <f t="shared" si="139"/>
        <v>0</v>
      </c>
      <c r="I537" s="24">
        <f t="shared" si="140"/>
        <v>0</v>
      </c>
      <c r="J537" s="24">
        <v>0</v>
      </c>
      <c r="K537" s="24">
        <f t="shared" si="141"/>
        <v>0</v>
      </c>
      <c r="L537" s="25">
        <v>0</v>
      </c>
      <c r="M537" s="25">
        <v>0</v>
      </c>
      <c r="N537" s="26">
        <f t="shared" si="142"/>
        <v>0</v>
      </c>
      <c r="O537" s="24">
        <f t="shared" si="149"/>
        <v>0</v>
      </c>
      <c r="P537" s="24">
        <f t="shared" si="144"/>
        <v>0</v>
      </c>
      <c r="Q537" s="29">
        <f t="shared" si="145"/>
        <v>0</v>
      </c>
      <c r="R537" s="30">
        <f>COUNTIF(RAW_DATA[[#This Row],[CONVERTED]],"&gt;0")</f>
        <v>0</v>
      </c>
      <c r="S537" s="30">
        <f>COUNTIFS(RAW_DATA[[#This Row],[AM/PM]],"AM",RAW_DATA[[#This Row],[CONVERTED]],"&gt;0")</f>
        <v>0</v>
      </c>
      <c r="T537" s="19">
        <f t="shared" si="148"/>
        <v>0</v>
      </c>
      <c r="U537" s="20" t="str">
        <f t="shared" si="147"/>
        <v>SINGLE</v>
      </c>
    </row>
    <row r="538" spans="1:21" x14ac:dyDescent="0.35">
      <c r="A538" s="21">
        <f t="shared" si="136"/>
        <v>45359</v>
      </c>
      <c r="B538" s="22" t="str">
        <f t="shared" si="137"/>
        <v>AM</v>
      </c>
      <c r="C538" s="23" t="str">
        <f t="shared" si="138"/>
        <v>March</v>
      </c>
      <c r="D538" s="13" t="str">
        <f t="shared" si="146"/>
        <v>FRI</v>
      </c>
      <c r="E538" s="24">
        <v>0</v>
      </c>
      <c r="F538" s="24">
        <v>0</v>
      </c>
      <c r="G538" s="24">
        <v>0</v>
      </c>
      <c r="H538" s="24">
        <f t="shared" si="139"/>
        <v>0</v>
      </c>
      <c r="I538" s="24">
        <f t="shared" si="140"/>
        <v>0</v>
      </c>
      <c r="J538" s="24">
        <v>0</v>
      </c>
      <c r="K538" s="24">
        <f t="shared" si="141"/>
        <v>0</v>
      </c>
      <c r="L538" s="25">
        <v>0</v>
      </c>
      <c r="M538" s="25">
        <v>0</v>
      </c>
      <c r="N538" s="26">
        <f t="shared" si="142"/>
        <v>0</v>
      </c>
      <c r="O538" s="24">
        <f t="shared" si="149"/>
        <v>0</v>
      </c>
      <c r="P538" s="24">
        <f t="shared" si="144"/>
        <v>0</v>
      </c>
      <c r="Q538" s="29">
        <f t="shared" si="145"/>
        <v>0</v>
      </c>
      <c r="R538" s="30">
        <f>COUNTIF(RAW_DATA[[#This Row],[CONVERTED]],"&gt;0")</f>
        <v>0</v>
      </c>
      <c r="S538" s="30">
        <f>COUNTIFS(RAW_DATA[[#This Row],[AM/PM]],"AM",RAW_DATA[[#This Row],[CONVERTED]],"&gt;0")</f>
        <v>0</v>
      </c>
      <c r="T538" s="19">
        <f t="shared" si="148"/>
        <v>0</v>
      </c>
      <c r="U538" s="20" t="str">
        <f t="shared" si="147"/>
        <v>SINGLE</v>
      </c>
    </row>
    <row r="539" spans="1:21" x14ac:dyDescent="0.35">
      <c r="A539" s="21">
        <f t="shared" si="136"/>
        <v>45359</v>
      </c>
      <c r="B539" s="22" t="str">
        <f t="shared" si="137"/>
        <v>PM</v>
      </c>
      <c r="C539" s="23" t="str">
        <f t="shared" si="138"/>
        <v>March</v>
      </c>
      <c r="D539" s="13" t="str">
        <f t="shared" si="146"/>
        <v>FRI</v>
      </c>
      <c r="E539" s="24">
        <v>1644</v>
      </c>
      <c r="F539" s="24">
        <v>281.72000000000003</v>
      </c>
      <c r="G539" s="24">
        <v>0</v>
      </c>
      <c r="H539" s="24">
        <f t="shared" si="139"/>
        <v>65.760000000000005</v>
      </c>
      <c r="I539" s="24">
        <f t="shared" si="140"/>
        <v>4.7328960000000002</v>
      </c>
      <c r="J539" s="24">
        <v>0</v>
      </c>
      <c r="K539" s="24">
        <f t="shared" si="141"/>
        <v>211.22710400000003</v>
      </c>
      <c r="L539" s="25">
        <v>6</v>
      </c>
      <c r="M539" s="25">
        <v>49</v>
      </c>
      <c r="N539" s="26">
        <f t="shared" si="142"/>
        <v>6.8166666666666664</v>
      </c>
      <c r="O539" s="24">
        <f t="shared" si="149"/>
        <v>14.519499999999999</v>
      </c>
      <c r="P539" s="24">
        <f t="shared" si="144"/>
        <v>225.74660400000002</v>
      </c>
      <c r="Q539" s="29">
        <f t="shared" si="145"/>
        <v>225.74660400000002</v>
      </c>
      <c r="R539" s="30">
        <f>COUNTIF(RAW_DATA[[#This Row],[CONVERTED]],"&gt;0")</f>
        <v>1</v>
      </c>
      <c r="S539" s="30">
        <f>COUNTIFS(RAW_DATA[[#This Row],[AM/PM]],"AM",RAW_DATA[[#This Row],[CONVERTED]],"&gt;0")</f>
        <v>0</v>
      </c>
      <c r="T539" s="19">
        <f t="shared" si="148"/>
        <v>0</v>
      </c>
      <c r="U539" s="20" t="str">
        <f t="shared" si="147"/>
        <v>SINGLE</v>
      </c>
    </row>
    <row r="540" spans="1:21" x14ac:dyDescent="0.35">
      <c r="A540" s="21">
        <f t="shared" si="136"/>
        <v>45360</v>
      </c>
      <c r="B540" s="22" t="str">
        <f t="shared" si="137"/>
        <v>AM</v>
      </c>
      <c r="C540" s="23" t="str">
        <f t="shared" si="138"/>
        <v>March</v>
      </c>
      <c r="D540" s="13" t="str">
        <f t="shared" si="146"/>
        <v>SAT</v>
      </c>
      <c r="E540" s="24">
        <v>410</v>
      </c>
      <c r="F540" s="24">
        <v>75.72</v>
      </c>
      <c r="G540" s="24">
        <v>12</v>
      </c>
      <c r="H540" s="24">
        <f t="shared" si="139"/>
        <v>16.399999999999999</v>
      </c>
      <c r="I540" s="24">
        <f t="shared" si="140"/>
        <v>1.2720959999999999</v>
      </c>
      <c r="J540" s="24">
        <v>3.2</v>
      </c>
      <c r="K540" s="24">
        <f t="shared" si="141"/>
        <v>58.047904000000003</v>
      </c>
      <c r="L540" s="25">
        <v>3</v>
      </c>
      <c r="M540" s="25">
        <v>14</v>
      </c>
      <c r="N540" s="26">
        <f t="shared" si="142"/>
        <v>3.2333333333333334</v>
      </c>
      <c r="O540" s="24">
        <f t="shared" si="149"/>
        <v>6.8869999999999996</v>
      </c>
      <c r="P540" s="24">
        <f t="shared" si="144"/>
        <v>68.134904000000006</v>
      </c>
      <c r="Q540" s="29">
        <f t="shared" si="145"/>
        <v>76.934904000000003</v>
      </c>
      <c r="R540" s="30">
        <f>COUNTIF(RAW_DATA[[#This Row],[CONVERTED]],"&gt;0")</f>
        <v>1</v>
      </c>
      <c r="S540" s="30">
        <f>COUNTIFS(RAW_DATA[[#This Row],[AM/PM]],"AM",RAW_DATA[[#This Row],[CONVERTED]],"&gt;0")</f>
        <v>1</v>
      </c>
      <c r="T540" s="19">
        <f t="shared" si="148"/>
        <v>0</v>
      </c>
      <c r="U540" s="20" t="str">
        <f t="shared" si="147"/>
        <v>DOUBLE</v>
      </c>
    </row>
    <row r="541" spans="1:21" x14ac:dyDescent="0.35">
      <c r="A541" s="21">
        <f t="shared" si="136"/>
        <v>45360</v>
      </c>
      <c r="B541" s="22" t="str">
        <f t="shared" si="137"/>
        <v>PM</v>
      </c>
      <c r="C541" s="23" t="str">
        <f t="shared" si="138"/>
        <v>March</v>
      </c>
      <c r="D541" s="13" t="str">
        <f t="shared" si="146"/>
        <v>SAT</v>
      </c>
      <c r="E541" s="24">
        <v>2225.5</v>
      </c>
      <c r="F541" s="24">
        <v>429.22</v>
      </c>
      <c r="G541" s="24">
        <v>0</v>
      </c>
      <c r="H541" s="24">
        <f t="shared" si="139"/>
        <v>89.02</v>
      </c>
      <c r="I541" s="24">
        <f t="shared" si="140"/>
        <v>7.210896</v>
      </c>
      <c r="J541" s="24">
        <v>0</v>
      </c>
      <c r="K541" s="24">
        <f t="shared" si="141"/>
        <v>332.989104</v>
      </c>
      <c r="L541" s="25">
        <v>5</v>
      </c>
      <c r="M541" s="25">
        <v>34</v>
      </c>
      <c r="N541" s="26">
        <f t="shared" si="142"/>
        <v>5.5666666666666664</v>
      </c>
      <c r="O541" s="24">
        <f t="shared" si="149"/>
        <v>11.856999999999999</v>
      </c>
      <c r="P541" s="24">
        <f t="shared" si="144"/>
        <v>344.84610399999997</v>
      </c>
      <c r="Q541" s="29">
        <f t="shared" si="145"/>
        <v>344.84610399999997</v>
      </c>
      <c r="R541" s="30">
        <f>COUNTIF(RAW_DATA[[#This Row],[CONVERTED]],"&gt;0")</f>
        <v>1</v>
      </c>
      <c r="S541" s="30">
        <f>COUNTIFS(RAW_DATA[[#This Row],[AM/PM]],"AM",RAW_DATA[[#This Row],[CONVERTED]],"&gt;0")</f>
        <v>0</v>
      </c>
      <c r="T541" s="19">
        <f t="shared" si="148"/>
        <v>1</v>
      </c>
      <c r="U541" s="20" t="str">
        <f t="shared" si="147"/>
        <v>DOUBLE</v>
      </c>
    </row>
    <row r="542" spans="1:21" x14ac:dyDescent="0.35">
      <c r="A542" s="21">
        <f t="shared" si="136"/>
        <v>45361</v>
      </c>
      <c r="B542" s="22" t="str">
        <f t="shared" si="137"/>
        <v>AM</v>
      </c>
      <c r="C542" s="23" t="str">
        <f t="shared" si="138"/>
        <v>March</v>
      </c>
      <c r="D542" s="13" t="str">
        <f t="shared" si="146"/>
        <v>SUN</v>
      </c>
      <c r="E542" s="24">
        <v>481</v>
      </c>
      <c r="F542" s="24">
        <v>90.72</v>
      </c>
      <c r="G542" s="24">
        <v>0</v>
      </c>
      <c r="H542" s="24">
        <f t="shared" si="139"/>
        <v>19.240000000000002</v>
      </c>
      <c r="I542" s="24">
        <f t="shared" si="140"/>
        <v>1.5240959999999999</v>
      </c>
      <c r="J542" s="24">
        <v>0</v>
      </c>
      <c r="K542" s="24">
        <f t="shared" si="141"/>
        <v>69.955904000000004</v>
      </c>
      <c r="L542" s="25">
        <v>4</v>
      </c>
      <c r="M542" s="25">
        <v>13</v>
      </c>
      <c r="N542" s="26">
        <f t="shared" si="142"/>
        <v>4.2166666666666668</v>
      </c>
      <c r="O542" s="24">
        <f t="shared" si="149"/>
        <v>8.9815000000000005</v>
      </c>
      <c r="P542" s="24">
        <f t="shared" si="144"/>
        <v>78.937404000000001</v>
      </c>
      <c r="Q542" s="29">
        <f t="shared" si="145"/>
        <v>78.937404000000001</v>
      </c>
      <c r="R542" s="30">
        <f>COUNTIF(RAW_DATA[[#This Row],[CONVERTED]],"&gt;0")</f>
        <v>1</v>
      </c>
      <c r="S542" s="30">
        <f>COUNTIFS(RAW_DATA[[#This Row],[AM/PM]],"AM",RAW_DATA[[#This Row],[CONVERTED]],"&gt;0")</f>
        <v>1</v>
      </c>
      <c r="T542" s="19">
        <f t="shared" si="148"/>
        <v>0</v>
      </c>
      <c r="U542" s="20" t="str">
        <f t="shared" si="147"/>
        <v>DOUBLE</v>
      </c>
    </row>
    <row r="543" spans="1:21" x14ac:dyDescent="0.35">
      <c r="A543" s="21">
        <f t="shared" si="136"/>
        <v>45361</v>
      </c>
      <c r="B543" s="22" t="str">
        <f t="shared" si="137"/>
        <v>PM</v>
      </c>
      <c r="C543" s="23" t="str">
        <f t="shared" si="138"/>
        <v>March</v>
      </c>
      <c r="D543" s="13" t="str">
        <f t="shared" si="146"/>
        <v>SUN</v>
      </c>
      <c r="E543" s="24">
        <v>1184</v>
      </c>
      <c r="F543" s="24">
        <v>188.64</v>
      </c>
      <c r="G543" s="24">
        <v>25</v>
      </c>
      <c r="H543" s="24">
        <f t="shared" si="139"/>
        <v>47.36</v>
      </c>
      <c r="I543" s="24">
        <f t="shared" si="140"/>
        <v>3.1691519999999995</v>
      </c>
      <c r="J543" s="24">
        <v>8</v>
      </c>
      <c r="K543" s="24">
        <f t="shared" si="141"/>
        <v>138.11084799999998</v>
      </c>
      <c r="L543" s="25">
        <v>4</v>
      </c>
      <c r="M543" s="25">
        <v>36</v>
      </c>
      <c r="N543" s="26">
        <f t="shared" si="142"/>
        <v>4.5999999999999996</v>
      </c>
      <c r="O543" s="24">
        <f t="shared" si="149"/>
        <v>9.7979999999999983</v>
      </c>
      <c r="P543" s="24">
        <f t="shared" si="144"/>
        <v>155.90884799999998</v>
      </c>
      <c r="Q543" s="29">
        <f t="shared" si="145"/>
        <v>172.90884799999998</v>
      </c>
      <c r="R543" s="30">
        <f>COUNTIF(RAW_DATA[[#This Row],[CONVERTED]],"&gt;0")</f>
        <v>1</v>
      </c>
      <c r="S543" s="30">
        <f>COUNTIFS(RAW_DATA[[#This Row],[AM/PM]],"AM",RAW_DATA[[#This Row],[CONVERTED]],"&gt;0")</f>
        <v>0</v>
      </c>
      <c r="T543" s="19">
        <f t="shared" si="148"/>
        <v>1</v>
      </c>
      <c r="U543" s="20" t="str">
        <f t="shared" si="147"/>
        <v>DOUBLE</v>
      </c>
    </row>
    <row r="544" spans="1:21" x14ac:dyDescent="0.35">
      <c r="A544" s="21">
        <f t="shared" si="136"/>
        <v>45362</v>
      </c>
      <c r="B544" s="22" t="str">
        <f t="shared" si="137"/>
        <v>AM</v>
      </c>
      <c r="C544" s="23" t="str">
        <f t="shared" si="138"/>
        <v>March</v>
      </c>
      <c r="D544" s="13" t="str">
        <f t="shared" si="146"/>
        <v>MON</v>
      </c>
      <c r="E544" s="24">
        <v>0</v>
      </c>
      <c r="F544" s="24">
        <v>0</v>
      </c>
      <c r="G544" s="24">
        <v>0</v>
      </c>
      <c r="H544" s="24">
        <f t="shared" si="139"/>
        <v>0</v>
      </c>
      <c r="I544" s="24">
        <f t="shared" si="140"/>
        <v>0</v>
      </c>
      <c r="J544" s="24">
        <v>0</v>
      </c>
      <c r="K544" s="24">
        <f t="shared" si="141"/>
        <v>0</v>
      </c>
      <c r="L544" s="25">
        <v>0</v>
      </c>
      <c r="M544" s="25">
        <v>0</v>
      </c>
      <c r="N544" s="26">
        <f t="shared" si="142"/>
        <v>0</v>
      </c>
      <c r="O544" s="24">
        <f t="shared" si="149"/>
        <v>0</v>
      </c>
      <c r="P544" s="24">
        <f t="shared" si="144"/>
        <v>0</v>
      </c>
      <c r="Q544" s="29">
        <f t="shared" si="145"/>
        <v>0</v>
      </c>
      <c r="R544" s="30">
        <f>COUNTIF(RAW_DATA[[#This Row],[CONVERTED]],"&gt;0")</f>
        <v>0</v>
      </c>
      <c r="S544" s="30">
        <f>COUNTIFS(RAW_DATA[[#This Row],[AM/PM]],"AM",RAW_DATA[[#This Row],[CONVERTED]],"&gt;0")</f>
        <v>0</v>
      </c>
      <c r="T544" s="19">
        <f t="shared" si="148"/>
        <v>0</v>
      </c>
      <c r="U544" s="20" t="str">
        <f t="shared" si="147"/>
        <v>SINGLE</v>
      </c>
    </row>
    <row r="545" spans="1:21" x14ac:dyDescent="0.35">
      <c r="A545" s="21">
        <f t="shared" si="136"/>
        <v>45362</v>
      </c>
      <c r="B545" s="22" t="str">
        <f t="shared" si="137"/>
        <v>PM</v>
      </c>
      <c r="C545" s="23" t="str">
        <f t="shared" si="138"/>
        <v>March</v>
      </c>
      <c r="D545" s="13" t="str">
        <f t="shared" si="146"/>
        <v>MON</v>
      </c>
      <c r="E545" s="24">
        <v>2178.5</v>
      </c>
      <c r="F545" s="24">
        <v>407.95</v>
      </c>
      <c r="G545" s="24">
        <v>20</v>
      </c>
      <c r="H545" s="24">
        <f t="shared" si="139"/>
        <v>87.14</v>
      </c>
      <c r="I545" s="24">
        <f t="shared" si="140"/>
        <v>6.853559999999999</v>
      </c>
      <c r="J545" s="24">
        <v>0</v>
      </c>
      <c r="K545" s="24">
        <f t="shared" si="141"/>
        <v>313.95643999999999</v>
      </c>
      <c r="L545" s="25">
        <v>6</v>
      </c>
      <c r="M545" s="25">
        <v>23</v>
      </c>
      <c r="N545" s="26">
        <f t="shared" si="142"/>
        <v>6.3833333333333337</v>
      </c>
      <c r="O545" s="24">
        <f t="shared" si="149"/>
        <v>13.596500000000001</v>
      </c>
      <c r="P545" s="24">
        <f t="shared" si="144"/>
        <v>327.55293999999998</v>
      </c>
      <c r="Q545" s="29">
        <f t="shared" si="145"/>
        <v>347.55293999999998</v>
      </c>
      <c r="R545" s="30">
        <f>COUNTIF(RAW_DATA[[#This Row],[CONVERTED]],"&gt;0")</f>
        <v>1</v>
      </c>
      <c r="S545" s="30">
        <f>COUNTIFS(RAW_DATA[[#This Row],[AM/PM]],"AM",RAW_DATA[[#This Row],[CONVERTED]],"&gt;0")</f>
        <v>0</v>
      </c>
      <c r="T545" s="19">
        <f t="shared" si="148"/>
        <v>0</v>
      </c>
      <c r="U545" s="20" t="str">
        <f t="shared" si="147"/>
        <v>SINGLE</v>
      </c>
    </row>
    <row r="546" spans="1:21" x14ac:dyDescent="0.35">
      <c r="A546" s="21">
        <f t="shared" si="136"/>
        <v>45363</v>
      </c>
      <c r="B546" s="22" t="str">
        <f t="shared" si="137"/>
        <v>AM</v>
      </c>
      <c r="C546" s="23" t="str">
        <f t="shared" si="138"/>
        <v>March</v>
      </c>
      <c r="D546" s="13" t="str">
        <f t="shared" si="146"/>
        <v>TUE</v>
      </c>
      <c r="E546" s="24">
        <v>0</v>
      </c>
      <c r="F546" s="24">
        <v>0</v>
      </c>
      <c r="G546" s="24">
        <v>0</v>
      </c>
      <c r="H546" s="24">
        <f t="shared" si="139"/>
        <v>0</v>
      </c>
      <c r="I546" s="24">
        <f t="shared" si="140"/>
        <v>0</v>
      </c>
      <c r="J546" s="24">
        <v>0</v>
      </c>
      <c r="K546" s="24">
        <f t="shared" si="141"/>
        <v>0</v>
      </c>
      <c r="L546" s="25">
        <v>0</v>
      </c>
      <c r="M546" s="25">
        <v>0</v>
      </c>
      <c r="N546" s="26">
        <f t="shared" si="142"/>
        <v>0</v>
      </c>
      <c r="O546" s="24">
        <f t="shared" si="149"/>
        <v>0</v>
      </c>
      <c r="P546" s="24">
        <f t="shared" si="144"/>
        <v>0</v>
      </c>
      <c r="Q546" s="29">
        <f t="shared" si="145"/>
        <v>0</v>
      </c>
      <c r="R546" s="30">
        <f>COUNTIF(RAW_DATA[[#This Row],[CONVERTED]],"&gt;0")</f>
        <v>0</v>
      </c>
      <c r="S546" s="30">
        <f>COUNTIFS(RAW_DATA[[#This Row],[AM/PM]],"AM",RAW_DATA[[#This Row],[CONVERTED]],"&gt;0")</f>
        <v>0</v>
      </c>
      <c r="T546" s="19">
        <f t="shared" si="148"/>
        <v>0</v>
      </c>
      <c r="U546" s="20" t="str">
        <f t="shared" si="147"/>
        <v>SINGLE</v>
      </c>
    </row>
    <row r="547" spans="1:21" x14ac:dyDescent="0.35">
      <c r="A547" s="21">
        <f t="shared" si="136"/>
        <v>45363</v>
      </c>
      <c r="B547" s="22" t="str">
        <f t="shared" si="137"/>
        <v>PM</v>
      </c>
      <c r="C547" s="23" t="str">
        <f t="shared" si="138"/>
        <v>March</v>
      </c>
      <c r="D547" s="13" t="str">
        <f t="shared" si="146"/>
        <v>TUE</v>
      </c>
      <c r="E547" s="24">
        <v>0</v>
      </c>
      <c r="F547" s="24">
        <v>0</v>
      </c>
      <c r="G547" s="24">
        <v>0</v>
      </c>
      <c r="H547" s="24">
        <f t="shared" si="139"/>
        <v>0</v>
      </c>
      <c r="I547" s="24">
        <f t="shared" si="140"/>
        <v>0</v>
      </c>
      <c r="J547" s="24">
        <v>0</v>
      </c>
      <c r="K547" s="24">
        <f t="shared" si="141"/>
        <v>0</v>
      </c>
      <c r="L547" s="25">
        <v>0</v>
      </c>
      <c r="M547" s="25">
        <v>0</v>
      </c>
      <c r="N547" s="26">
        <f t="shared" si="142"/>
        <v>0</v>
      </c>
      <c r="O547" s="24">
        <f t="shared" si="149"/>
        <v>0</v>
      </c>
      <c r="P547" s="24">
        <f t="shared" si="144"/>
        <v>0</v>
      </c>
      <c r="Q547" s="29">
        <f t="shared" si="145"/>
        <v>0</v>
      </c>
      <c r="R547" s="30">
        <f>COUNTIF(RAW_DATA[[#This Row],[CONVERTED]],"&gt;0")</f>
        <v>0</v>
      </c>
      <c r="S547" s="30">
        <f>COUNTIFS(RAW_DATA[[#This Row],[AM/PM]],"AM",RAW_DATA[[#This Row],[CONVERTED]],"&gt;0")</f>
        <v>0</v>
      </c>
      <c r="T547" s="19">
        <f t="shared" si="148"/>
        <v>0</v>
      </c>
      <c r="U547" s="20" t="str">
        <f t="shared" si="147"/>
        <v>SINGLE</v>
      </c>
    </row>
    <row r="548" spans="1:21" x14ac:dyDescent="0.35">
      <c r="A548" s="54">
        <f t="shared" si="136"/>
        <v>45364</v>
      </c>
      <c r="B548" s="55" t="str">
        <f t="shared" si="137"/>
        <v>AM</v>
      </c>
      <c r="C548" s="56" t="str">
        <f t="shared" si="138"/>
        <v>March</v>
      </c>
      <c r="D548" s="57" t="str">
        <f t="shared" si="146"/>
        <v>WED</v>
      </c>
      <c r="E548" s="58">
        <v>0</v>
      </c>
      <c r="F548" s="58">
        <v>0</v>
      </c>
      <c r="G548" s="58">
        <v>0</v>
      </c>
      <c r="H548" s="58">
        <f t="shared" si="139"/>
        <v>0</v>
      </c>
      <c r="I548" s="58">
        <f t="shared" si="140"/>
        <v>0</v>
      </c>
      <c r="J548" s="58">
        <v>0</v>
      </c>
      <c r="K548" s="58">
        <f t="shared" si="141"/>
        <v>0</v>
      </c>
      <c r="L548" s="59">
        <v>0</v>
      </c>
      <c r="M548" s="59">
        <v>0</v>
      </c>
      <c r="N548" s="60">
        <f t="shared" si="142"/>
        <v>0</v>
      </c>
      <c r="O548" s="58">
        <f t="shared" si="149"/>
        <v>0</v>
      </c>
      <c r="P548" s="58">
        <f t="shared" si="144"/>
        <v>0</v>
      </c>
      <c r="Q548" s="61">
        <f t="shared" si="145"/>
        <v>0</v>
      </c>
      <c r="R548" s="62">
        <f>COUNTIF(RAW_DATA[[#This Row],[CONVERTED]],"&gt;0")</f>
        <v>0</v>
      </c>
      <c r="S548" s="62">
        <f>COUNTIFS(RAW_DATA[[#This Row],[AM/PM]],"AM",RAW_DATA[[#This Row],[CONVERTED]],"&gt;0")</f>
        <v>0</v>
      </c>
      <c r="T548" s="63">
        <f t="shared" si="148"/>
        <v>0</v>
      </c>
      <c r="U548" s="64" t="str">
        <f t="shared" si="147"/>
        <v>SINGLE</v>
      </c>
    </row>
    <row r="549" spans="1:21" x14ac:dyDescent="0.35">
      <c r="A549" s="21">
        <f t="shared" si="136"/>
        <v>45364</v>
      </c>
      <c r="B549" s="22" t="str">
        <f t="shared" si="137"/>
        <v>PM</v>
      </c>
      <c r="C549" s="23" t="str">
        <f t="shared" si="138"/>
        <v>March</v>
      </c>
      <c r="D549" s="13" t="str">
        <f t="shared" si="146"/>
        <v>WED</v>
      </c>
      <c r="E549" s="24">
        <f>(901*0.5)+1464.5</f>
        <v>1915</v>
      </c>
      <c r="F549" s="24">
        <f>(180.2*0.5)+197.75</f>
        <v>287.85000000000002</v>
      </c>
      <c r="G549" s="24">
        <v>106</v>
      </c>
      <c r="H549" s="24">
        <f t="shared" si="139"/>
        <v>76.600000000000009</v>
      </c>
      <c r="I549" s="24">
        <f t="shared" si="140"/>
        <v>4.8358800000000004</v>
      </c>
      <c r="J549" s="24">
        <v>27.32</v>
      </c>
      <c r="K549" s="24">
        <f t="shared" si="141"/>
        <v>206.41412000000003</v>
      </c>
      <c r="L549" s="25">
        <v>6</v>
      </c>
      <c r="M549" s="25">
        <v>38</v>
      </c>
      <c r="N549" s="26">
        <f t="shared" si="142"/>
        <v>6.6333333333333337</v>
      </c>
      <c r="O549" s="24">
        <f t="shared" si="149"/>
        <v>14.129</v>
      </c>
      <c r="P549" s="24">
        <f t="shared" si="144"/>
        <v>247.86312000000001</v>
      </c>
      <c r="Q549" s="29">
        <f t="shared" si="145"/>
        <v>326.54312000000004</v>
      </c>
      <c r="R549" s="30">
        <f>COUNTIF(RAW_DATA[[#This Row],[CONVERTED]],"&gt;0")</f>
        <v>1</v>
      </c>
      <c r="S549" s="30">
        <f>COUNTIFS(RAW_DATA[[#This Row],[AM/PM]],"AM",RAW_DATA[[#This Row],[CONVERTED]],"&gt;0")</f>
        <v>0</v>
      </c>
      <c r="T549" s="19">
        <f t="shared" si="148"/>
        <v>0</v>
      </c>
      <c r="U549" s="20" t="str">
        <f t="shared" si="147"/>
        <v>SINGLE</v>
      </c>
    </row>
    <row r="550" spans="1:21" x14ac:dyDescent="0.35">
      <c r="A550" s="21">
        <f t="shared" si="136"/>
        <v>45365</v>
      </c>
      <c r="B550" s="22" t="str">
        <f t="shared" si="137"/>
        <v>AM</v>
      </c>
      <c r="C550" s="23" t="str">
        <f t="shared" si="138"/>
        <v>March</v>
      </c>
      <c r="D550" s="13" t="str">
        <f t="shared" si="146"/>
        <v>THU</v>
      </c>
      <c r="E550" s="24">
        <v>0</v>
      </c>
      <c r="F550" s="24">
        <v>0</v>
      </c>
      <c r="G550" s="24">
        <v>0</v>
      </c>
      <c r="H550" s="24">
        <f t="shared" si="139"/>
        <v>0</v>
      </c>
      <c r="I550" s="24">
        <f t="shared" si="140"/>
        <v>0</v>
      </c>
      <c r="J550" s="24">
        <v>0</v>
      </c>
      <c r="K550" s="24">
        <f t="shared" si="141"/>
        <v>0</v>
      </c>
      <c r="L550" s="25">
        <v>0</v>
      </c>
      <c r="M550" s="25">
        <v>0</v>
      </c>
      <c r="N550" s="26">
        <f t="shared" si="142"/>
        <v>0</v>
      </c>
      <c r="O550" s="24">
        <f t="shared" si="149"/>
        <v>0</v>
      </c>
      <c r="P550" s="24">
        <f t="shared" si="144"/>
        <v>0</v>
      </c>
      <c r="Q550" s="29">
        <f t="shared" si="145"/>
        <v>0</v>
      </c>
      <c r="R550" s="30">
        <f>COUNTIF(RAW_DATA[[#This Row],[CONVERTED]],"&gt;0")</f>
        <v>0</v>
      </c>
      <c r="S550" s="30">
        <f>COUNTIFS(RAW_DATA[[#This Row],[AM/PM]],"AM",RAW_DATA[[#This Row],[CONVERTED]],"&gt;0")</f>
        <v>0</v>
      </c>
      <c r="T550" s="19">
        <f t="shared" si="148"/>
        <v>0</v>
      </c>
      <c r="U550" s="20" t="str">
        <f t="shared" si="147"/>
        <v>SINGLE</v>
      </c>
    </row>
    <row r="551" spans="1:21" x14ac:dyDescent="0.35">
      <c r="A551" s="21">
        <f t="shared" si="136"/>
        <v>45365</v>
      </c>
      <c r="B551" s="22" t="str">
        <f t="shared" si="137"/>
        <v>PM</v>
      </c>
      <c r="C551" s="23" t="str">
        <f t="shared" si="138"/>
        <v>March</v>
      </c>
      <c r="D551" s="13" t="str">
        <f t="shared" si="146"/>
        <v>THU</v>
      </c>
      <c r="E551" s="24">
        <v>0</v>
      </c>
      <c r="F551" s="24">
        <v>0</v>
      </c>
      <c r="G551" s="24">
        <v>0</v>
      </c>
      <c r="H551" s="24">
        <f t="shared" si="139"/>
        <v>0</v>
      </c>
      <c r="I551" s="24">
        <f t="shared" si="140"/>
        <v>0</v>
      </c>
      <c r="J551" s="24">
        <v>0</v>
      </c>
      <c r="K551" s="24">
        <f t="shared" si="141"/>
        <v>0</v>
      </c>
      <c r="L551" s="25">
        <v>0</v>
      </c>
      <c r="M551" s="25">
        <v>0</v>
      </c>
      <c r="N551" s="26">
        <f t="shared" si="142"/>
        <v>0</v>
      </c>
      <c r="O551" s="24">
        <f t="shared" si="149"/>
        <v>0</v>
      </c>
      <c r="P551" s="24">
        <f t="shared" si="144"/>
        <v>0</v>
      </c>
      <c r="Q551" s="29">
        <f t="shared" si="145"/>
        <v>0</v>
      </c>
      <c r="R551" s="30">
        <f>COUNTIF(RAW_DATA[[#This Row],[CONVERTED]],"&gt;0")</f>
        <v>0</v>
      </c>
      <c r="S551" s="30">
        <f>COUNTIFS(RAW_DATA[[#This Row],[AM/PM]],"AM",RAW_DATA[[#This Row],[CONVERTED]],"&gt;0")</f>
        <v>0</v>
      </c>
      <c r="T551" s="19">
        <f t="shared" si="148"/>
        <v>0</v>
      </c>
      <c r="U551" s="20" t="str">
        <f t="shared" si="147"/>
        <v>SINGLE</v>
      </c>
    </row>
    <row r="552" spans="1:21" x14ac:dyDescent="0.35">
      <c r="A552" s="21">
        <f t="shared" si="136"/>
        <v>45366</v>
      </c>
      <c r="B552" s="22" t="str">
        <f t="shared" si="137"/>
        <v>AM</v>
      </c>
      <c r="C552" s="23" t="str">
        <f t="shared" si="138"/>
        <v>March</v>
      </c>
      <c r="D552" s="13" t="str">
        <f t="shared" si="146"/>
        <v>FRI</v>
      </c>
      <c r="E552" s="24">
        <v>0</v>
      </c>
      <c r="F552" s="24">
        <v>0</v>
      </c>
      <c r="G552" s="24">
        <v>0</v>
      </c>
      <c r="H552" s="24">
        <f t="shared" si="139"/>
        <v>0</v>
      </c>
      <c r="I552" s="24">
        <f t="shared" si="140"/>
        <v>0</v>
      </c>
      <c r="J552" s="24">
        <v>0</v>
      </c>
      <c r="K552" s="24">
        <f t="shared" si="141"/>
        <v>0</v>
      </c>
      <c r="L552" s="25">
        <v>0</v>
      </c>
      <c r="M552" s="25">
        <v>0</v>
      </c>
      <c r="N552" s="26">
        <f t="shared" si="142"/>
        <v>0</v>
      </c>
      <c r="O552" s="24">
        <f t="shared" si="149"/>
        <v>0</v>
      </c>
      <c r="P552" s="24">
        <f t="shared" si="144"/>
        <v>0</v>
      </c>
      <c r="Q552" s="29">
        <f t="shared" si="145"/>
        <v>0</v>
      </c>
      <c r="R552" s="30">
        <f>COUNTIF(RAW_DATA[[#This Row],[CONVERTED]],"&gt;0")</f>
        <v>0</v>
      </c>
      <c r="S552" s="30">
        <f>COUNTIFS(RAW_DATA[[#This Row],[AM/PM]],"AM",RAW_DATA[[#This Row],[CONVERTED]],"&gt;0")</f>
        <v>0</v>
      </c>
      <c r="T552" s="19">
        <f t="shared" si="148"/>
        <v>0</v>
      </c>
      <c r="U552" s="20" t="str">
        <f t="shared" si="147"/>
        <v>SINGLE</v>
      </c>
    </row>
    <row r="553" spans="1:21" x14ac:dyDescent="0.35">
      <c r="A553" s="21">
        <f t="shared" si="136"/>
        <v>45366</v>
      </c>
      <c r="B553" s="22" t="str">
        <f t="shared" si="137"/>
        <v>PM</v>
      </c>
      <c r="C553" s="23" t="str">
        <f t="shared" si="138"/>
        <v>March</v>
      </c>
      <c r="D553" s="13" t="str">
        <f t="shared" si="146"/>
        <v>FRI</v>
      </c>
      <c r="E553" s="24">
        <v>1924.5</v>
      </c>
      <c r="F553" s="24">
        <v>288.36</v>
      </c>
      <c r="G553" s="24">
        <v>74</v>
      </c>
      <c r="H553" s="24">
        <f t="shared" si="139"/>
        <v>76.98</v>
      </c>
      <c r="I553" s="24">
        <f t="shared" si="140"/>
        <v>4.8444479999999999</v>
      </c>
      <c r="J553" s="24">
        <v>23.68</v>
      </c>
      <c r="K553" s="24">
        <f t="shared" si="141"/>
        <v>206.535552</v>
      </c>
      <c r="L553" s="25">
        <v>8</v>
      </c>
      <c r="M553" s="25">
        <v>13</v>
      </c>
      <c r="N553" s="26">
        <f t="shared" si="142"/>
        <v>8.2166666666666668</v>
      </c>
      <c r="O553" s="24">
        <f t="shared" si="149"/>
        <v>17.5015</v>
      </c>
      <c r="P553" s="24">
        <f t="shared" si="144"/>
        <v>247.717052</v>
      </c>
      <c r="Q553" s="29">
        <f t="shared" si="145"/>
        <v>298.03705200000002</v>
      </c>
      <c r="R553" s="30">
        <f>COUNTIF(RAW_DATA[[#This Row],[CONVERTED]],"&gt;0")</f>
        <v>1</v>
      </c>
      <c r="S553" s="30">
        <f>COUNTIFS(RAW_DATA[[#This Row],[AM/PM]],"AM",RAW_DATA[[#This Row],[CONVERTED]],"&gt;0")</f>
        <v>0</v>
      </c>
      <c r="T553" s="19">
        <f t="shared" si="148"/>
        <v>0</v>
      </c>
      <c r="U553" s="20" t="str">
        <f t="shared" si="147"/>
        <v>SINGLE</v>
      </c>
    </row>
    <row r="554" spans="1:21" x14ac:dyDescent="0.35">
      <c r="A554" s="21">
        <f t="shared" si="136"/>
        <v>45367</v>
      </c>
      <c r="B554" s="22" t="str">
        <f t="shared" si="137"/>
        <v>AM</v>
      </c>
      <c r="C554" s="23" t="str">
        <f t="shared" si="138"/>
        <v>March</v>
      </c>
      <c r="D554" s="13" t="str">
        <f t="shared" si="146"/>
        <v>SAT</v>
      </c>
      <c r="E554" s="24">
        <v>567</v>
      </c>
      <c r="F554" s="24">
        <v>110.8</v>
      </c>
      <c r="G554" s="24">
        <v>0</v>
      </c>
      <c r="H554" s="24">
        <f t="shared" si="139"/>
        <v>22.68</v>
      </c>
      <c r="I554" s="24">
        <f t="shared" si="140"/>
        <v>1.8614399999999998</v>
      </c>
      <c r="J554" s="24">
        <v>0</v>
      </c>
      <c r="K554" s="24">
        <f t="shared" si="141"/>
        <v>86.258560000000003</v>
      </c>
      <c r="L554" s="25">
        <v>4</v>
      </c>
      <c r="M554" s="25">
        <v>9</v>
      </c>
      <c r="N554" s="26">
        <f t="shared" si="142"/>
        <v>4.1500000000000004</v>
      </c>
      <c r="O554" s="24">
        <f t="shared" si="149"/>
        <v>8.839500000000001</v>
      </c>
      <c r="P554" s="24">
        <f t="shared" si="144"/>
        <v>95.098060000000004</v>
      </c>
      <c r="Q554" s="29">
        <f t="shared" si="145"/>
        <v>95.098060000000004</v>
      </c>
      <c r="R554" s="30">
        <f>COUNTIF(RAW_DATA[[#This Row],[CONVERTED]],"&gt;0")</f>
        <v>1</v>
      </c>
      <c r="S554" s="30">
        <f>COUNTIFS(RAW_DATA[[#This Row],[AM/PM]],"AM",RAW_DATA[[#This Row],[CONVERTED]],"&gt;0")</f>
        <v>1</v>
      </c>
      <c r="T554" s="19">
        <f t="shared" si="148"/>
        <v>0</v>
      </c>
      <c r="U554" s="20" t="str">
        <f t="shared" si="147"/>
        <v>DOUBLE</v>
      </c>
    </row>
    <row r="555" spans="1:21" x14ac:dyDescent="0.35">
      <c r="A555" s="21">
        <f t="shared" si="136"/>
        <v>45367</v>
      </c>
      <c r="B555" s="22" t="str">
        <f t="shared" si="137"/>
        <v>PM</v>
      </c>
      <c r="C555" s="23" t="str">
        <f t="shared" si="138"/>
        <v>March</v>
      </c>
      <c r="D555" s="13" t="str">
        <f t="shared" si="146"/>
        <v>SAT</v>
      </c>
      <c r="E555" s="24">
        <v>1429</v>
      </c>
      <c r="F555" s="24">
        <v>232.06</v>
      </c>
      <c r="G555" s="24">
        <v>40</v>
      </c>
      <c r="H555" s="24">
        <f t="shared" si="139"/>
        <v>57.160000000000004</v>
      </c>
      <c r="I555" s="24">
        <f t="shared" si="140"/>
        <v>3.8986079999999999</v>
      </c>
      <c r="J555" s="24">
        <v>8.08</v>
      </c>
      <c r="K555" s="24">
        <f t="shared" si="141"/>
        <v>171.00139200000001</v>
      </c>
      <c r="L555" s="25">
        <v>4</v>
      </c>
      <c r="M555" s="25">
        <v>12</v>
      </c>
      <c r="N555" s="26">
        <f t="shared" si="142"/>
        <v>4.2</v>
      </c>
      <c r="O555" s="24">
        <f t="shared" si="149"/>
        <v>8.9459999999999997</v>
      </c>
      <c r="P555" s="24">
        <f t="shared" si="144"/>
        <v>188.02739200000002</v>
      </c>
      <c r="Q555" s="29">
        <f t="shared" si="145"/>
        <v>219.94739200000001</v>
      </c>
      <c r="R555" s="30">
        <f>COUNTIF(RAW_DATA[[#This Row],[CONVERTED]],"&gt;0")</f>
        <v>1</v>
      </c>
      <c r="S555" s="30">
        <f>COUNTIFS(RAW_DATA[[#This Row],[AM/PM]],"AM",RAW_DATA[[#This Row],[CONVERTED]],"&gt;0")</f>
        <v>0</v>
      </c>
      <c r="T555" s="19">
        <f t="shared" si="148"/>
        <v>1</v>
      </c>
      <c r="U555" s="20" t="str">
        <f t="shared" si="147"/>
        <v>DOUBLE</v>
      </c>
    </row>
    <row r="556" spans="1:21" x14ac:dyDescent="0.35">
      <c r="A556" s="21">
        <f t="shared" si="136"/>
        <v>45368</v>
      </c>
      <c r="B556" s="22" t="str">
        <f t="shared" si="137"/>
        <v>AM</v>
      </c>
      <c r="C556" s="23" t="str">
        <f t="shared" si="138"/>
        <v>March</v>
      </c>
      <c r="D556" s="13" t="str">
        <f t="shared" si="146"/>
        <v>SUN</v>
      </c>
      <c r="E556" s="24">
        <v>357.5</v>
      </c>
      <c r="F556" s="24">
        <v>64.739999999999995</v>
      </c>
      <c r="G556" s="24">
        <v>7</v>
      </c>
      <c r="H556" s="24">
        <f t="shared" si="139"/>
        <v>14.3</v>
      </c>
      <c r="I556" s="24">
        <f t="shared" si="140"/>
        <v>1.0876319999999999</v>
      </c>
      <c r="J556" s="24">
        <v>3.52</v>
      </c>
      <c r="K556" s="24">
        <f t="shared" si="141"/>
        <v>49.352367999999998</v>
      </c>
      <c r="L556" s="25">
        <v>4</v>
      </c>
      <c r="M556" s="25">
        <v>42</v>
      </c>
      <c r="N556" s="26">
        <f t="shared" si="142"/>
        <v>4.7</v>
      </c>
      <c r="O556" s="24">
        <f t="shared" si="149"/>
        <v>10.010999999999999</v>
      </c>
      <c r="P556" s="24">
        <f t="shared" si="144"/>
        <v>62.883368000000004</v>
      </c>
      <c r="Q556" s="29">
        <f t="shared" si="145"/>
        <v>66.363367999999994</v>
      </c>
      <c r="R556" s="30">
        <f>COUNTIF(RAW_DATA[[#This Row],[CONVERTED]],"&gt;0")</f>
        <v>1</v>
      </c>
      <c r="S556" s="30">
        <f>COUNTIFS(RAW_DATA[[#This Row],[AM/PM]],"AM",RAW_DATA[[#This Row],[CONVERTED]],"&gt;0")</f>
        <v>1</v>
      </c>
      <c r="T556" s="19">
        <f t="shared" si="148"/>
        <v>0</v>
      </c>
      <c r="U556" s="20" t="str">
        <f t="shared" si="147"/>
        <v>SINGLE</v>
      </c>
    </row>
    <row r="557" spans="1:21" x14ac:dyDescent="0.35">
      <c r="A557" s="21">
        <f t="shared" si="136"/>
        <v>45368</v>
      </c>
      <c r="B557" s="22" t="str">
        <f t="shared" si="137"/>
        <v>PM</v>
      </c>
      <c r="C557" s="23" t="str">
        <f t="shared" si="138"/>
        <v>March</v>
      </c>
      <c r="D557" s="13" t="str">
        <f t="shared" si="146"/>
        <v>SUN</v>
      </c>
      <c r="E557" s="24">
        <v>0</v>
      </c>
      <c r="F557" s="24">
        <v>0</v>
      </c>
      <c r="G557" s="24">
        <v>0</v>
      </c>
      <c r="H557" s="24">
        <f t="shared" si="139"/>
        <v>0</v>
      </c>
      <c r="I557" s="24">
        <f t="shared" si="140"/>
        <v>0</v>
      </c>
      <c r="J557" s="24">
        <v>0</v>
      </c>
      <c r="K557" s="24">
        <f t="shared" si="141"/>
        <v>0</v>
      </c>
      <c r="L557" s="25">
        <v>0</v>
      </c>
      <c r="M557" s="25">
        <v>0</v>
      </c>
      <c r="N557" s="26">
        <f t="shared" si="142"/>
        <v>0</v>
      </c>
      <c r="O557" s="24">
        <f t="shared" si="149"/>
        <v>0</v>
      </c>
      <c r="P557" s="24">
        <f t="shared" si="144"/>
        <v>0</v>
      </c>
      <c r="Q557" s="29">
        <f t="shared" si="145"/>
        <v>0</v>
      </c>
      <c r="R557" s="30">
        <f>COUNTIF(RAW_DATA[[#This Row],[CONVERTED]],"&gt;0")</f>
        <v>0</v>
      </c>
      <c r="S557" s="30">
        <f>COUNTIFS(RAW_DATA[[#This Row],[AM/PM]],"AM",RAW_DATA[[#This Row],[CONVERTED]],"&gt;0")</f>
        <v>0</v>
      </c>
      <c r="T557" s="19">
        <f t="shared" si="148"/>
        <v>0</v>
      </c>
      <c r="U557" s="20" t="str">
        <f t="shared" si="147"/>
        <v>SINGLE</v>
      </c>
    </row>
    <row r="558" spans="1:21" x14ac:dyDescent="0.35">
      <c r="A558" s="21">
        <f t="shared" si="136"/>
        <v>45369</v>
      </c>
      <c r="B558" s="22" t="str">
        <f t="shared" si="137"/>
        <v>AM</v>
      </c>
      <c r="C558" s="23" t="str">
        <f t="shared" si="138"/>
        <v>March</v>
      </c>
      <c r="D558" s="13" t="str">
        <f t="shared" si="146"/>
        <v>MON</v>
      </c>
      <c r="E558" s="24">
        <v>578.58000000000004</v>
      </c>
      <c r="F558" s="24">
        <v>108.55</v>
      </c>
      <c r="G558" s="24">
        <v>0</v>
      </c>
      <c r="H558" s="24">
        <f t="shared" si="139"/>
        <v>23.143200000000004</v>
      </c>
      <c r="I558" s="24">
        <f t="shared" si="140"/>
        <v>1.8236399999999999</v>
      </c>
      <c r="J558" s="24">
        <v>0</v>
      </c>
      <c r="K558" s="24">
        <f t="shared" si="141"/>
        <v>83.583159999999992</v>
      </c>
      <c r="L558" s="25">
        <v>3</v>
      </c>
      <c r="M558" s="25">
        <v>27</v>
      </c>
      <c r="N558" s="26">
        <f t="shared" si="142"/>
        <v>3.45</v>
      </c>
      <c r="O558" s="24">
        <f t="shared" si="149"/>
        <v>7.3484999999999996</v>
      </c>
      <c r="P558" s="24">
        <f t="shared" si="144"/>
        <v>90.931659999999994</v>
      </c>
      <c r="Q558" s="29">
        <f t="shared" si="145"/>
        <v>90.931659999999994</v>
      </c>
      <c r="R558" s="30">
        <f>COUNTIF(RAW_DATA[[#This Row],[CONVERTED]],"&gt;0")</f>
        <v>1</v>
      </c>
      <c r="S558" s="30">
        <f>COUNTIFS(RAW_DATA[[#This Row],[AM/PM]],"AM",RAW_DATA[[#This Row],[CONVERTED]],"&gt;0")</f>
        <v>1</v>
      </c>
      <c r="T558" s="19">
        <f t="shared" si="148"/>
        <v>0</v>
      </c>
      <c r="U558" s="20" t="str">
        <f t="shared" si="147"/>
        <v>DOUBLE</v>
      </c>
    </row>
    <row r="559" spans="1:21" x14ac:dyDescent="0.35">
      <c r="A559" s="21">
        <f t="shared" si="136"/>
        <v>45369</v>
      </c>
      <c r="B559" s="22" t="str">
        <f t="shared" si="137"/>
        <v>PM</v>
      </c>
      <c r="C559" s="23" t="str">
        <f t="shared" si="138"/>
        <v>March</v>
      </c>
      <c r="D559" s="13" t="str">
        <f t="shared" si="146"/>
        <v>MON</v>
      </c>
      <c r="E559" s="24">
        <v>1089</v>
      </c>
      <c r="F559" s="24">
        <v>211.45</v>
      </c>
      <c r="G559" s="24">
        <v>0</v>
      </c>
      <c r="H559" s="24">
        <f t="shared" si="139"/>
        <v>43.56</v>
      </c>
      <c r="I559" s="24">
        <f t="shared" si="140"/>
        <v>3.5523599999999997</v>
      </c>
      <c r="J559" s="24">
        <v>0</v>
      </c>
      <c r="K559" s="24">
        <f t="shared" si="141"/>
        <v>164.33763999999999</v>
      </c>
      <c r="L559" s="25">
        <v>4</v>
      </c>
      <c r="M559" s="25">
        <v>31</v>
      </c>
      <c r="N559" s="26">
        <f t="shared" si="142"/>
        <v>4.5166666666666666</v>
      </c>
      <c r="O559" s="24">
        <f t="shared" si="149"/>
        <v>9.6204999999999998</v>
      </c>
      <c r="P559" s="24">
        <f t="shared" si="144"/>
        <v>173.95813999999999</v>
      </c>
      <c r="Q559" s="29">
        <f t="shared" si="145"/>
        <v>173.95813999999999</v>
      </c>
      <c r="R559" s="30">
        <f>COUNTIF(RAW_DATA[[#This Row],[CONVERTED]],"&gt;0")</f>
        <v>1</v>
      </c>
      <c r="S559" s="30">
        <f>COUNTIFS(RAW_DATA[[#This Row],[AM/PM]],"AM",RAW_DATA[[#This Row],[CONVERTED]],"&gt;0")</f>
        <v>0</v>
      </c>
      <c r="T559" s="19">
        <f>IF(AND($S558=1,$N559&gt;0),1,0)</f>
        <v>1</v>
      </c>
      <c r="U559" s="20" t="str">
        <f t="shared" si="147"/>
        <v>DOUBLE</v>
      </c>
    </row>
    <row r="560" spans="1:21" x14ac:dyDescent="0.35">
      <c r="A560" s="21">
        <f t="shared" si="136"/>
        <v>45370</v>
      </c>
      <c r="B560" s="22" t="str">
        <f t="shared" si="137"/>
        <v>AM</v>
      </c>
      <c r="C560" s="23" t="str">
        <f t="shared" si="138"/>
        <v>March</v>
      </c>
      <c r="D560" s="13" t="str">
        <f t="shared" si="146"/>
        <v>TUE</v>
      </c>
      <c r="E560" s="24">
        <v>0</v>
      </c>
      <c r="F560" s="24">
        <v>0</v>
      </c>
      <c r="G560" s="24">
        <v>0</v>
      </c>
      <c r="H560" s="24">
        <f t="shared" si="139"/>
        <v>0</v>
      </c>
      <c r="I560" s="24">
        <f t="shared" si="140"/>
        <v>0</v>
      </c>
      <c r="J560" s="24">
        <v>0</v>
      </c>
      <c r="K560" s="24">
        <f t="shared" si="141"/>
        <v>0</v>
      </c>
      <c r="L560" s="25">
        <v>0</v>
      </c>
      <c r="M560" s="25">
        <v>0</v>
      </c>
      <c r="N560" s="26">
        <f t="shared" si="142"/>
        <v>0</v>
      </c>
      <c r="O560" s="24">
        <f t="shared" si="149"/>
        <v>0</v>
      </c>
      <c r="P560" s="24">
        <f t="shared" si="144"/>
        <v>0</v>
      </c>
      <c r="Q560" s="29">
        <f t="shared" si="145"/>
        <v>0</v>
      </c>
      <c r="R560" s="30">
        <f>COUNTIF(RAW_DATA[[#This Row],[CONVERTED]],"&gt;0")</f>
        <v>0</v>
      </c>
      <c r="S560" s="30">
        <f>COUNTIFS(RAW_DATA[[#This Row],[AM/PM]],"AM",RAW_DATA[[#This Row],[CONVERTED]],"&gt;0")</f>
        <v>0</v>
      </c>
      <c r="T560" s="19">
        <f t="shared" si="148"/>
        <v>0</v>
      </c>
      <c r="U560" s="20" t="str">
        <f t="shared" si="147"/>
        <v>SINGLE</v>
      </c>
    </row>
    <row r="561" spans="1:21" x14ac:dyDescent="0.35">
      <c r="A561" s="21">
        <f t="shared" si="136"/>
        <v>45370</v>
      </c>
      <c r="B561" s="22" t="str">
        <f t="shared" si="137"/>
        <v>PM</v>
      </c>
      <c r="C561" s="23" t="str">
        <f t="shared" si="138"/>
        <v>March</v>
      </c>
      <c r="D561" s="13" t="str">
        <f t="shared" si="146"/>
        <v>TUE</v>
      </c>
      <c r="E561" s="24">
        <v>0</v>
      </c>
      <c r="F561" s="24">
        <v>0</v>
      </c>
      <c r="G561" s="24">
        <v>0</v>
      </c>
      <c r="H561" s="24">
        <f t="shared" si="139"/>
        <v>0</v>
      </c>
      <c r="I561" s="24">
        <f t="shared" si="140"/>
        <v>0</v>
      </c>
      <c r="J561" s="24">
        <v>0</v>
      </c>
      <c r="K561" s="24">
        <f t="shared" si="141"/>
        <v>0</v>
      </c>
      <c r="L561" s="25">
        <v>0</v>
      </c>
      <c r="M561" s="25">
        <v>0</v>
      </c>
      <c r="N561" s="26">
        <f t="shared" si="142"/>
        <v>0</v>
      </c>
      <c r="O561" s="24">
        <f t="shared" si="149"/>
        <v>0</v>
      </c>
      <c r="P561" s="24">
        <f t="shared" si="144"/>
        <v>0</v>
      </c>
      <c r="Q561" s="29">
        <f t="shared" si="145"/>
        <v>0</v>
      </c>
      <c r="R561" s="30">
        <f>COUNTIF(RAW_DATA[[#This Row],[CONVERTED]],"&gt;0")</f>
        <v>0</v>
      </c>
      <c r="S561" s="30">
        <f>COUNTIFS(RAW_DATA[[#This Row],[AM/PM]],"AM",RAW_DATA[[#This Row],[CONVERTED]],"&gt;0")</f>
        <v>0</v>
      </c>
      <c r="T561" s="19">
        <f t="shared" si="148"/>
        <v>0</v>
      </c>
      <c r="U561" s="20" t="str">
        <f t="shared" si="147"/>
        <v>SINGLE</v>
      </c>
    </row>
    <row r="562" spans="1:21" x14ac:dyDescent="0.35">
      <c r="A562" s="54">
        <f t="shared" si="136"/>
        <v>45371</v>
      </c>
      <c r="B562" s="55" t="str">
        <f t="shared" si="137"/>
        <v>AM</v>
      </c>
      <c r="C562" s="56" t="str">
        <f t="shared" si="138"/>
        <v>March</v>
      </c>
      <c r="D562" s="57" t="str">
        <f t="shared" si="146"/>
        <v>WED</v>
      </c>
      <c r="E562" s="58">
        <v>0</v>
      </c>
      <c r="F562" s="58">
        <v>0</v>
      </c>
      <c r="G562" s="58">
        <v>0</v>
      </c>
      <c r="H562" s="58">
        <f t="shared" si="139"/>
        <v>0</v>
      </c>
      <c r="I562" s="58">
        <f t="shared" si="140"/>
        <v>0</v>
      </c>
      <c r="J562" s="58">
        <v>0</v>
      </c>
      <c r="K562" s="58">
        <f t="shared" si="141"/>
        <v>0</v>
      </c>
      <c r="L562" s="59">
        <v>0</v>
      </c>
      <c r="M562" s="59">
        <v>0</v>
      </c>
      <c r="N562" s="60">
        <f t="shared" si="142"/>
        <v>0</v>
      </c>
      <c r="O562" s="58">
        <f t="shared" si="149"/>
        <v>0</v>
      </c>
      <c r="P562" s="58">
        <f t="shared" si="144"/>
        <v>0</v>
      </c>
      <c r="Q562" s="61">
        <f t="shared" si="145"/>
        <v>0</v>
      </c>
      <c r="R562" s="62">
        <f>COUNTIF(RAW_DATA[[#This Row],[CONVERTED]],"&gt;0")</f>
        <v>0</v>
      </c>
      <c r="S562" s="62">
        <f>COUNTIFS(RAW_DATA[[#This Row],[AM/PM]],"AM",RAW_DATA[[#This Row],[CONVERTED]],"&gt;0")</f>
        <v>0</v>
      </c>
      <c r="T562" s="63">
        <f t="shared" si="148"/>
        <v>0</v>
      </c>
      <c r="U562" s="64" t="str">
        <f t="shared" si="147"/>
        <v>SINGLE</v>
      </c>
    </row>
    <row r="563" spans="1:21" x14ac:dyDescent="0.35">
      <c r="A563" s="21">
        <f t="shared" si="136"/>
        <v>45371</v>
      </c>
      <c r="B563" s="22" t="str">
        <f t="shared" si="137"/>
        <v>PM</v>
      </c>
      <c r="C563" s="23" t="str">
        <f t="shared" si="138"/>
        <v>March</v>
      </c>
      <c r="D563" s="13" t="str">
        <f t="shared" si="146"/>
        <v>WED</v>
      </c>
      <c r="E563" s="24">
        <v>365</v>
      </c>
      <c r="F563" s="24">
        <v>59.6</v>
      </c>
      <c r="G563" s="24">
        <v>0</v>
      </c>
      <c r="H563" s="24">
        <f t="shared" si="139"/>
        <v>14.6</v>
      </c>
      <c r="I563" s="24">
        <f t="shared" si="140"/>
        <v>1.0012799999999999</v>
      </c>
      <c r="J563" s="24">
        <v>0</v>
      </c>
      <c r="K563" s="24">
        <f t="shared" si="141"/>
        <v>43.998720000000006</v>
      </c>
      <c r="L563" s="25">
        <v>4</v>
      </c>
      <c r="M563" s="25">
        <v>14</v>
      </c>
      <c r="N563" s="26">
        <f t="shared" si="142"/>
        <v>4.2333333333333334</v>
      </c>
      <c r="O563" s="24">
        <f t="shared" si="149"/>
        <v>9.0169999999999995</v>
      </c>
      <c r="P563" s="24">
        <f t="shared" si="144"/>
        <v>53.015720000000002</v>
      </c>
      <c r="Q563" s="29">
        <f t="shared" si="145"/>
        <v>53.015720000000002</v>
      </c>
      <c r="R563" s="30">
        <f>COUNTIF(RAW_DATA[[#This Row],[CONVERTED]],"&gt;0")</f>
        <v>1</v>
      </c>
      <c r="S563" s="30">
        <f>COUNTIFS(RAW_DATA[[#This Row],[AM/PM]],"AM",RAW_DATA[[#This Row],[CONVERTED]],"&gt;0")</f>
        <v>0</v>
      </c>
      <c r="T563" s="19">
        <f t="shared" si="148"/>
        <v>0</v>
      </c>
      <c r="U563" s="20" t="str">
        <f t="shared" si="147"/>
        <v>SINGLE</v>
      </c>
    </row>
    <row r="564" spans="1:21" x14ac:dyDescent="0.35">
      <c r="A564" s="21">
        <f t="shared" si="136"/>
        <v>45372</v>
      </c>
      <c r="B564" s="22" t="str">
        <f t="shared" si="137"/>
        <v>AM</v>
      </c>
      <c r="C564" s="23" t="str">
        <f t="shared" si="138"/>
        <v>March</v>
      </c>
      <c r="D564" s="13" t="str">
        <f t="shared" si="146"/>
        <v>THU</v>
      </c>
      <c r="E564" s="24">
        <v>0</v>
      </c>
      <c r="F564" s="24">
        <v>0</v>
      </c>
      <c r="G564" s="24">
        <v>0</v>
      </c>
      <c r="H564" s="24">
        <f t="shared" si="139"/>
        <v>0</v>
      </c>
      <c r="I564" s="24">
        <f t="shared" si="140"/>
        <v>0</v>
      </c>
      <c r="J564" s="24">
        <v>0</v>
      </c>
      <c r="K564" s="24">
        <f t="shared" si="141"/>
        <v>0</v>
      </c>
      <c r="L564" s="25">
        <v>0</v>
      </c>
      <c r="M564" s="25">
        <v>0</v>
      </c>
      <c r="N564" s="26">
        <f t="shared" si="142"/>
        <v>0</v>
      </c>
      <c r="O564" s="24">
        <f t="shared" si="149"/>
        <v>0</v>
      </c>
      <c r="P564" s="24">
        <f t="shared" si="144"/>
        <v>0</v>
      </c>
      <c r="Q564" s="29">
        <f t="shared" si="145"/>
        <v>0</v>
      </c>
      <c r="R564" s="30">
        <f>COUNTIF(RAW_DATA[[#This Row],[CONVERTED]],"&gt;0")</f>
        <v>0</v>
      </c>
      <c r="S564" s="30">
        <f>COUNTIFS(RAW_DATA[[#This Row],[AM/PM]],"AM",RAW_DATA[[#This Row],[CONVERTED]],"&gt;0")</f>
        <v>0</v>
      </c>
      <c r="T564" s="19">
        <f t="shared" si="148"/>
        <v>0</v>
      </c>
      <c r="U564" s="20" t="str">
        <f t="shared" si="147"/>
        <v>SINGLE</v>
      </c>
    </row>
    <row r="565" spans="1:21" x14ac:dyDescent="0.35">
      <c r="A565" s="21">
        <f t="shared" si="136"/>
        <v>45372</v>
      </c>
      <c r="B565" s="22" t="str">
        <f t="shared" si="137"/>
        <v>PM</v>
      </c>
      <c r="C565" s="23" t="str">
        <f t="shared" si="138"/>
        <v>March</v>
      </c>
      <c r="D565" s="13" t="str">
        <f t="shared" si="146"/>
        <v>THU</v>
      </c>
      <c r="E565" s="24">
        <v>0</v>
      </c>
      <c r="F565" s="24">
        <v>0</v>
      </c>
      <c r="G565" s="24">
        <v>0</v>
      </c>
      <c r="H565" s="24">
        <f t="shared" si="139"/>
        <v>0</v>
      </c>
      <c r="I565" s="24">
        <f t="shared" si="140"/>
        <v>0</v>
      </c>
      <c r="J565" s="24">
        <v>0</v>
      </c>
      <c r="K565" s="24">
        <f t="shared" si="141"/>
        <v>0</v>
      </c>
      <c r="L565" s="25">
        <v>0</v>
      </c>
      <c r="M565" s="25">
        <v>0</v>
      </c>
      <c r="N565" s="26">
        <f t="shared" si="142"/>
        <v>0</v>
      </c>
      <c r="O565" s="24">
        <f t="shared" si="149"/>
        <v>0</v>
      </c>
      <c r="P565" s="24">
        <f t="shared" si="144"/>
        <v>0</v>
      </c>
      <c r="Q565" s="29">
        <f t="shared" si="145"/>
        <v>0</v>
      </c>
      <c r="R565" s="30">
        <f>COUNTIF(RAW_DATA[[#This Row],[CONVERTED]],"&gt;0")</f>
        <v>0</v>
      </c>
      <c r="S565" s="30">
        <f>COUNTIFS(RAW_DATA[[#This Row],[AM/PM]],"AM",RAW_DATA[[#This Row],[CONVERTED]],"&gt;0")</f>
        <v>0</v>
      </c>
      <c r="T565" s="19">
        <f t="shared" si="148"/>
        <v>0</v>
      </c>
      <c r="U565" s="20" t="str">
        <f t="shared" si="147"/>
        <v>SINGLE</v>
      </c>
    </row>
    <row r="566" spans="1:21" x14ac:dyDescent="0.35">
      <c r="A566" s="21">
        <f t="shared" si="136"/>
        <v>45373</v>
      </c>
      <c r="B566" s="22" t="str">
        <f t="shared" si="137"/>
        <v>AM</v>
      </c>
      <c r="C566" s="23" t="str">
        <f t="shared" si="138"/>
        <v>March</v>
      </c>
      <c r="D566" s="13" t="str">
        <f t="shared" si="146"/>
        <v>FRI</v>
      </c>
      <c r="E566" s="24">
        <v>0</v>
      </c>
      <c r="F566" s="24">
        <v>0</v>
      </c>
      <c r="G566" s="24">
        <v>0</v>
      </c>
      <c r="H566" s="24">
        <f t="shared" si="139"/>
        <v>0</v>
      </c>
      <c r="I566" s="24">
        <f t="shared" si="140"/>
        <v>0</v>
      </c>
      <c r="J566" s="24">
        <v>0</v>
      </c>
      <c r="K566" s="24">
        <f t="shared" si="141"/>
        <v>0</v>
      </c>
      <c r="L566" s="25">
        <v>0</v>
      </c>
      <c r="M566" s="25">
        <v>0</v>
      </c>
      <c r="N566" s="26">
        <f t="shared" si="142"/>
        <v>0</v>
      </c>
      <c r="O566" s="24">
        <f t="shared" si="149"/>
        <v>0</v>
      </c>
      <c r="P566" s="24">
        <f t="shared" si="144"/>
        <v>0</v>
      </c>
      <c r="Q566" s="29">
        <f t="shared" si="145"/>
        <v>0</v>
      </c>
      <c r="R566" s="30">
        <f>COUNTIF(RAW_DATA[[#This Row],[CONVERTED]],"&gt;0")</f>
        <v>0</v>
      </c>
      <c r="S566" s="30">
        <f>COUNTIFS(RAW_DATA[[#This Row],[AM/PM]],"AM",RAW_DATA[[#This Row],[CONVERTED]],"&gt;0")</f>
        <v>0</v>
      </c>
      <c r="T566" s="19">
        <f t="shared" si="148"/>
        <v>0</v>
      </c>
      <c r="U566" s="20" t="str">
        <f t="shared" si="147"/>
        <v>SINGLE</v>
      </c>
    </row>
    <row r="567" spans="1:21" x14ac:dyDescent="0.35">
      <c r="A567" s="21">
        <f t="shared" si="136"/>
        <v>45373</v>
      </c>
      <c r="B567" s="22" t="str">
        <f t="shared" si="137"/>
        <v>PM</v>
      </c>
      <c r="C567" s="23" t="str">
        <f t="shared" si="138"/>
        <v>March</v>
      </c>
      <c r="D567" s="13" t="str">
        <f t="shared" si="146"/>
        <v>FRI</v>
      </c>
      <c r="E567" s="24">
        <v>0</v>
      </c>
      <c r="F567" s="24">
        <v>0</v>
      </c>
      <c r="G567" s="24">
        <v>0</v>
      </c>
      <c r="H567" s="24">
        <f t="shared" si="139"/>
        <v>0</v>
      </c>
      <c r="I567" s="24">
        <f t="shared" si="140"/>
        <v>0</v>
      </c>
      <c r="J567" s="24">
        <v>0</v>
      </c>
      <c r="K567" s="24">
        <f t="shared" si="141"/>
        <v>0</v>
      </c>
      <c r="L567" s="25">
        <v>0</v>
      </c>
      <c r="M567" s="25">
        <v>0</v>
      </c>
      <c r="N567" s="26">
        <f t="shared" si="142"/>
        <v>0</v>
      </c>
      <c r="O567" s="24">
        <f t="shared" si="149"/>
        <v>0</v>
      </c>
      <c r="P567" s="24">
        <f t="shared" si="144"/>
        <v>0</v>
      </c>
      <c r="Q567" s="29">
        <f t="shared" si="145"/>
        <v>0</v>
      </c>
      <c r="R567" s="30">
        <f>COUNTIF(RAW_DATA[[#This Row],[CONVERTED]],"&gt;0")</f>
        <v>0</v>
      </c>
      <c r="S567" s="30">
        <f>COUNTIFS(RAW_DATA[[#This Row],[AM/PM]],"AM",RAW_DATA[[#This Row],[CONVERTED]],"&gt;0")</f>
        <v>0</v>
      </c>
      <c r="T567" s="19">
        <f t="shared" si="148"/>
        <v>0</v>
      </c>
      <c r="U567" s="20" t="str">
        <f t="shared" si="147"/>
        <v>SINGLE</v>
      </c>
    </row>
    <row r="568" spans="1:21" x14ac:dyDescent="0.35">
      <c r="A568" s="21">
        <f t="shared" si="136"/>
        <v>45374</v>
      </c>
      <c r="B568" s="22" t="str">
        <f t="shared" si="137"/>
        <v>AM</v>
      </c>
      <c r="C568" s="23" t="str">
        <f t="shared" si="138"/>
        <v>March</v>
      </c>
      <c r="D568" s="13" t="str">
        <f t="shared" si="146"/>
        <v>SAT</v>
      </c>
      <c r="E568" s="24">
        <v>0</v>
      </c>
      <c r="F568" s="24">
        <v>0</v>
      </c>
      <c r="G568" s="24">
        <v>0</v>
      </c>
      <c r="H568" s="24">
        <f t="shared" si="139"/>
        <v>0</v>
      </c>
      <c r="I568" s="24">
        <f t="shared" si="140"/>
        <v>0</v>
      </c>
      <c r="J568" s="24">
        <v>0</v>
      </c>
      <c r="K568" s="24">
        <f t="shared" si="141"/>
        <v>0</v>
      </c>
      <c r="L568" s="25">
        <v>0</v>
      </c>
      <c r="M568" s="25">
        <v>0</v>
      </c>
      <c r="N568" s="26">
        <f t="shared" si="142"/>
        <v>0</v>
      </c>
      <c r="O568" s="24">
        <f t="shared" si="149"/>
        <v>0</v>
      </c>
      <c r="P568" s="24">
        <f t="shared" si="144"/>
        <v>0</v>
      </c>
      <c r="Q568" s="29">
        <f t="shared" si="145"/>
        <v>0</v>
      </c>
      <c r="R568" s="30">
        <f>COUNTIF(RAW_DATA[[#This Row],[CONVERTED]],"&gt;0")</f>
        <v>0</v>
      </c>
      <c r="S568" s="30">
        <f>COUNTIFS(RAW_DATA[[#This Row],[AM/PM]],"AM",RAW_DATA[[#This Row],[CONVERTED]],"&gt;0")</f>
        <v>0</v>
      </c>
      <c r="T568" s="19">
        <f t="shared" si="148"/>
        <v>0</v>
      </c>
      <c r="U568" s="20" t="str">
        <f t="shared" si="147"/>
        <v>SINGLE</v>
      </c>
    </row>
    <row r="569" spans="1:21" x14ac:dyDescent="0.35">
      <c r="A569" s="21">
        <f t="shared" si="136"/>
        <v>45374</v>
      </c>
      <c r="B569" s="22" t="str">
        <f t="shared" si="137"/>
        <v>PM</v>
      </c>
      <c r="C569" s="23" t="str">
        <f t="shared" si="138"/>
        <v>March</v>
      </c>
      <c r="D569" s="13" t="str">
        <f t="shared" si="146"/>
        <v>SAT</v>
      </c>
      <c r="E569" s="24">
        <v>1565.5</v>
      </c>
      <c r="F569" s="24">
        <v>274.33999999999997</v>
      </c>
      <c r="G569" s="24">
        <v>9</v>
      </c>
      <c r="H569" s="24">
        <f t="shared" si="139"/>
        <v>62.620000000000005</v>
      </c>
      <c r="I569" s="24">
        <f t="shared" si="140"/>
        <v>4.6089119999999992</v>
      </c>
      <c r="J569" s="24">
        <v>4.5199999999999996</v>
      </c>
      <c r="K569" s="24">
        <f t="shared" si="141"/>
        <v>207.11108799999997</v>
      </c>
      <c r="L569" s="25">
        <v>6</v>
      </c>
      <c r="M569" s="25">
        <v>45</v>
      </c>
      <c r="N569" s="26">
        <f t="shared" si="142"/>
        <v>6.75</v>
      </c>
      <c r="O569" s="24">
        <f t="shared" si="149"/>
        <v>14.3775</v>
      </c>
      <c r="P569" s="24">
        <f t="shared" si="144"/>
        <v>226.00858799999997</v>
      </c>
      <c r="Q569" s="29">
        <f t="shared" si="145"/>
        <v>230.48858799999996</v>
      </c>
      <c r="R569" s="30">
        <f>COUNTIF(RAW_DATA[[#This Row],[CONVERTED]],"&gt;0")</f>
        <v>1</v>
      </c>
      <c r="S569" s="30">
        <f>COUNTIFS(RAW_DATA[[#This Row],[AM/PM]],"AM",RAW_DATA[[#This Row],[CONVERTED]],"&gt;0")</f>
        <v>0</v>
      </c>
      <c r="T569" s="19">
        <f t="shared" si="148"/>
        <v>0</v>
      </c>
      <c r="U569" s="20" t="str">
        <f t="shared" si="147"/>
        <v>SINGLE</v>
      </c>
    </row>
    <row r="570" spans="1:21" x14ac:dyDescent="0.35">
      <c r="A570" s="21">
        <f t="shared" si="136"/>
        <v>45375</v>
      </c>
      <c r="B570" s="22" t="str">
        <f t="shared" si="137"/>
        <v>AM</v>
      </c>
      <c r="C570" s="23" t="str">
        <f t="shared" si="138"/>
        <v>March</v>
      </c>
      <c r="D570" s="13" t="str">
        <f t="shared" si="146"/>
        <v>SUN</v>
      </c>
      <c r="E570" s="24">
        <v>913</v>
      </c>
      <c r="F570" s="24">
        <v>159.15</v>
      </c>
      <c r="G570" s="24">
        <v>25</v>
      </c>
      <c r="H570" s="24">
        <f t="shared" si="139"/>
        <v>36.520000000000003</v>
      </c>
      <c r="I570" s="24">
        <f t="shared" si="140"/>
        <v>2.6737199999999999</v>
      </c>
      <c r="J570" s="24">
        <v>7.76</v>
      </c>
      <c r="K570" s="24">
        <f t="shared" si="141"/>
        <v>119.95627999999999</v>
      </c>
      <c r="L570" s="25">
        <v>5</v>
      </c>
      <c r="M570" s="25">
        <v>0</v>
      </c>
      <c r="N570" s="26">
        <f t="shared" si="142"/>
        <v>5</v>
      </c>
      <c r="O570" s="24">
        <f t="shared" si="149"/>
        <v>10.649999999999999</v>
      </c>
      <c r="P570" s="24">
        <f t="shared" si="144"/>
        <v>138.36627999999999</v>
      </c>
      <c r="Q570" s="29">
        <f t="shared" si="145"/>
        <v>155.60628</v>
      </c>
      <c r="R570" s="30">
        <f>COUNTIF(RAW_DATA[[#This Row],[CONVERTED]],"&gt;0")</f>
        <v>1</v>
      </c>
      <c r="S570" s="30">
        <f>COUNTIFS(RAW_DATA[[#This Row],[AM/PM]],"AM",RAW_DATA[[#This Row],[CONVERTED]],"&gt;0")</f>
        <v>1</v>
      </c>
      <c r="T570" s="19">
        <f t="shared" si="148"/>
        <v>0</v>
      </c>
      <c r="U570" s="20" t="str">
        <f t="shared" si="147"/>
        <v>SINGLE</v>
      </c>
    </row>
    <row r="571" spans="1:21" x14ac:dyDescent="0.35">
      <c r="A571" s="21">
        <f t="shared" si="136"/>
        <v>45375</v>
      </c>
      <c r="B571" s="22" t="str">
        <f t="shared" si="137"/>
        <v>PM</v>
      </c>
      <c r="C571" s="23" t="str">
        <f t="shared" si="138"/>
        <v>March</v>
      </c>
      <c r="D571" s="13" t="str">
        <f t="shared" si="146"/>
        <v>SUN</v>
      </c>
      <c r="E571" s="24">
        <v>0</v>
      </c>
      <c r="F571" s="24">
        <v>0</v>
      </c>
      <c r="G571" s="24">
        <v>0</v>
      </c>
      <c r="H571" s="24">
        <f t="shared" si="139"/>
        <v>0</v>
      </c>
      <c r="I571" s="24">
        <f t="shared" si="140"/>
        <v>0</v>
      </c>
      <c r="J571" s="24">
        <v>0</v>
      </c>
      <c r="K571" s="24">
        <f t="shared" si="141"/>
        <v>0</v>
      </c>
      <c r="L571" s="25">
        <v>0</v>
      </c>
      <c r="M571" s="25">
        <v>0</v>
      </c>
      <c r="N571" s="26">
        <f t="shared" si="142"/>
        <v>0</v>
      </c>
      <c r="O571" s="24">
        <f t="shared" si="149"/>
        <v>0</v>
      </c>
      <c r="P571" s="24">
        <f t="shared" si="144"/>
        <v>0</v>
      </c>
      <c r="Q571" s="29">
        <f t="shared" si="145"/>
        <v>0</v>
      </c>
      <c r="R571" s="30">
        <f>COUNTIF(RAW_DATA[[#This Row],[CONVERTED]],"&gt;0")</f>
        <v>0</v>
      </c>
      <c r="S571" s="30">
        <f>COUNTIFS(RAW_DATA[[#This Row],[AM/PM]],"AM",RAW_DATA[[#This Row],[CONVERTED]],"&gt;0")</f>
        <v>0</v>
      </c>
      <c r="T571" s="19">
        <f t="shared" si="148"/>
        <v>0</v>
      </c>
      <c r="U571" s="20" t="str">
        <f t="shared" si="147"/>
        <v>SINGLE</v>
      </c>
    </row>
    <row r="572" spans="1:21" x14ac:dyDescent="0.35">
      <c r="A572" s="21">
        <f t="shared" si="136"/>
        <v>45376</v>
      </c>
      <c r="B572" s="22" t="str">
        <f t="shared" si="137"/>
        <v>AM</v>
      </c>
      <c r="C572" s="23" t="str">
        <f t="shared" si="138"/>
        <v>March</v>
      </c>
      <c r="D572" s="13" t="str">
        <f t="shared" si="146"/>
        <v>MON</v>
      </c>
      <c r="E572" s="24">
        <v>341.5</v>
      </c>
      <c r="F572" s="24">
        <v>63.24</v>
      </c>
      <c r="G572" s="24">
        <v>0</v>
      </c>
      <c r="H572" s="24">
        <f t="shared" si="139"/>
        <v>13.66</v>
      </c>
      <c r="I572" s="24">
        <f t="shared" si="140"/>
        <v>1.062432</v>
      </c>
      <c r="J572" s="24">
        <v>0</v>
      </c>
      <c r="K572" s="24">
        <f t="shared" si="141"/>
        <v>48.517568000000004</v>
      </c>
      <c r="L572" s="25">
        <v>3</v>
      </c>
      <c r="M572" s="25">
        <v>25</v>
      </c>
      <c r="N572" s="26">
        <f t="shared" si="142"/>
        <v>3.4166666666666665</v>
      </c>
      <c r="O572" s="24">
        <f t="shared" si="149"/>
        <v>7.277499999999999</v>
      </c>
      <c r="P572" s="24">
        <f t="shared" si="144"/>
        <v>55.795068000000001</v>
      </c>
      <c r="Q572" s="29">
        <f t="shared" si="145"/>
        <v>55.795068000000001</v>
      </c>
      <c r="R572" s="30">
        <f>COUNTIF(RAW_DATA[[#This Row],[CONVERTED]],"&gt;0")</f>
        <v>1</v>
      </c>
      <c r="S572" s="30">
        <f>COUNTIFS(RAW_DATA[[#This Row],[AM/PM]],"AM",RAW_DATA[[#This Row],[CONVERTED]],"&gt;0")</f>
        <v>1</v>
      </c>
      <c r="T572" s="19">
        <f t="shared" si="148"/>
        <v>0</v>
      </c>
      <c r="U572" s="20" t="str">
        <f t="shared" si="147"/>
        <v>DOUBLE</v>
      </c>
    </row>
    <row r="573" spans="1:21" x14ac:dyDescent="0.35">
      <c r="A573" s="21">
        <f t="shared" si="136"/>
        <v>45376</v>
      </c>
      <c r="B573" s="22" t="str">
        <f t="shared" si="137"/>
        <v>PM</v>
      </c>
      <c r="C573" s="23" t="str">
        <f t="shared" si="138"/>
        <v>March</v>
      </c>
      <c r="D573" s="13" t="str">
        <f t="shared" si="146"/>
        <v>MON</v>
      </c>
      <c r="E573" s="24">
        <v>1253.5</v>
      </c>
      <c r="F573" s="24">
        <v>234.11</v>
      </c>
      <c r="G573" s="24">
        <v>20</v>
      </c>
      <c r="H573" s="24">
        <f t="shared" si="139"/>
        <v>50.14</v>
      </c>
      <c r="I573" s="24">
        <f t="shared" si="140"/>
        <v>3.9330479999999999</v>
      </c>
      <c r="J573" s="24">
        <v>6.64</v>
      </c>
      <c r="K573" s="24">
        <f t="shared" si="141"/>
        <v>180.03695200000001</v>
      </c>
      <c r="L573" s="25">
        <v>5</v>
      </c>
      <c r="M573" s="25">
        <v>57</v>
      </c>
      <c r="N573" s="26">
        <f t="shared" si="142"/>
        <v>5.95</v>
      </c>
      <c r="O573" s="24">
        <f t="shared" si="149"/>
        <v>12.673499999999999</v>
      </c>
      <c r="P573" s="24">
        <f t="shared" si="144"/>
        <v>199.35045199999999</v>
      </c>
      <c r="Q573" s="29">
        <f t="shared" si="145"/>
        <v>212.710452</v>
      </c>
      <c r="R573" s="30">
        <f>COUNTIF(RAW_DATA[[#This Row],[CONVERTED]],"&gt;0")</f>
        <v>1</v>
      </c>
      <c r="S573" s="30">
        <f>COUNTIFS(RAW_DATA[[#This Row],[AM/PM]],"AM",RAW_DATA[[#This Row],[CONVERTED]],"&gt;0")</f>
        <v>0</v>
      </c>
      <c r="T573" s="19">
        <f t="shared" si="148"/>
        <v>1</v>
      </c>
      <c r="U573" s="20" t="str">
        <f t="shared" si="147"/>
        <v>DOUBLE</v>
      </c>
    </row>
    <row r="574" spans="1:21" x14ac:dyDescent="0.35">
      <c r="A574" s="21">
        <f t="shared" si="136"/>
        <v>45377</v>
      </c>
      <c r="B574" s="22" t="str">
        <f t="shared" si="137"/>
        <v>AM</v>
      </c>
      <c r="C574" s="23" t="str">
        <f t="shared" si="138"/>
        <v>March</v>
      </c>
      <c r="D574" s="13" t="str">
        <f t="shared" si="146"/>
        <v>TUE</v>
      </c>
      <c r="E574" s="24">
        <v>0</v>
      </c>
      <c r="F574" s="24">
        <v>0</v>
      </c>
      <c r="G574" s="24">
        <v>0</v>
      </c>
      <c r="H574" s="24">
        <f t="shared" si="139"/>
        <v>0</v>
      </c>
      <c r="I574" s="24">
        <f t="shared" si="140"/>
        <v>0</v>
      </c>
      <c r="J574" s="24">
        <v>0</v>
      </c>
      <c r="K574" s="24">
        <f t="shared" si="141"/>
        <v>0</v>
      </c>
      <c r="L574" s="25">
        <v>0</v>
      </c>
      <c r="M574" s="25">
        <v>0</v>
      </c>
      <c r="N574" s="26">
        <f t="shared" si="142"/>
        <v>0</v>
      </c>
      <c r="O574" s="24">
        <f t="shared" si="149"/>
        <v>0</v>
      </c>
      <c r="P574" s="24">
        <f t="shared" si="144"/>
        <v>0</v>
      </c>
      <c r="Q574" s="29">
        <f t="shared" si="145"/>
        <v>0</v>
      </c>
      <c r="R574" s="30">
        <f>COUNTIF(RAW_DATA[[#This Row],[CONVERTED]],"&gt;0")</f>
        <v>0</v>
      </c>
      <c r="S574" s="30">
        <f>COUNTIFS(RAW_DATA[[#This Row],[AM/PM]],"AM",RAW_DATA[[#This Row],[CONVERTED]],"&gt;0")</f>
        <v>0</v>
      </c>
      <c r="T574" s="19">
        <f t="shared" si="148"/>
        <v>0</v>
      </c>
      <c r="U574" s="20" t="str">
        <f t="shared" si="147"/>
        <v>SINGLE</v>
      </c>
    </row>
    <row r="575" spans="1:21" x14ac:dyDescent="0.35">
      <c r="A575" s="70">
        <f>IF(B574 = "AM",A574,A574+1)</f>
        <v>45377</v>
      </c>
      <c r="B575" s="71" t="str">
        <f>IF(B574="AM","PM","AM")</f>
        <v>PM</v>
      </c>
      <c r="C575" s="72" t="str">
        <f t="shared" si="138"/>
        <v>March</v>
      </c>
      <c r="D575" s="13" t="str">
        <f t="shared" si="146"/>
        <v>TUE</v>
      </c>
      <c r="E575" s="73">
        <v>0</v>
      </c>
      <c r="F575" s="73">
        <v>0</v>
      </c>
      <c r="G575" s="73">
        <v>0</v>
      </c>
      <c r="H575" s="73">
        <f t="shared" si="139"/>
        <v>0</v>
      </c>
      <c r="I575" s="73">
        <f t="shared" si="140"/>
        <v>0</v>
      </c>
      <c r="J575" s="73">
        <v>0</v>
      </c>
      <c r="K575" s="73">
        <f t="shared" si="141"/>
        <v>0</v>
      </c>
      <c r="L575" s="74">
        <v>0</v>
      </c>
      <c r="M575" s="74">
        <v>0</v>
      </c>
      <c r="N575" s="75">
        <f t="shared" si="142"/>
        <v>0</v>
      </c>
      <c r="O575" s="73">
        <f t="shared" si="149"/>
        <v>0</v>
      </c>
      <c r="P575" s="73">
        <f t="shared" si="144"/>
        <v>0</v>
      </c>
      <c r="Q575" s="76">
        <f t="shared" si="145"/>
        <v>0</v>
      </c>
      <c r="R575" s="30">
        <f>COUNTIF(RAW_DATA[[#This Row],[CONVERTED]],"&gt;0")</f>
        <v>0</v>
      </c>
      <c r="S575" s="30">
        <f>COUNTIFS(RAW_DATA[[#This Row],[AM/PM]],"AM",RAW_DATA[[#This Row],[CONVERTED]],"&gt;0")</f>
        <v>0</v>
      </c>
      <c r="T575" s="19">
        <f t="shared" si="148"/>
        <v>0</v>
      </c>
      <c r="U575" s="20" t="str">
        <f t="shared" si="147"/>
        <v>SINGLE</v>
      </c>
    </row>
    <row r="576" spans="1:21" x14ac:dyDescent="0.35">
      <c r="A576" s="77">
        <f t="shared" ref="A576:A639" si="150">IF(B575 = "AM",A575,A575+1)</f>
        <v>45378</v>
      </c>
      <c r="B576" s="78" t="str">
        <f t="shared" ref="B576:B639" si="151">IF(B575="AM","PM","AM")</f>
        <v>AM</v>
      </c>
      <c r="C576" s="79" t="str">
        <f t="shared" ref="C576:C639" si="152">TEXT(A576,"mmmm")</f>
        <v>March</v>
      </c>
      <c r="D576" s="57" t="str">
        <f t="shared" si="146"/>
        <v>WED</v>
      </c>
      <c r="E576" s="80">
        <v>0</v>
      </c>
      <c r="F576" s="80">
        <v>0</v>
      </c>
      <c r="G576" s="80">
        <v>0</v>
      </c>
      <c r="H576" s="80">
        <f t="shared" ref="H576:H639" si="153">E576*0.04</f>
        <v>0</v>
      </c>
      <c r="I576" s="80">
        <f t="shared" ref="I576:I639" si="154">F576*0.0168</f>
        <v>0</v>
      </c>
      <c r="J576" s="80">
        <v>0</v>
      </c>
      <c r="K576" s="80">
        <f t="shared" ref="K576:K639" si="155">F576-(H576+I576)</f>
        <v>0</v>
      </c>
      <c r="L576" s="81">
        <v>0</v>
      </c>
      <c r="M576" s="81">
        <v>0</v>
      </c>
      <c r="N576" s="82">
        <f t="shared" ref="N576:N639" si="156">((L576*60)+M576)/60</f>
        <v>0</v>
      </c>
      <c r="O576" s="80">
        <f t="shared" si="149"/>
        <v>0</v>
      </c>
      <c r="P576" s="80">
        <f t="shared" ref="P576:P639" si="157">K576+J576+O576</f>
        <v>0</v>
      </c>
      <c r="Q576" s="83">
        <f t="shared" ref="Q576:Q639" si="158">G576+K576+O576</f>
        <v>0</v>
      </c>
      <c r="R576" s="62">
        <f>COUNTIF(RAW_DATA[[#This Row],[CONVERTED]],"&gt;0")</f>
        <v>0</v>
      </c>
      <c r="S576" s="62">
        <f>COUNTIFS(RAW_DATA[[#This Row],[AM/PM]],"AM",RAW_DATA[[#This Row],[CONVERTED]],"&gt;0")</f>
        <v>0</v>
      </c>
      <c r="T576" s="63">
        <f t="shared" si="148"/>
        <v>0</v>
      </c>
      <c r="U576" s="64" t="str">
        <f t="shared" si="147"/>
        <v>SINGLE</v>
      </c>
    </row>
    <row r="577" spans="1:21" x14ac:dyDescent="0.35">
      <c r="A577" s="70">
        <f t="shared" si="150"/>
        <v>45378</v>
      </c>
      <c r="B577" s="71" t="str">
        <f t="shared" si="151"/>
        <v>PM</v>
      </c>
      <c r="C577" s="72" t="str">
        <f t="shared" si="152"/>
        <v>March</v>
      </c>
      <c r="D577" s="13" t="str">
        <f t="shared" si="146"/>
        <v>WED</v>
      </c>
      <c r="E577" s="73">
        <v>0</v>
      </c>
      <c r="F577" s="73">
        <v>0</v>
      </c>
      <c r="G577" s="73">
        <v>0</v>
      </c>
      <c r="H577" s="73">
        <f t="shared" si="153"/>
        <v>0</v>
      </c>
      <c r="I577" s="73">
        <f t="shared" si="154"/>
        <v>0</v>
      </c>
      <c r="J577" s="73">
        <v>0</v>
      </c>
      <c r="K577" s="73">
        <f t="shared" si="155"/>
        <v>0</v>
      </c>
      <c r="L577" s="74">
        <v>0</v>
      </c>
      <c r="M577" s="74">
        <v>0</v>
      </c>
      <c r="N577" s="75">
        <f t="shared" si="156"/>
        <v>0</v>
      </c>
      <c r="O577" s="73">
        <f t="shared" si="149"/>
        <v>0</v>
      </c>
      <c r="P577" s="73">
        <f t="shared" si="157"/>
        <v>0</v>
      </c>
      <c r="Q577" s="76">
        <f t="shared" si="158"/>
        <v>0</v>
      </c>
      <c r="R577" s="30">
        <f>COUNTIF(RAW_DATA[[#This Row],[CONVERTED]],"&gt;0")</f>
        <v>0</v>
      </c>
      <c r="S577" s="30">
        <f>COUNTIFS(RAW_DATA[[#This Row],[AM/PM]],"AM",RAW_DATA[[#This Row],[CONVERTED]],"&gt;0")</f>
        <v>0</v>
      </c>
      <c r="T577" s="19">
        <f t="shared" si="148"/>
        <v>0</v>
      </c>
      <c r="U577" s="20" t="str">
        <f t="shared" si="147"/>
        <v>SINGLE</v>
      </c>
    </row>
    <row r="578" spans="1:21" x14ac:dyDescent="0.35">
      <c r="A578" s="70">
        <f t="shared" si="150"/>
        <v>45379</v>
      </c>
      <c r="B578" s="71" t="str">
        <f t="shared" si="151"/>
        <v>AM</v>
      </c>
      <c r="C578" s="72" t="str">
        <f t="shared" si="152"/>
        <v>March</v>
      </c>
      <c r="D578" s="13" t="str">
        <f t="shared" ref="D578:D641" si="159">CHOOSE(WEEKDAY(A578),"SUN","MON","TUE","WED","THU","FRI","SAT")</f>
        <v>THU</v>
      </c>
      <c r="E578" s="73">
        <v>0</v>
      </c>
      <c r="F578" s="73">
        <v>0</v>
      </c>
      <c r="G578" s="73">
        <v>0</v>
      </c>
      <c r="H578" s="73">
        <f t="shared" si="153"/>
        <v>0</v>
      </c>
      <c r="I578" s="73">
        <f t="shared" si="154"/>
        <v>0</v>
      </c>
      <c r="J578" s="73">
        <v>0</v>
      </c>
      <c r="K578" s="73">
        <f t="shared" si="155"/>
        <v>0</v>
      </c>
      <c r="L578" s="74">
        <v>0</v>
      </c>
      <c r="M578" s="74">
        <v>0</v>
      </c>
      <c r="N578" s="75">
        <f t="shared" si="156"/>
        <v>0</v>
      </c>
      <c r="O578" s="73">
        <f t="shared" si="149"/>
        <v>0</v>
      </c>
      <c r="P578" s="73">
        <f t="shared" si="157"/>
        <v>0</v>
      </c>
      <c r="Q578" s="76">
        <f t="shared" si="158"/>
        <v>0</v>
      </c>
      <c r="R578" s="30">
        <f>COUNTIF(RAW_DATA[[#This Row],[CONVERTED]],"&gt;0")</f>
        <v>0</v>
      </c>
      <c r="S578" s="30">
        <f>COUNTIFS(RAW_DATA[[#This Row],[AM/PM]],"AM",RAW_DATA[[#This Row],[CONVERTED]],"&gt;0")</f>
        <v>0</v>
      </c>
      <c r="T578" s="19">
        <f t="shared" si="148"/>
        <v>0</v>
      </c>
      <c r="U578" s="20" t="str">
        <f t="shared" ref="U578:U612" si="160">IF(AND(S578=1,T579=1,B578="AM"),"DOUBLE",IF(AND(S577=1,N578&gt;0),"DOUBLE","SINGLE"))</f>
        <v>SINGLE</v>
      </c>
    </row>
    <row r="579" spans="1:21" x14ac:dyDescent="0.35">
      <c r="A579" s="70">
        <f t="shared" si="150"/>
        <v>45379</v>
      </c>
      <c r="B579" s="71" t="str">
        <f t="shared" si="151"/>
        <v>PM</v>
      </c>
      <c r="C579" s="72" t="str">
        <f t="shared" si="152"/>
        <v>March</v>
      </c>
      <c r="D579" s="13" t="str">
        <f t="shared" si="159"/>
        <v>THU</v>
      </c>
      <c r="E579" s="73">
        <v>0</v>
      </c>
      <c r="F579" s="73">
        <v>0</v>
      </c>
      <c r="G579" s="73">
        <v>0</v>
      </c>
      <c r="H579" s="73">
        <f t="shared" si="153"/>
        <v>0</v>
      </c>
      <c r="I579" s="73">
        <f t="shared" si="154"/>
        <v>0</v>
      </c>
      <c r="J579" s="73">
        <v>0</v>
      </c>
      <c r="K579" s="73">
        <f t="shared" si="155"/>
        <v>0</v>
      </c>
      <c r="L579" s="74">
        <v>0</v>
      </c>
      <c r="M579" s="74">
        <v>0</v>
      </c>
      <c r="N579" s="75">
        <f t="shared" si="156"/>
        <v>0</v>
      </c>
      <c r="O579" s="73">
        <f t="shared" si="149"/>
        <v>0</v>
      </c>
      <c r="P579" s="73">
        <f t="shared" si="157"/>
        <v>0</v>
      </c>
      <c r="Q579" s="76">
        <f t="shared" si="158"/>
        <v>0</v>
      </c>
      <c r="R579" s="30">
        <f>COUNTIF(RAW_DATA[[#This Row],[CONVERTED]],"&gt;0")</f>
        <v>0</v>
      </c>
      <c r="S579" s="30">
        <f>COUNTIFS(RAW_DATA[[#This Row],[AM/PM]],"AM",RAW_DATA[[#This Row],[CONVERTED]],"&gt;0")</f>
        <v>0</v>
      </c>
      <c r="T579" s="19">
        <f t="shared" ref="T579:T642" si="161">IF(AND($S578=1,$N579&gt;0),1,0)</f>
        <v>0</v>
      </c>
      <c r="U579" s="20" t="str">
        <f t="shared" si="160"/>
        <v>SINGLE</v>
      </c>
    </row>
    <row r="580" spans="1:21" x14ac:dyDescent="0.35">
      <c r="A580" s="70">
        <f t="shared" si="150"/>
        <v>45380</v>
      </c>
      <c r="B580" s="71" t="str">
        <f t="shared" si="151"/>
        <v>AM</v>
      </c>
      <c r="C580" s="72" t="str">
        <f t="shared" si="152"/>
        <v>March</v>
      </c>
      <c r="D580" s="13" t="str">
        <f t="shared" si="159"/>
        <v>FRI</v>
      </c>
      <c r="E580" s="73">
        <v>0</v>
      </c>
      <c r="F580" s="73">
        <v>0</v>
      </c>
      <c r="G580" s="73">
        <v>0</v>
      </c>
      <c r="H580" s="73">
        <f t="shared" si="153"/>
        <v>0</v>
      </c>
      <c r="I580" s="73">
        <f t="shared" si="154"/>
        <v>0</v>
      </c>
      <c r="J580" s="73">
        <v>0</v>
      </c>
      <c r="K580" s="73">
        <f t="shared" si="155"/>
        <v>0</v>
      </c>
      <c r="L580" s="74">
        <v>0</v>
      </c>
      <c r="M580" s="74">
        <v>0</v>
      </c>
      <c r="N580" s="75">
        <f t="shared" si="156"/>
        <v>0</v>
      </c>
      <c r="O580" s="73">
        <f t="shared" si="149"/>
        <v>0</v>
      </c>
      <c r="P580" s="73">
        <f t="shared" si="157"/>
        <v>0</v>
      </c>
      <c r="Q580" s="76">
        <f t="shared" si="158"/>
        <v>0</v>
      </c>
      <c r="R580" s="30">
        <f>COUNTIF(RAW_DATA[[#This Row],[CONVERTED]],"&gt;0")</f>
        <v>0</v>
      </c>
      <c r="S580" s="30">
        <f>COUNTIFS(RAW_DATA[[#This Row],[AM/PM]],"AM",RAW_DATA[[#This Row],[CONVERTED]],"&gt;0")</f>
        <v>0</v>
      </c>
      <c r="T580" s="19">
        <f t="shared" si="161"/>
        <v>0</v>
      </c>
      <c r="U580" s="20" t="str">
        <f t="shared" si="160"/>
        <v>SINGLE</v>
      </c>
    </row>
    <row r="581" spans="1:21" x14ac:dyDescent="0.35">
      <c r="A581" s="70">
        <f t="shared" si="150"/>
        <v>45380</v>
      </c>
      <c r="B581" s="71" t="str">
        <f t="shared" si="151"/>
        <v>PM</v>
      </c>
      <c r="C581" s="72" t="str">
        <f t="shared" si="152"/>
        <v>March</v>
      </c>
      <c r="D581" s="13" t="str">
        <f t="shared" si="159"/>
        <v>FRI</v>
      </c>
      <c r="E581" s="73">
        <v>2191.5</v>
      </c>
      <c r="F581" s="73">
        <v>403.25</v>
      </c>
      <c r="G581" s="73">
        <v>20</v>
      </c>
      <c r="H581" s="73">
        <f t="shared" si="153"/>
        <v>87.66</v>
      </c>
      <c r="I581" s="73">
        <f t="shared" si="154"/>
        <v>6.7745999999999995</v>
      </c>
      <c r="J581" s="73">
        <v>0</v>
      </c>
      <c r="K581" s="73">
        <f t="shared" si="155"/>
        <v>308.81540000000001</v>
      </c>
      <c r="L581" s="74">
        <v>7</v>
      </c>
      <c r="M581" s="74">
        <v>49</v>
      </c>
      <c r="N581" s="75">
        <f t="shared" si="156"/>
        <v>7.8166666666666664</v>
      </c>
      <c r="O581" s="73">
        <f t="shared" si="149"/>
        <v>16.6495</v>
      </c>
      <c r="P581" s="73">
        <f t="shared" si="157"/>
        <v>325.4649</v>
      </c>
      <c r="Q581" s="76">
        <f t="shared" si="158"/>
        <v>345.4649</v>
      </c>
      <c r="R581" s="30">
        <f>COUNTIF(RAW_DATA[[#This Row],[CONVERTED]],"&gt;0")</f>
        <v>1</v>
      </c>
      <c r="S581" s="30">
        <f>COUNTIFS(RAW_DATA[[#This Row],[AM/PM]],"AM",RAW_DATA[[#This Row],[CONVERTED]],"&gt;0")</f>
        <v>0</v>
      </c>
      <c r="T581" s="19">
        <f t="shared" si="161"/>
        <v>0</v>
      </c>
      <c r="U581" s="20" t="str">
        <f t="shared" si="160"/>
        <v>SINGLE</v>
      </c>
    </row>
    <row r="582" spans="1:21" x14ac:dyDescent="0.35">
      <c r="A582" s="70">
        <f t="shared" si="150"/>
        <v>45381</v>
      </c>
      <c r="B582" s="71" t="str">
        <f t="shared" si="151"/>
        <v>AM</v>
      </c>
      <c r="C582" s="72" t="str">
        <f t="shared" si="152"/>
        <v>March</v>
      </c>
      <c r="D582" s="13" t="str">
        <f t="shared" si="159"/>
        <v>SAT</v>
      </c>
      <c r="E582" s="73">
        <v>0</v>
      </c>
      <c r="F582" s="73">
        <v>0</v>
      </c>
      <c r="G582" s="73">
        <v>0</v>
      </c>
      <c r="H582" s="73">
        <f t="shared" si="153"/>
        <v>0</v>
      </c>
      <c r="I582" s="73">
        <f t="shared" si="154"/>
        <v>0</v>
      </c>
      <c r="J582" s="73">
        <v>0</v>
      </c>
      <c r="K582" s="73">
        <f t="shared" si="155"/>
        <v>0</v>
      </c>
      <c r="L582" s="74">
        <v>0</v>
      </c>
      <c r="M582" s="74">
        <v>0</v>
      </c>
      <c r="N582" s="75">
        <f t="shared" si="156"/>
        <v>0</v>
      </c>
      <c r="O582" s="73">
        <f t="shared" si="149"/>
        <v>0</v>
      </c>
      <c r="P582" s="73">
        <f t="shared" si="157"/>
        <v>0</v>
      </c>
      <c r="Q582" s="76">
        <f t="shared" si="158"/>
        <v>0</v>
      </c>
      <c r="R582" s="30">
        <f>COUNTIF(RAW_DATA[[#This Row],[CONVERTED]],"&gt;0")</f>
        <v>0</v>
      </c>
      <c r="S582" s="30">
        <f>COUNTIFS(RAW_DATA[[#This Row],[AM/PM]],"AM",RAW_DATA[[#This Row],[CONVERTED]],"&gt;0")</f>
        <v>0</v>
      </c>
      <c r="T582" s="19">
        <f t="shared" si="161"/>
        <v>0</v>
      </c>
      <c r="U582" s="20" t="str">
        <f t="shared" si="160"/>
        <v>SINGLE</v>
      </c>
    </row>
    <row r="583" spans="1:21" x14ac:dyDescent="0.35">
      <c r="A583" s="70">
        <f t="shared" si="150"/>
        <v>45381</v>
      </c>
      <c r="B583" s="71" t="str">
        <f t="shared" si="151"/>
        <v>PM</v>
      </c>
      <c r="C583" s="72" t="str">
        <f t="shared" si="152"/>
        <v>March</v>
      </c>
      <c r="D583" s="13" t="str">
        <f t="shared" si="159"/>
        <v>SAT</v>
      </c>
      <c r="E583" s="73">
        <v>953.5</v>
      </c>
      <c r="F583" s="73">
        <v>185.97</v>
      </c>
      <c r="G583" s="73">
        <v>0</v>
      </c>
      <c r="H583" s="73">
        <f t="shared" si="153"/>
        <v>38.14</v>
      </c>
      <c r="I583" s="73">
        <f t="shared" si="154"/>
        <v>3.1242959999999997</v>
      </c>
      <c r="J583" s="73">
        <v>0</v>
      </c>
      <c r="K583" s="73">
        <f t="shared" si="155"/>
        <v>144.705704</v>
      </c>
      <c r="L583" s="74">
        <v>5</v>
      </c>
      <c r="M583" s="74">
        <v>8</v>
      </c>
      <c r="N583" s="75">
        <f t="shared" si="156"/>
        <v>5.1333333333333337</v>
      </c>
      <c r="O583" s="73">
        <f t="shared" si="149"/>
        <v>10.934000000000001</v>
      </c>
      <c r="P583" s="73">
        <f t="shared" si="157"/>
        <v>155.63970399999999</v>
      </c>
      <c r="Q583" s="76">
        <f t="shared" si="158"/>
        <v>155.63970399999999</v>
      </c>
      <c r="R583" s="30">
        <f>COUNTIF(RAW_DATA[[#This Row],[CONVERTED]],"&gt;0")</f>
        <v>1</v>
      </c>
      <c r="S583" s="30">
        <f>COUNTIFS(RAW_DATA[[#This Row],[AM/PM]],"AM",RAW_DATA[[#This Row],[CONVERTED]],"&gt;0")</f>
        <v>0</v>
      </c>
      <c r="T583" s="19">
        <f t="shared" si="161"/>
        <v>0</v>
      </c>
      <c r="U583" s="20" t="str">
        <f t="shared" si="160"/>
        <v>SINGLE</v>
      </c>
    </row>
    <row r="584" spans="1:21" x14ac:dyDescent="0.35">
      <c r="A584" s="70">
        <f t="shared" si="150"/>
        <v>45382</v>
      </c>
      <c r="B584" s="71" t="str">
        <f t="shared" si="151"/>
        <v>AM</v>
      </c>
      <c r="C584" s="72" t="str">
        <f t="shared" si="152"/>
        <v>March</v>
      </c>
      <c r="D584" s="13" t="str">
        <f t="shared" si="159"/>
        <v>SUN</v>
      </c>
      <c r="E584" s="73">
        <v>815.5</v>
      </c>
      <c r="F584" s="73">
        <v>117.66</v>
      </c>
      <c r="G584" s="73">
        <v>12</v>
      </c>
      <c r="H584" s="73">
        <f t="shared" si="153"/>
        <v>32.619999999999997</v>
      </c>
      <c r="I584" s="73">
        <f t="shared" si="154"/>
        <v>1.9766879999999998</v>
      </c>
      <c r="J584" s="73">
        <v>5.17</v>
      </c>
      <c r="K584" s="73">
        <f t="shared" si="155"/>
        <v>83.063311999999996</v>
      </c>
      <c r="L584" s="74">
        <v>3</v>
      </c>
      <c r="M584" s="74">
        <v>57</v>
      </c>
      <c r="N584" s="75">
        <f t="shared" si="156"/>
        <v>3.95</v>
      </c>
      <c r="O584" s="73">
        <f t="shared" si="149"/>
        <v>8.4134999999999991</v>
      </c>
      <c r="P584" s="73">
        <f t="shared" si="157"/>
        <v>96.646811999999997</v>
      </c>
      <c r="Q584" s="76">
        <f t="shared" si="158"/>
        <v>103.476812</v>
      </c>
      <c r="R584" s="30">
        <f>COUNTIF(RAW_DATA[[#This Row],[CONVERTED]],"&gt;0")</f>
        <v>1</v>
      </c>
      <c r="S584" s="30">
        <f>COUNTIFS(RAW_DATA[[#This Row],[AM/PM]],"AM",RAW_DATA[[#This Row],[CONVERTED]],"&gt;0")</f>
        <v>1</v>
      </c>
      <c r="T584" s="19">
        <f t="shared" si="161"/>
        <v>0</v>
      </c>
      <c r="U584" s="20" t="str">
        <f t="shared" si="160"/>
        <v>DOUBLE</v>
      </c>
    </row>
    <row r="585" spans="1:21" x14ac:dyDescent="0.35">
      <c r="A585" s="70">
        <f t="shared" si="150"/>
        <v>45382</v>
      </c>
      <c r="B585" s="71" t="str">
        <f t="shared" si="151"/>
        <v>PM</v>
      </c>
      <c r="C585" s="72" t="str">
        <f t="shared" si="152"/>
        <v>March</v>
      </c>
      <c r="D585" s="13" t="str">
        <f t="shared" si="159"/>
        <v>SUN</v>
      </c>
      <c r="E585" s="73">
        <v>1087</v>
      </c>
      <c r="F585" s="73">
        <v>202.97</v>
      </c>
      <c r="G585" s="73">
        <v>0</v>
      </c>
      <c r="H585" s="73">
        <f t="shared" si="153"/>
        <v>43.480000000000004</v>
      </c>
      <c r="I585" s="73">
        <f t="shared" si="154"/>
        <v>3.4098959999999998</v>
      </c>
      <c r="J585" s="73">
        <v>0</v>
      </c>
      <c r="K585" s="73">
        <f t="shared" si="155"/>
        <v>156.08010400000001</v>
      </c>
      <c r="L585" s="74">
        <v>5</v>
      </c>
      <c r="M585" s="74">
        <v>2</v>
      </c>
      <c r="N585" s="75">
        <f t="shared" si="156"/>
        <v>5.0333333333333332</v>
      </c>
      <c r="O585" s="73">
        <f t="shared" si="149"/>
        <v>10.721</v>
      </c>
      <c r="P585" s="73">
        <f t="shared" si="157"/>
        <v>166.80110400000001</v>
      </c>
      <c r="Q585" s="76">
        <f t="shared" si="158"/>
        <v>166.80110400000001</v>
      </c>
      <c r="R585" s="30">
        <f>COUNTIF(RAW_DATA[[#This Row],[CONVERTED]],"&gt;0")</f>
        <v>1</v>
      </c>
      <c r="S585" s="30">
        <f>COUNTIFS(RAW_DATA[[#This Row],[AM/PM]],"AM",RAW_DATA[[#This Row],[CONVERTED]],"&gt;0")</f>
        <v>0</v>
      </c>
      <c r="T585" s="19">
        <f t="shared" si="161"/>
        <v>1</v>
      </c>
      <c r="U585" s="20" t="str">
        <f t="shared" si="160"/>
        <v>DOUBLE</v>
      </c>
    </row>
    <row r="586" spans="1:21" x14ac:dyDescent="0.35">
      <c r="A586" s="70">
        <f t="shared" si="150"/>
        <v>45383</v>
      </c>
      <c r="B586" s="71" t="str">
        <f t="shared" si="151"/>
        <v>AM</v>
      </c>
      <c r="C586" s="72" t="str">
        <f t="shared" si="152"/>
        <v>April</v>
      </c>
      <c r="D586" s="13" t="str">
        <f t="shared" si="159"/>
        <v>MON</v>
      </c>
      <c r="E586" s="73">
        <f>551+(439*0.5)</f>
        <v>770.5</v>
      </c>
      <c r="F586" s="73">
        <f>124.55+(95.18*0.5)</f>
        <v>172.14</v>
      </c>
      <c r="G586" s="73">
        <v>0</v>
      </c>
      <c r="H586" s="73">
        <f t="shared" si="153"/>
        <v>30.82</v>
      </c>
      <c r="I586" s="73">
        <f t="shared" si="154"/>
        <v>2.8919519999999994</v>
      </c>
      <c r="J586" s="73">
        <v>0</v>
      </c>
      <c r="K586" s="73">
        <f t="shared" si="155"/>
        <v>138.42804799999999</v>
      </c>
      <c r="L586" s="74">
        <v>4</v>
      </c>
      <c r="M586" s="74">
        <v>7</v>
      </c>
      <c r="N586" s="75">
        <f t="shared" si="156"/>
        <v>4.1166666666666663</v>
      </c>
      <c r="O586" s="73">
        <f t="shared" si="149"/>
        <v>8.7684999999999995</v>
      </c>
      <c r="P586" s="73">
        <f t="shared" si="157"/>
        <v>147.19654799999998</v>
      </c>
      <c r="Q586" s="76">
        <f t="shared" si="158"/>
        <v>147.19654799999998</v>
      </c>
      <c r="R586" s="30">
        <f>COUNTIF(RAW_DATA[[#This Row],[CONVERTED]],"&gt;0")</f>
        <v>1</v>
      </c>
      <c r="S586" s="30">
        <f>COUNTIFS(RAW_DATA[[#This Row],[AM/PM]],"AM",RAW_DATA[[#This Row],[CONVERTED]],"&gt;0")</f>
        <v>1</v>
      </c>
      <c r="T586" s="19">
        <f t="shared" si="161"/>
        <v>0</v>
      </c>
      <c r="U586" s="20" t="str">
        <f t="shared" si="160"/>
        <v>DOUBLE</v>
      </c>
    </row>
    <row r="587" spans="1:21" x14ac:dyDescent="0.35">
      <c r="A587" s="70">
        <f t="shared" si="150"/>
        <v>45383</v>
      </c>
      <c r="B587" s="71" t="str">
        <f t="shared" si="151"/>
        <v>PM</v>
      </c>
      <c r="C587" s="72" t="str">
        <f t="shared" si="152"/>
        <v>April</v>
      </c>
      <c r="D587" s="13" t="str">
        <f t="shared" si="159"/>
        <v>MON</v>
      </c>
      <c r="E587" s="73">
        <v>858</v>
      </c>
      <c r="F587" s="73">
        <v>195.88</v>
      </c>
      <c r="G587" s="73">
        <v>0</v>
      </c>
      <c r="H587" s="73">
        <f t="shared" si="153"/>
        <v>34.32</v>
      </c>
      <c r="I587" s="73">
        <f t="shared" si="154"/>
        <v>3.2907839999999999</v>
      </c>
      <c r="J587" s="73">
        <v>0</v>
      </c>
      <c r="K587" s="73">
        <f t="shared" si="155"/>
        <v>158.269216</v>
      </c>
      <c r="L587" s="74">
        <v>4</v>
      </c>
      <c r="M587" s="74">
        <v>14</v>
      </c>
      <c r="N587" s="75">
        <f t="shared" si="156"/>
        <v>4.2333333333333334</v>
      </c>
      <c r="O587" s="73">
        <f t="shared" si="149"/>
        <v>9.0169999999999995</v>
      </c>
      <c r="P587" s="73">
        <f t="shared" si="157"/>
        <v>167.286216</v>
      </c>
      <c r="Q587" s="76">
        <f t="shared" si="158"/>
        <v>167.286216</v>
      </c>
      <c r="R587" s="30">
        <f>COUNTIF(RAW_DATA[[#This Row],[CONVERTED]],"&gt;0")</f>
        <v>1</v>
      </c>
      <c r="S587" s="30">
        <f>COUNTIFS(RAW_DATA[[#This Row],[AM/PM]],"AM",RAW_DATA[[#This Row],[CONVERTED]],"&gt;0")</f>
        <v>0</v>
      </c>
      <c r="T587" s="19">
        <f t="shared" si="161"/>
        <v>1</v>
      </c>
      <c r="U587" s="20" t="str">
        <f t="shared" si="160"/>
        <v>DOUBLE</v>
      </c>
    </row>
    <row r="588" spans="1:21" x14ac:dyDescent="0.35">
      <c r="A588" s="70">
        <f t="shared" si="150"/>
        <v>45384</v>
      </c>
      <c r="B588" s="71" t="str">
        <f t="shared" si="151"/>
        <v>AM</v>
      </c>
      <c r="C588" s="72" t="str">
        <f t="shared" si="152"/>
        <v>April</v>
      </c>
      <c r="D588" s="13" t="str">
        <f t="shared" si="159"/>
        <v>TUE</v>
      </c>
      <c r="E588" s="73">
        <v>0</v>
      </c>
      <c r="F588" s="73">
        <v>0</v>
      </c>
      <c r="G588" s="73">
        <v>0</v>
      </c>
      <c r="H588" s="73">
        <f t="shared" si="153"/>
        <v>0</v>
      </c>
      <c r="I588" s="73">
        <f t="shared" si="154"/>
        <v>0</v>
      </c>
      <c r="J588" s="73">
        <v>0</v>
      </c>
      <c r="K588" s="73">
        <f t="shared" si="155"/>
        <v>0</v>
      </c>
      <c r="L588" s="74">
        <v>0</v>
      </c>
      <c r="M588" s="74">
        <v>0</v>
      </c>
      <c r="N588" s="75">
        <f t="shared" si="156"/>
        <v>0</v>
      </c>
      <c r="O588" s="73">
        <f t="shared" si="149"/>
        <v>0</v>
      </c>
      <c r="P588" s="73">
        <f t="shared" si="157"/>
        <v>0</v>
      </c>
      <c r="Q588" s="76">
        <f t="shared" si="158"/>
        <v>0</v>
      </c>
      <c r="R588" s="30">
        <f>COUNTIF(RAW_DATA[[#This Row],[CONVERTED]],"&gt;0")</f>
        <v>0</v>
      </c>
      <c r="S588" s="30">
        <f>COUNTIFS(RAW_DATA[[#This Row],[AM/PM]],"AM",RAW_DATA[[#This Row],[CONVERTED]],"&gt;0")</f>
        <v>0</v>
      </c>
      <c r="T588" s="19">
        <f t="shared" si="161"/>
        <v>0</v>
      </c>
      <c r="U588" s="20" t="str">
        <f t="shared" si="160"/>
        <v>SINGLE</v>
      </c>
    </row>
    <row r="589" spans="1:21" x14ac:dyDescent="0.35">
      <c r="A589" s="70">
        <f t="shared" si="150"/>
        <v>45384</v>
      </c>
      <c r="B589" s="71" t="str">
        <f t="shared" si="151"/>
        <v>PM</v>
      </c>
      <c r="C589" s="72" t="str">
        <f t="shared" si="152"/>
        <v>April</v>
      </c>
      <c r="D589" s="13" t="str">
        <f t="shared" si="159"/>
        <v>TUE</v>
      </c>
      <c r="E589" s="73">
        <v>1193.5</v>
      </c>
      <c r="F589" s="73">
        <v>246.25</v>
      </c>
      <c r="G589" s="73">
        <v>5</v>
      </c>
      <c r="H589" s="73">
        <f t="shared" si="153"/>
        <v>47.74</v>
      </c>
      <c r="I589" s="73">
        <f t="shared" si="154"/>
        <v>4.1369999999999996</v>
      </c>
      <c r="J589" s="73">
        <v>0</v>
      </c>
      <c r="K589" s="73">
        <f t="shared" si="155"/>
        <v>194.37299999999999</v>
      </c>
      <c r="L589" s="74">
        <v>6</v>
      </c>
      <c r="M589" s="74">
        <v>10</v>
      </c>
      <c r="N589" s="75">
        <f t="shared" si="156"/>
        <v>6.166666666666667</v>
      </c>
      <c r="O589" s="73">
        <f t="shared" si="149"/>
        <v>13.135</v>
      </c>
      <c r="P589" s="73">
        <f t="shared" si="157"/>
        <v>207.50799999999998</v>
      </c>
      <c r="Q589" s="76">
        <f t="shared" si="158"/>
        <v>212.50799999999998</v>
      </c>
      <c r="R589" s="30">
        <f>COUNTIF(RAW_DATA[[#This Row],[CONVERTED]],"&gt;0")</f>
        <v>1</v>
      </c>
      <c r="S589" s="30">
        <f>COUNTIFS(RAW_DATA[[#This Row],[AM/PM]],"AM",RAW_DATA[[#This Row],[CONVERTED]],"&gt;0")</f>
        <v>0</v>
      </c>
      <c r="T589" s="19">
        <f t="shared" si="161"/>
        <v>0</v>
      </c>
      <c r="U589" s="20" t="str">
        <f t="shared" si="160"/>
        <v>SINGLE</v>
      </c>
    </row>
    <row r="590" spans="1:21" x14ac:dyDescent="0.35">
      <c r="A590" s="77">
        <f t="shared" si="150"/>
        <v>45385</v>
      </c>
      <c r="B590" s="78" t="str">
        <f t="shared" si="151"/>
        <v>AM</v>
      </c>
      <c r="C590" s="79" t="str">
        <f t="shared" si="152"/>
        <v>April</v>
      </c>
      <c r="D590" s="57" t="str">
        <f t="shared" si="159"/>
        <v>WED</v>
      </c>
      <c r="E590" s="80">
        <v>591</v>
      </c>
      <c r="F590" s="80">
        <v>108</v>
      </c>
      <c r="G590" s="80">
        <v>0</v>
      </c>
      <c r="H590" s="80">
        <f t="shared" si="153"/>
        <v>23.64</v>
      </c>
      <c r="I590" s="80">
        <f t="shared" si="154"/>
        <v>1.8143999999999998</v>
      </c>
      <c r="J590" s="80">
        <v>0</v>
      </c>
      <c r="K590" s="80">
        <f t="shared" si="155"/>
        <v>82.545600000000007</v>
      </c>
      <c r="L590" s="81">
        <v>3</v>
      </c>
      <c r="M590" s="81">
        <v>45</v>
      </c>
      <c r="N590" s="82">
        <f t="shared" si="156"/>
        <v>3.75</v>
      </c>
      <c r="O590" s="80">
        <f t="shared" si="149"/>
        <v>7.9874999999999998</v>
      </c>
      <c r="P590" s="80">
        <f t="shared" si="157"/>
        <v>90.533100000000005</v>
      </c>
      <c r="Q590" s="83">
        <f t="shared" si="158"/>
        <v>90.533100000000005</v>
      </c>
      <c r="R590" s="62">
        <f>COUNTIF(RAW_DATA[[#This Row],[CONVERTED]],"&gt;0")</f>
        <v>1</v>
      </c>
      <c r="S590" s="62">
        <f>COUNTIFS(RAW_DATA[[#This Row],[AM/PM]],"AM",RAW_DATA[[#This Row],[CONVERTED]],"&gt;0")</f>
        <v>1</v>
      </c>
      <c r="T590" s="63">
        <f t="shared" si="161"/>
        <v>0</v>
      </c>
      <c r="U590" s="64" t="str">
        <f t="shared" si="160"/>
        <v>DOUBLE</v>
      </c>
    </row>
    <row r="591" spans="1:21" x14ac:dyDescent="0.35">
      <c r="A591" s="70">
        <f t="shared" si="150"/>
        <v>45385</v>
      </c>
      <c r="B591" s="71" t="str">
        <f t="shared" si="151"/>
        <v>PM</v>
      </c>
      <c r="C591" s="72" t="str">
        <f t="shared" si="152"/>
        <v>April</v>
      </c>
      <c r="D591" s="13" t="str">
        <f t="shared" si="159"/>
        <v>WED</v>
      </c>
      <c r="E591" s="73">
        <v>368</v>
      </c>
      <c r="F591" s="73">
        <v>72.650000000000006</v>
      </c>
      <c r="G591" s="73">
        <v>0</v>
      </c>
      <c r="H591" s="73">
        <f t="shared" si="153"/>
        <v>14.72</v>
      </c>
      <c r="I591" s="73">
        <f t="shared" si="154"/>
        <v>1.22052</v>
      </c>
      <c r="J591" s="73">
        <v>0</v>
      </c>
      <c r="K591" s="73">
        <f t="shared" si="155"/>
        <v>56.709480000000006</v>
      </c>
      <c r="L591" s="74">
        <v>3</v>
      </c>
      <c r="M591" s="74">
        <v>15</v>
      </c>
      <c r="N591" s="75">
        <f t="shared" si="156"/>
        <v>3.25</v>
      </c>
      <c r="O591" s="73">
        <f t="shared" si="149"/>
        <v>6.9224999999999994</v>
      </c>
      <c r="P591" s="73">
        <f t="shared" si="157"/>
        <v>63.631980000000006</v>
      </c>
      <c r="Q591" s="76">
        <f t="shared" si="158"/>
        <v>63.631980000000006</v>
      </c>
      <c r="R591" s="30">
        <f>COUNTIF(RAW_DATA[[#This Row],[CONVERTED]],"&gt;0")</f>
        <v>1</v>
      </c>
      <c r="S591" s="30">
        <f>COUNTIFS(RAW_DATA[[#This Row],[AM/PM]],"AM",RAW_DATA[[#This Row],[CONVERTED]],"&gt;0")</f>
        <v>0</v>
      </c>
      <c r="T591" s="19">
        <f t="shared" si="161"/>
        <v>1</v>
      </c>
      <c r="U591" s="20" t="str">
        <f t="shared" si="160"/>
        <v>DOUBLE</v>
      </c>
    </row>
    <row r="592" spans="1:21" x14ac:dyDescent="0.35">
      <c r="A592" s="70">
        <f t="shared" si="150"/>
        <v>45386</v>
      </c>
      <c r="B592" s="71" t="str">
        <f t="shared" si="151"/>
        <v>AM</v>
      </c>
      <c r="C592" s="72" t="str">
        <f t="shared" si="152"/>
        <v>April</v>
      </c>
      <c r="D592" s="13" t="str">
        <f t="shared" si="159"/>
        <v>THU</v>
      </c>
      <c r="E592" s="73">
        <v>0</v>
      </c>
      <c r="F592" s="73">
        <v>0</v>
      </c>
      <c r="G592" s="73">
        <v>0</v>
      </c>
      <c r="H592" s="73">
        <f t="shared" si="153"/>
        <v>0</v>
      </c>
      <c r="I592" s="73">
        <f t="shared" si="154"/>
        <v>0</v>
      </c>
      <c r="J592" s="73">
        <v>0</v>
      </c>
      <c r="K592" s="73">
        <f t="shared" si="155"/>
        <v>0</v>
      </c>
      <c r="L592" s="74">
        <v>0</v>
      </c>
      <c r="M592" s="74">
        <v>0</v>
      </c>
      <c r="N592" s="75">
        <f t="shared" si="156"/>
        <v>0</v>
      </c>
      <c r="O592" s="73">
        <f t="shared" si="149"/>
        <v>0</v>
      </c>
      <c r="P592" s="73">
        <f t="shared" si="157"/>
        <v>0</v>
      </c>
      <c r="Q592" s="76">
        <f t="shared" si="158"/>
        <v>0</v>
      </c>
      <c r="R592" s="30">
        <f>COUNTIF(RAW_DATA[[#This Row],[CONVERTED]],"&gt;0")</f>
        <v>0</v>
      </c>
      <c r="S592" s="30">
        <f>COUNTIFS(RAW_DATA[[#This Row],[AM/PM]],"AM",RAW_DATA[[#This Row],[CONVERTED]],"&gt;0")</f>
        <v>0</v>
      </c>
      <c r="T592" s="19">
        <f t="shared" si="161"/>
        <v>0</v>
      </c>
      <c r="U592" s="20" t="str">
        <f t="shared" si="160"/>
        <v>SINGLE</v>
      </c>
    </row>
    <row r="593" spans="1:21" x14ac:dyDescent="0.35">
      <c r="A593" s="70">
        <f t="shared" si="150"/>
        <v>45386</v>
      </c>
      <c r="B593" s="71" t="str">
        <f t="shared" si="151"/>
        <v>PM</v>
      </c>
      <c r="C593" s="72" t="str">
        <f t="shared" si="152"/>
        <v>April</v>
      </c>
      <c r="D593" s="13" t="str">
        <f t="shared" si="159"/>
        <v>THU</v>
      </c>
      <c r="E593" s="73">
        <v>0</v>
      </c>
      <c r="F593" s="73">
        <v>0</v>
      </c>
      <c r="G593" s="73">
        <v>0</v>
      </c>
      <c r="H593" s="73">
        <f t="shared" si="153"/>
        <v>0</v>
      </c>
      <c r="I593" s="73">
        <f t="shared" si="154"/>
        <v>0</v>
      </c>
      <c r="J593" s="73">
        <v>0</v>
      </c>
      <c r="K593" s="73">
        <f t="shared" si="155"/>
        <v>0</v>
      </c>
      <c r="L593" s="74">
        <v>0</v>
      </c>
      <c r="M593" s="74">
        <v>0</v>
      </c>
      <c r="N593" s="75">
        <f t="shared" si="156"/>
        <v>0</v>
      </c>
      <c r="O593" s="73">
        <f t="shared" ref="O593:O656" si="162">N593*2.13</f>
        <v>0</v>
      </c>
      <c r="P593" s="73">
        <f t="shared" si="157"/>
        <v>0</v>
      </c>
      <c r="Q593" s="76">
        <f t="shared" si="158"/>
        <v>0</v>
      </c>
      <c r="R593" s="30">
        <f>COUNTIF(RAW_DATA[[#This Row],[CONVERTED]],"&gt;0")</f>
        <v>0</v>
      </c>
      <c r="S593" s="30">
        <f>COUNTIFS(RAW_DATA[[#This Row],[AM/PM]],"AM",RAW_DATA[[#This Row],[CONVERTED]],"&gt;0")</f>
        <v>0</v>
      </c>
      <c r="T593" s="19">
        <f t="shared" si="161"/>
        <v>0</v>
      </c>
      <c r="U593" s="20" t="str">
        <f t="shared" si="160"/>
        <v>SINGLE</v>
      </c>
    </row>
    <row r="594" spans="1:21" x14ac:dyDescent="0.35">
      <c r="A594" s="70">
        <f t="shared" si="150"/>
        <v>45387</v>
      </c>
      <c r="B594" s="71" t="str">
        <f t="shared" si="151"/>
        <v>AM</v>
      </c>
      <c r="C594" s="72" t="str">
        <f t="shared" si="152"/>
        <v>April</v>
      </c>
      <c r="D594" s="13" t="str">
        <f t="shared" si="159"/>
        <v>FRI</v>
      </c>
      <c r="E594" s="73">
        <v>0</v>
      </c>
      <c r="F594" s="73">
        <v>0</v>
      </c>
      <c r="G594" s="73">
        <v>0</v>
      </c>
      <c r="H594" s="73">
        <f t="shared" si="153"/>
        <v>0</v>
      </c>
      <c r="I594" s="73">
        <f t="shared" si="154"/>
        <v>0</v>
      </c>
      <c r="J594" s="73">
        <v>0</v>
      </c>
      <c r="K594" s="73">
        <f t="shared" si="155"/>
        <v>0</v>
      </c>
      <c r="L594" s="74">
        <v>0</v>
      </c>
      <c r="M594" s="74">
        <v>0</v>
      </c>
      <c r="N594" s="75">
        <f t="shared" si="156"/>
        <v>0</v>
      </c>
      <c r="O594" s="73">
        <f t="shared" si="162"/>
        <v>0</v>
      </c>
      <c r="P594" s="73">
        <f t="shared" si="157"/>
        <v>0</v>
      </c>
      <c r="Q594" s="76">
        <f t="shared" si="158"/>
        <v>0</v>
      </c>
      <c r="R594" s="30">
        <f>COUNTIF(RAW_DATA[[#This Row],[CONVERTED]],"&gt;0")</f>
        <v>0</v>
      </c>
      <c r="S594" s="30">
        <f>COUNTIFS(RAW_DATA[[#This Row],[AM/PM]],"AM",RAW_DATA[[#This Row],[CONVERTED]],"&gt;0")</f>
        <v>0</v>
      </c>
      <c r="T594" s="19">
        <f t="shared" si="161"/>
        <v>0</v>
      </c>
      <c r="U594" s="20" t="str">
        <f t="shared" si="160"/>
        <v>SINGLE</v>
      </c>
    </row>
    <row r="595" spans="1:21" x14ac:dyDescent="0.35">
      <c r="A595" s="70">
        <f t="shared" si="150"/>
        <v>45387</v>
      </c>
      <c r="B595" s="71" t="str">
        <f t="shared" si="151"/>
        <v>PM</v>
      </c>
      <c r="C595" s="72" t="str">
        <f t="shared" si="152"/>
        <v>April</v>
      </c>
      <c r="D595" s="13" t="str">
        <f t="shared" si="159"/>
        <v>FRI</v>
      </c>
      <c r="E595" s="73">
        <v>1198</v>
      </c>
      <c r="F595" s="73">
        <v>202.92</v>
      </c>
      <c r="G595" s="73">
        <v>33</v>
      </c>
      <c r="H595" s="73">
        <f t="shared" si="153"/>
        <v>47.92</v>
      </c>
      <c r="I595" s="73">
        <f t="shared" si="154"/>
        <v>3.4090559999999996</v>
      </c>
      <c r="J595" s="73">
        <v>10.88</v>
      </c>
      <c r="K595" s="73">
        <f t="shared" si="155"/>
        <v>151.59094399999998</v>
      </c>
      <c r="L595" s="74">
        <v>6</v>
      </c>
      <c r="M595" s="74">
        <v>35</v>
      </c>
      <c r="N595" s="75">
        <f t="shared" si="156"/>
        <v>6.583333333333333</v>
      </c>
      <c r="O595" s="73">
        <f t="shared" si="162"/>
        <v>14.022499999999999</v>
      </c>
      <c r="P595" s="73">
        <f t="shared" si="157"/>
        <v>176.49344399999998</v>
      </c>
      <c r="Q595" s="76">
        <f t="shared" si="158"/>
        <v>198.61344399999999</v>
      </c>
      <c r="R595" s="30">
        <f>COUNTIF(RAW_DATA[[#This Row],[CONVERTED]],"&gt;0")</f>
        <v>1</v>
      </c>
      <c r="S595" s="30">
        <f>COUNTIFS(RAW_DATA[[#This Row],[AM/PM]],"AM",RAW_DATA[[#This Row],[CONVERTED]],"&gt;0")</f>
        <v>0</v>
      </c>
      <c r="T595" s="19">
        <f t="shared" si="161"/>
        <v>0</v>
      </c>
      <c r="U595" s="20" t="str">
        <f t="shared" si="160"/>
        <v>SINGLE</v>
      </c>
    </row>
    <row r="596" spans="1:21" x14ac:dyDescent="0.35">
      <c r="A596" s="70">
        <f t="shared" si="150"/>
        <v>45388</v>
      </c>
      <c r="B596" s="71" t="str">
        <f t="shared" si="151"/>
        <v>AM</v>
      </c>
      <c r="C596" s="72" t="str">
        <f t="shared" si="152"/>
        <v>April</v>
      </c>
      <c r="D596" s="13" t="str">
        <f t="shared" si="159"/>
        <v>SAT</v>
      </c>
      <c r="E596" s="73">
        <v>0</v>
      </c>
      <c r="F596" s="73">
        <v>0</v>
      </c>
      <c r="G596" s="73">
        <v>0</v>
      </c>
      <c r="H596" s="73">
        <f t="shared" si="153"/>
        <v>0</v>
      </c>
      <c r="I596" s="73">
        <f t="shared" si="154"/>
        <v>0</v>
      </c>
      <c r="J596" s="73">
        <v>0</v>
      </c>
      <c r="K596" s="73">
        <f t="shared" si="155"/>
        <v>0</v>
      </c>
      <c r="L596" s="74">
        <v>0</v>
      </c>
      <c r="M596" s="74">
        <v>0</v>
      </c>
      <c r="N596" s="75">
        <f t="shared" si="156"/>
        <v>0</v>
      </c>
      <c r="O596" s="73">
        <f t="shared" si="162"/>
        <v>0</v>
      </c>
      <c r="P596" s="73">
        <f t="shared" si="157"/>
        <v>0</v>
      </c>
      <c r="Q596" s="76">
        <f t="shared" si="158"/>
        <v>0</v>
      </c>
      <c r="R596" s="30">
        <f>COUNTIF(RAW_DATA[[#This Row],[CONVERTED]],"&gt;0")</f>
        <v>0</v>
      </c>
      <c r="S596" s="30">
        <f>COUNTIFS(RAW_DATA[[#This Row],[AM/PM]],"AM",RAW_DATA[[#This Row],[CONVERTED]],"&gt;0")</f>
        <v>0</v>
      </c>
      <c r="T596" s="19">
        <f t="shared" si="161"/>
        <v>0</v>
      </c>
      <c r="U596" s="20" t="str">
        <f t="shared" si="160"/>
        <v>SINGLE</v>
      </c>
    </row>
    <row r="597" spans="1:21" x14ac:dyDescent="0.35">
      <c r="A597" s="70">
        <f t="shared" si="150"/>
        <v>45388</v>
      </c>
      <c r="B597" s="71" t="str">
        <f t="shared" si="151"/>
        <v>PM</v>
      </c>
      <c r="C597" s="72" t="str">
        <f t="shared" si="152"/>
        <v>April</v>
      </c>
      <c r="D597" s="13" t="str">
        <f t="shared" si="159"/>
        <v>SAT</v>
      </c>
      <c r="E597" s="73">
        <v>0</v>
      </c>
      <c r="F597" s="73">
        <v>0</v>
      </c>
      <c r="G597" s="73">
        <v>0</v>
      </c>
      <c r="H597" s="73">
        <f t="shared" si="153"/>
        <v>0</v>
      </c>
      <c r="I597" s="73">
        <f t="shared" si="154"/>
        <v>0</v>
      </c>
      <c r="J597" s="73">
        <v>0</v>
      </c>
      <c r="K597" s="73">
        <f t="shared" si="155"/>
        <v>0</v>
      </c>
      <c r="L597" s="74">
        <v>0</v>
      </c>
      <c r="M597" s="74">
        <v>0</v>
      </c>
      <c r="N597" s="75">
        <f t="shared" si="156"/>
        <v>0</v>
      </c>
      <c r="O597" s="73">
        <f t="shared" si="162"/>
        <v>0</v>
      </c>
      <c r="P597" s="73">
        <f t="shared" si="157"/>
        <v>0</v>
      </c>
      <c r="Q597" s="76">
        <f t="shared" si="158"/>
        <v>0</v>
      </c>
      <c r="R597" s="30">
        <f>COUNTIF(RAW_DATA[[#This Row],[CONVERTED]],"&gt;0")</f>
        <v>0</v>
      </c>
      <c r="S597" s="30">
        <f>COUNTIFS(RAW_DATA[[#This Row],[AM/PM]],"AM",RAW_DATA[[#This Row],[CONVERTED]],"&gt;0")</f>
        <v>0</v>
      </c>
      <c r="T597" s="19">
        <f t="shared" si="161"/>
        <v>0</v>
      </c>
      <c r="U597" s="20" t="str">
        <f t="shared" si="160"/>
        <v>SINGLE</v>
      </c>
    </row>
    <row r="598" spans="1:21" x14ac:dyDescent="0.35">
      <c r="A598" s="70">
        <f t="shared" si="150"/>
        <v>45389</v>
      </c>
      <c r="B598" s="71" t="str">
        <f t="shared" si="151"/>
        <v>AM</v>
      </c>
      <c r="C598" s="72" t="str">
        <f t="shared" si="152"/>
        <v>April</v>
      </c>
      <c r="D598" s="13" t="str">
        <f t="shared" si="159"/>
        <v>SUN</v>
      </c>
      <c r="E598" s="73">
        <v>0</v>
      </c>
      <c r="F598" s="73">
        <v>0</v>
      </c>
      <c r="G598" s="73">
        <v>0</v>
      </c>
      <c r="H598" s="73">
        <f t="shared" si="153"/>
        <v>0</v>
      </c>
      <c r="I598" s="73">
        <f t="shared" si="154"/>
        <v>0</v>
      </c>
      <c r="J598" s="73">
        <v>0</v>
      </c>
      <c r="K598" s="73">
        <f t="shared" si="155"/>
        <v>0</v>
      </c>
      <c r="L598" s="74">
        <v>0</v>
      </c>
      <c r="M598" s="74">
        <v>0</v>
      </c>
      <c r="N598" s="75">
        <f t="shared" si="156"/>
        <v>0</v>
      </c>
      <c r="O598" s="73">
        <f t="shared" si="162"/>
        <v>0</v>
      </c>
      <c r="P598" s="73">
        <f t="shared" si="157"/>
        <v>0</v>
      </c>
      <c r="Q598" s="76">
        <f t="shared" si="158"/>
        <v>0</v>
      </c>
      <c r="R598" s="30">
        <f>COUNTIF(RAW_DATA[[#This Row],[CONVERTED]],"&gt;0")</f>
        <v>0</v>
      </c>
      <c r="S598" s="30">
        <f>COUNTIFS(RAW_DATA[[#This Row],[AM/PM]],"AM",RAW_DATA[[#This Row],[CONVERTED]],"&gt;0")</f>
        <v>0</v>
      </c>
      <c r="T598" s="19">
        <f t="shared" si="161"/>
        <v>0</v>
      </c>
      <c r="U598" s="20" t="str">
        <f t="shared" si="160"/>
        <v>SINGLE</v>
      </c>
    </row>
    <row r="599" spans="1:21" x14ac:dyDescent="0.35">
      <c r="A599" s="70">
        <f t="shared" si="150"/>
        <v>45389</v>
      </c>
      <c r="B599" s="71" t="str">
        <f t="shared" si="151"/>
        <v>PM</v>
      </c>
      <c r="C599" s="72" t="str">
        <f t="shared" si="152"/>
        <v>April</v>
      </c>
      <c r="D599" s="13" t="str">
        <f t="shared" si="159"/>
        <v>SUN</v>
      </c>
      <c r="E599" s="73">
        <v>975</v>
      </c>
      <c r="F599" s="73">
        <v>165.05</v>
      </c>
      <c r="G599" s="73">
        <v>12</v>
      </c>
      <c r="H599" s="73">
        <f t="shared" si="153"/>
        <v>39</v>
      </c>
      <c r="I599" s="73">
        <f t="shared" si="154"/>
        <v>2.77284</v>
      </c>
      <c r="J599" s="73">
        <v>5.2</v>
      </c>
      <c r="K599" s="73">
        <f t="shared" si="155"/>
        <v>123.27716000000001</v>
      </c>
      <c r="L599" s="74">
        <v>5</v>
      </c>
      <c r="M599" s="74">
        <v>52</v>
      </c>
      <c r="N599" s="75">
        <f t="shared" si="156"/>
        <v>5.8666666666666663</v>
      </c>
      <c r="O599" s="73">
        <f t="shared" si="162"/>
        <v>12.495999999999999</v>
      </c>
      <c r="P599" s="73">
        <f t="shared" si="157"/>
        <v>140.97316000000001</v>
      </c>
      <c r="Q599" s="76">
        <f t="shared" si="158"/>
        <v>147.77316000000002</v>
      </c>
      <c r="R599" s="30">
        <f>COUNTIF(RAW_DATA[[#This Row],[CONVERTED]],"&gt;0")</f>
        <v>1</v>
      </c>
      <c r="S599" s="30">
        <f>COUNTIFS(RAW_DATA[[#This Row],[AM/PM]],"AM",RAW_DATA[[#This Row],[CONVERTED]],"&gt;0")</f>
        <v>0</v>
      </c>
      <c r="T599" s="19">
        <f t="shared" si="161"/>
        <v>0</v>
      </c>
      <c r="U599" s="20" t="str">
        <f t="shared" si="160"/>
        <v>SINGLE</v>
      </c>
    </row>
    <row r="600" spans="1:21" x14ac:dyDescent="0.35">
      <c r="A600" s="70">
        <f t="shared" si="150"/>
        <v>45390</v>
      </c>
      <c r="B600" s="71" t="str">
        <f t="shared" si="151"/>
        <v>AM</v>
      </c>
      <c r="C600" s="72" t="str">
        <f t="shared" si="152"/>
        <v>April</v>
      </c>
      <c r="D600" s="13" t="str">
        <f t="shared" si="159"/>
        <v>MON</v>
      </c>
      <c r="E600" s="73">
        <v>99</v>
      </c>
      <c r="F600" s="73">
        <v>18.54</v>
      </c>
      <c r="G600" s="73">
        <v>0</v>
      </c>
      <c r="H600" s="73">
        <f t="shared" si="153"/>
        <v>3.96</v>
      </c>
      <c r="I600" s="73">
        <f t="shared" si="154"/>
        <v>0.31147199999999997</v>
      </c>
      <c r="J600" s="73">
        <v>0</v>
      </c>
      <c r="K600" s="73">
        <f t="shared" si="155"/>
        <v>14.268528</v>
      </c>
      <c r="L600" s="74">
        <v>1</v>
      </c>
      <c r="M600" s="74">
        <v>31</v>
      </c>
      <c r="N600" s="75">
        <f t="shared" si="156"/>
        <v>1.5166666666666666</v>
      </c>
      <c r="O600" s="73">
        <f t="shared" si="162"/>
        <v>3.2304999999999997</v>
      </c>
      <c r="P600" s="73">
        <f t="shared" si="157"/>
        <v>17.499027999999999</v>
      </c>
      <c r="Q600" s="76">
        <f t="shared" si="158"/>
        <v>17.499027999999999</v>
      </c>
      <c r="R600" s="30">
        <f>COUNTIF(RAW_DATA[[#This Row],[CONVERTED]],"&gt;0")</f>
        <v>1</v>
      </c>
      <c r="S600" s="30">
        <f>COUNTIFS(RAW_DATA[[#This Row],[AM/PM]],"AM",RAW_DATA[[#This Row],[CONVERTED]],"&gt;0")</f>
        <v>1</v>
      </c>
      <c r="T600" s="19">
        <f t="shared" si="161"/>
        <v>0</v>
      </c>
      <c r="U600" s="20" t="str">
        <f t="shared" si="160"/>
        <v>DOUBLE</v>
      </c>
    </row>
    <row r="601" spans="1:21" x14ac:dyDescent="0.35">
      <c r="A601" s="70">
        <f t="shared" si="150"/>
        <v>45390</v>
      </c>
      <c r="B601" s="71" t="str">
        <f t="shared" si="151"/>
        <v>PM</v>
      </c>
      <c r="C601" s="72" t="str">
        <f t="shared" si="152"/>
        <v>April</v>
      </c>
      <c r="D601" s="13" t="str">
        <f t="shared" si="159"/>
        <v>MON</v>
      </c>
      <c r="E601" s="73">
        <v>594</v>
      </c>
      <c r="F601" s="73">
        <v>124.62</v>
      </c>
      <c r="G601" s="73">
        <v>0</v>
      </c>
      <c r="H601" s="73">
        <f t="shared" si="153"/>
        <v>23.76</v>
      </c>
      <c r="I601" s="73">
        <f t="shared" si="154"/>
        <v>2.0936159999999999</v>
      </c>
      <c r="J601" s="73">
        <v>0</v>
      </c>
      <c r="K601" s="73">
        <f t="shared" si="155"/>
        <v>98.766384000000002</v>
      </c>
      <c r="L601" s="74">
        <v>3</v>
      </c>
      <c r="M601" s="74">
        <v>49</v>
      </c>
      <c r="N601" s="75">
        <f t="shared" si="156"/>
        <v>3.8166666666666669</v>
      </c>
      <c r="O601" s="73">
        <f t="shared" si="162"/>
        <v>8.1295000000000002</v>
      </c>
      <c r="P601" s="73">
        <f t="shared" si="157"/>
        <v>106.895884</v>
      </c>
      <c r="Q601" s="76">
        <f t="shared" si="158"/>
        <v>106.895884</v>
      </c>
      <c r="R601" s="30">
        <f>COUNTIF(RAW_DATA[[#This Row],[CONVERTED]],"&gt;0")</f>
        <v>1</v>
      </c>
      <c r="S601" s="30">
        <f>COUNTIFS(RAW_DATA[[#This Row],[AM/PM]],"AM",RAW_DATA[[#This Row],[CONVERTED]],"&gt;0")</f>
        <v>0</v>
      </c>
      <c r="T601" s="19">
        <f t="shared" si="161"/>
        <v>1</v>
      </c>
      <c r="U601" s="20" t="str">
        <f t="shared" si="160"/>
        <v>DOUBLE</v>
      </c>
    </row>
    <row r="602" spans="1:21" x14ac:dyDescent="0.35">
      <c r="A602" s="70">
        <f t="shared" si="150"/>
        <v>45391</v>
      </c>
      <c r="B602" s="71" t="str">
        <f t="shared" si="151"/>
        <v>AM</v>
      </c>
      <c r="C602" s="72" t="str">
        <f t="shared" si="152"/>
        <v>April</v>
      </c>
      <c r="D602" s="13" t="str">
        <f t="shared" si="159"/>
        <v>TUE</v>
      </c>
      <c r="E602" s="73">
        <v>0</v>
      </c>
      <c r="F602" s="73">
        <v>0</v>
      </c>
      <c r="G602" s="73">
        <v>0</v>
      </c>
      <c r="H602" s="73">
        <f t="shared" si="153"/>
        <v>0</v>
      </c>
      <c r="I602" s="73">
        <f t="shared" si="154"/>
        <v>0</v>
      </c>
      <c r="J602" s="73">
        <v>0</v>
      </c>
      <c r="K602" s="73">
        <f t="shared" si="155"/>
        <v>0</v>
      </c>
      <c r="L602" s="74">
        <v>0</v>
      </c>
      <c r="M602" s="74">
        <v>0</v>
      </c>
      <c r="N602" s="75">
        <f t="shared" si="156"/>
        <v>0</v>
      </c>
      <c r="O602" s="73">
        <f t="shared" si="162"/>
        <v>0</v>
      </c>
      <c r="P602" s="73">
        <f t="shared" si="157"/>
        <v>0</v>
      </c>
      <c r="Q602" s="76">
        <f t="shared" si="158"/>
        <v>0</v>
      </c>
      <c r="R602" s="30">
        <f>COUNTIF(RAW_DATA[[#This Row],[CONVERTED]],"&gt;0")</f>
        <v>0</v>
      </c>
      <c r="S602" s="30">
        <f>COUNTIFS(RAW_DATA[[#This Row],[AM/PM]],"AM",RAW_DATA[[#This Row],[CONVERTED]],"&gt;0")</f>
        <v>0</v>
      </c>
      <c r="T602" s="19">
        <f t="shared" si="161"/>
        <v>0</v>
      </c>
      <c r="U602" s="20" t="str">
        <f t="shared" si="160"/>
        <v>SINGLE</v>
      </c>
    </row>
    <row r="603" spans="1:21" x14ac:dyDescent="0.35">
      <c r="A603" s="70">
        <f t="shared" si="150"/>
        <v>45391</v>
      </c>
      <c r="B603" s="71" t="str">
        <f t="shared" si="151"/>
        <v>PM</v>
      </c>
      <c r="C603" s="72" t="str">
        <f t="shared" si="152"/>
        <v>April</v>
      </c>
      <c r="D603" s="13" t="str">
        <f t="shared" si="159"/>
        <v>TUE</v>
      </c>
      <c r="E603" s="73">
        <v>0</v>
      </c>
      <c r="F603" s="73">
        <v>0</v>
      </c>
      <c r="G603" s="73">
        <v>0</v>
      </c>
      <c r="H603" s="73">
        <f t="shared" si="153"/>
        <v>0</v>
      </c>
      <c r="I603" s="73">
        <f t="shared" si="154"/>
        <v>0</v>
      </c>
      <c r="J603" s="73">
        <v>0</v>
      </c>
      <c r="K603" s="73">
        <f t="shared" si="155"/>
        <v>0</v>
      </c>
      <c r="L603" s="74">
        <v>0</v>
      </c>
      <c r="M603" s="74">
        <v>0</v>
      </c>
      <c r="N603" s="75">
        <f t="shared" si="156"/>
        <v>0</v>
      </c>
      <c r="O603" s="73">
        <f t="shared" si="162"/>
        <v>0</v>
      </c>
      <c r="P603" s="73">
        <f t="shared" si="157"/>
        <v>0</v>
      </c>
      <c r="Q603" s="76">
        <f t="shared" si="158"/>
        <v>0</v>
      </c>
      <c r="R603" s="30">
        <f>COUNTIF(RAW_DATA[[#This Row],[CONVERTED]],"&gt;0")</f>
        <v>0</v>
      </c>
      <c r="S603" s="30">
        <f>COUNTIFS(RAW_DATA[[#This Row],[AM/PM]],"AM",RAW_DATA[[#This Row],[CONVERTED]],"&gt;0")</f>
        <v>0</v>
      </c>
      <c r="T603" s="19">
        <f t="shared" si="161"/>
        <v>0</v>
      </c>
      <c r="U603" s="20" t="str">
        <f t="shared" si="160"/>
        <v>SINGLE</v>
      </c>
    </row>
    <row r="604" spans="1:21" x14ac:dyDescent="0.35">
      <c r="A604" s="77">
        <f t="shared" si="150"/>
        <v>45392</v>
      </c>
      <c r="B604" s="78" t="str">
        <f t="shared" si="151"/>
        <v>AM</v>
      </c>
      <c r="C604" s="79" t="str">
        <f t="shared" si="152"/>
        <v>April</v>
      </c>
      <c r="D604" s="57" t="str">
        <f t="shared" si="159"/>
        <v>WED</v>
      </c>
      <c r="E604" s="80">
        <v>319</v>
      </c>
      <c r="F604" s="80">
        <v>63.8</v>
      </c>
      <c r="G604" s="80">
        <v>0</v>
      </c>
      <c r="H604" s="80">
        <f t="shared" si="153"/>
        <v>12.76</v>
      </c>
      <c r="I604" s="80">
        <f t="shared" si="154"/>
        <v>1.0718399999999999</v>
      </c>
      <c r="J604" s="80">
        <v>0</v>
      </c>
      <c r="K604" s="80">
        <f t="shared" si="155"/>
        <v>49.968159999999997</v>
      </c>
      <c r="L604" s="81">
        <v>3</v>
      </c>
      <c r="M604" s="81">
        <v>5</v>
      </c>
      <c r="N604" s="82">
        <f t="shared" si="156"/>
        <v>3.0833333333333335</v>
      </c>
      <c r="O604" s="80">
        <f t="shared" si="162"/>
        <v>6.5674999999999999</v>
      </c>
      <c r="P604" s="80">
        <f t="shared" si="157"/>
        <v>56.53566</v>
      </c>
      <c r="Q604" s="83">
        <f t="shared" si="158"/>
        <v>56.53566</v>
      </c>
      <c r="R604" s="62">
        <f>COUNTIF(RAW_DATA[[#This Row],[CONVERTED]],"&gt;0")</f>
        <v>1</v>
      </c>
      <c r="S604" s="62">
        <f>COUNTIFS(RAW_DATA[[#This Row],[AM/PM]],"AM",RAW_DATA[[#This Row],[CONVERTED]],"&gt;0")</f>
        <v>1</v>
      </c>
      <c r="T604" s="63">
        <f t="shared" si="161"/>
        <v>0</v>
      </c>
      <c r="U604" s="64" t="str">
        <f t="shared" si="160"/>
        <v>DOUBLE</v>
      </c>
    </row>
    <row r="605" spans="1:21" x14ac:dyDescent="0.35">
      <c r="A605" s="70">
        <f t="shared" si="150"/>
        <v>45392</v>
      </c>
      <c r="B605" s="71" t="str">
        <f t="shared" si="151"/>
        <v>PM</v>
      </c>
      <c r="C605" s="72" t="str">
        <f t="shared" si="152"/>
        <v>April</v>
      </c>
      <c r="D605" s="13" t="str">
        <f t="shared" si="159"/>
        <v>WED</v>
      </c>
      <c r="E605" s="73">
        <v>856</v>
      </c>
      <c r="F605" s="73">
        <v>110.85</v>
      </c>
      <c r="G605" s="73">
        <v>105</v>
      </c>
      <c r="H605" s="73">
        <f t="shared" si="153"/>
        <v>34.24</v>
      </c>
      <c r="I605" s="73">
        <f t="shared" si="154"/>
        <v>1.8622799999999997</v>
      </c>
      <c r="J605" s="73">
        <v>0</v>
      </c>
      <c r="K605" s="73">
        <f t="shared" si="155"/>
        <v>74.747719999999987</v>
      </c>
      <c r="L605" s="74">
        <v>4</v>
      </c>
      <c r="M605" s="74">
        <v>21</v>
      </c>
      <c r="N605" s="75">
        <f t="shared" si="156"/>
        <v>4.3499999999999996</v>
      </c>
      <c r="O605" s="73">
        <f t="shared" si="162"/>
        <v>9.2654999999999994</v>
      </c>
      <c r="P605" s="73">
        <f t="shared" si="157"/>
        <v>84.01321999999999</v>
      </c>
      <c r="Q605" s="76">
        <f t="shared" si="158"/>
        <v>189.01321999999999</v>
      </c>
      <c r="R605" s="30">
        <f>COUNTIF(RAW_DATA[[#This Row],[CONVERTED]],"&gt;0")</f>
        <v>1</v>
      </c>
      <c r="S605" s="30">
        <f>COUNTIFS(RAW_DATA[[#This Row],[AM/PM]],"AM",RAW_DATA[[#This Row],[CONVERTED]],"&gt;0")</f>
        <v>0</v>
      </c>
      <c r="T605" s="19">
        <f t="shared" si="161"/>
        <v>1</v>
      </c>
      <c r="U605" s="20" t="str">
        <f t="shared" si="160"/>
        <v>DOUBLE</v>
      </c>
    </row>
    <row r="606" spans="1:21" x14ac:dyDescent="0.35">
      <c r="A606" s="70">
        <f t="shared" si="150"/>
        <v>45393</v>
      </c>
      <c r="B606" s="71" t="str">
        <f t="shared" si="151"/>
        <v>AM</v>
      </c>
      <c r="C606" s="72" t="str">
        <f t="shared" si="152"/>
        <v>April</v>
      </c>
      <c r="D606" s="13" t="str">
        <f t="shared" si="159"/>
        <v>THU</v>
      </c>
      <c r="E606" s="73">
        <v>0</v>
      </c>
      <c r="F606" s="73">
        <v>0</v>
      </c>
      <c r="G606" s="73">
        <v>0</v>
      </c>
      <c r="H606" s="73">
        <f t="shared" si="153"/>
        <v>0</v>
      </c>
      <c r="I606" s="73">
        <f t="shared" si="154"/>
        <v>0</v>
      </c>
      <c r="J606" s="73">
        <v>0</v>
      </c>
      <c r="K606" s="73">
        <f t="shared" si="155"/>
        <v>0</v>
      </c>
      <c r="L606" s="74">
        <v>0</v>
      </c>
      <c r="M606" s="74">
        <v>0</v>
      </c>
      <c r="N606" s="75">
        <f t="shared" si="156"/>
        <v>0</v>
      </c>
      <c r="O606" s="73">
        <f t="shared" si="162"/>
        <v>0</v>
      </c>
      <c r="P606" s="73">
        <f t="shared" si="157"/>
        <v>0</v>
      </c>
      <c r="Q606" s="76">
        <f t="shared" si="158"/>
        <v>0</v>
      </c>
      <c r="R606" s="30">
        <f>COUNTIF(RAW_DATA[[#This Row],[CONVERTED]],"&gt;0")</f>
        <v>0</v>
      </c>
      <c r="S606" s="30">
        <f>COUNTIFS(RAW_DATA[[#This Row],[AM/PM]],"AM",RAW_DATA[[#This Row],[CONVERTED]],"&gt;0")</f>
        <v>0</v>
      </c>
      <c r="T606" s="19">
        <f t="shared" si="161"/>
        <v>0</v>
      </c>
      <c r="U606" s="20" t="str">
        <f t="shared" si="160"/>
        <v>SINGLE</v>
      </c>
    </row>
    <row r="607" spans="1:21" x14ac:dyDescent="0.35">
      <c r="A607" s="70">
        <f t="shared" si="150"/>
        <v>45393</v>
      </c>
      <c r="B607" s="71" t="str">
        <f t="shared" si="151"/>
        <v>PM</v>
      </c>
      <c r="C607" s="72" t="str">
        <f t="shared" si="152"/>
        <v>April</v>
      </c>
      <c r="D607" s="13" t="str">
        <f t="shared" si="159"/>
        <v>THU</v>
      </c>
      <c r="E607" s="73">
        <v>0</v>
      </c>
      <c r="F607" s="73">
        <v>0</v>
      </c>
      <c r="G607" s="73">
        <v>0</v>
      </c>
      <c r="H607" s="73">
        <f t="shared" si="153"/>
        <v>0</v>
      </c>
      <c r="I607" s="73">
        <f t="shared" si="154"/>
        <v>0</v>
      </c>
      <c r="J607" s="73">
        <v>0</v>
      </c>
      <c r="K607" s="73">
        <f t="shared" si="155"/>
        <v>0</v>
      </c>
      <c r="L607" s="74">
        <v>0</v>
      </c>
      <c r="M607" s="74">
        <v>0</v>
      </c>
      <c r="N607" s="75">
        <f t="shared" si="156"/>
        <v>0</v>
      </c>
      <c r="O607" s="73">
        <f t="shared" si="162"/>
        <v>0</v>
      </c>
      <c r="P607" s="73">
        <f t="shared" si="157"/>
        <v>0</v>
      </c>
      <c r="Q607" s="76">
        <f t="shared" si="158"/>
        <v>0</v>
      </c>
      <c r="R607" s="30">
        <f>COUNTIF(RAW_DATA[[#This Row],[CONVERTED]],"&gt;0")</f>
        <v>0</v>
      </c>
      <c r="S607" s="30">
        <f>COUNTIFS(RAW_DATA[[#This Row],[AM/PM]],"AM",RAW_DATA[[#This Row],[CONVERTED]],"&gt;0")</f>
        <v>0</v>
      </c>
      <c r="T607" s="19">
        <f t="shared" si="161"/>
        <v>0</v>
      </c>
      <c r="U607" s="20" t="str">
        <f t="shared" si="160"/>
        <v>SINGLE</v>
      </c>
    </row>
    <row r="608" spans="1:21" x14ac:dyDescent="0.35">
      <c r="A608" s="70">
        <f t="shared" si="150"/>
        <v>45394</v>
      </c>
      <c r="B608" s="71" t="str">
        <f t="shared" si="151"/>
        <v>AM</v>
      </c>
      <c r="C608" s="72" t="str">
        <f t="shared" si="152"/>
        <v>April</v>
      </c>
      <c r="D608" s="13" t="str">
        <f t="shared" si="159"/>
        <v>FRI</v>
      </c>
      <c r="E608" s="73">
        <v>369.5</v>
      </c>
      <c r="F608" s="73">
        <v>70.010000000000005</v>
      </c>
      <c r="G608" s="73">
        <v>12</v>
      </c>
      <c r="H608" s="73">
        <f t="shared" si="153"/>
        <v>14.780000000000001</v>
      </c>
      <c r="I608" s="73">
        <f t="shared" si="154"/>
        <v>1.1761680000000001</v>
      </c>
      <c r="J608" s="73">
        <v>4.8</v>
      </c>
      <c r="K608" s="73">
        <f t="shared" si="155"/>
        <v>54.053832</v>
      </c>
      <c r="L608" s="74">
        <v>3</v>
      </c>
      <c r="M608" s="74">
        <v>9</v>
      </c>
      <c r="N608" s="75">
        <f t="shared" si="156"/>
        <v>3.15</v>
      </c>
      <c r="O608" s="73">
        <f t="shared" si="162"/>
        <v>6.7094999999999994</v>
      </c>
      <c r="P608" s="73">
        <f t="shared" si="157"/>
        <v>65.563332000000003</v>
      </c>
      <c r="Q608" s="76">
        <f t="shared" si="158"/>
        <v>72.763332000000005</v>
      </c>
      <c r="R608" s="30">
        <f>COUNTIF(RAW_DATA[[#This Row],[CONVERTED]],"&gt;0")</f>
        <v>1</v>
      </c>
      <c r="S608" s="30">
        <f>COUNTIFS(RAW_DATA[[#This Row],[AM/PM]],"AM",RAW_DATA[[#This Row],[CONVERTED]],"&gt;0")</f>
        <v>1</v>
      </c>
      <c r="T608" s="19">
        <f t="shared" si="161"/>
        <v>0</v>
      </c>
      <c r="U608" s="20" t="str">
        <f t="shared" si="160"/>
        <v>DOUBLE</v>
      </c>
    </row>
    <row r="609" spans="1:21" x14ac:dyDescent="0.35">
      <c r="A609" s="70">
        <f t="shared" si="150"/>
        <v>45394</v>
      </c>
      <c r="B609" s="71" t="str">
        <f t="shared" si="151"/>
        <v>PM</v>
      </c>
      <c r="C609" s="72" t="str">
        <f t="shared" si="152"/>
        <v>April</v>
      </c>
      <c r="D609" s="13" t="str">
        <f t="shared" si="159"/>
        <v>FRI</v>
      </c>
      <c r="E609" s="73">
        <v>1566.5</v>
      </c>
      <c r="F609" s="73">
        <v>247.67</v>
      </c>
      <c r="G609" s="73">
        <v>60</v>
      </c>
      <c r="H609" s="73">
        <f t="shared" si="153"/>
        <v>62.660000000000004</v>
      </c>
      <c r="I609" s="73">
        <f t="shared" si="154"/>
        <v>4.1608559999999999</v>
      </c>
      <c r="J609" s="73">
        <v>5.17</v>
      </c>
      <c r="K609" s="73">
        <f t="shared" si="155"/>
        <v>180.84914399999997</v>
      </c>
      <c r="L609" s="74">
        <v>5</v>
      </c>
      <c r="M609" s="74">
        <v>14</v>
      </c>
      <c r="N609" s="75">
        <f t="shared" si="156"/>
        <v>5.2333333333333334</v>
      </c>
      <c r="O609" s="73">
        <f t="shared" si="162"/>
        <v>11.147</v>
      </c>
      <c r="P609" s="73">
        <f t="shared" si="157"/>
        <v>197.16614399999995</v>
      </c>
      <c r="Q609" s="76">
        <f t="shared" si="158"/>
        <v>251.99614399999996</v>
      </c>
      <c r="R609" s="30">
        <f>COUNTIF(RAW_DATA[[#This Row],[CONVERTED]],"&gt;0")</f>
        <v>1</v>
      </c>
      <c r="S609" s="30">
        <f>COUNTIFS(RAW_DATA[[#This Row],[AM/PM]],"AM",RAW_DATA[[#This Row],[CONVERTED]],"&gt;0")</f>
        <v>0</v>
      </c>
      <c r="T609" s="19">
        <f t="shared" si="161"/>
        <v>1</v>
      </c>
      <c r="U609" s="20" t="str">
        <f t="shared" si="160"/>
        <v>DOUBLE</v>
      </c>
    </row>
    <row r="610" spans="1:21" x14ac:dyDescent="0.35">
      <c r="A610" s="70">
        <f t="shared" si="150"/>
        <v>45395</v>
      </c>
      <c r="B610" s="71" t="str">
        <f t="shared" si="151"/>
        <v>AM</v>
      </c>
      <c r="C610" s="72" t="str">
        <f t="shared" si="152"/>
        <v>April</v>
      </c>
      <c r="D610" s="13" t="str">
        <f t="shared" si="159"/>
        <v>SAT</v>
      </c>
      <c r="E610" s="73">
        <f>2556.5/2</f>
        <v>1278.25</v>
      </c>
      <c r="F610" s="73">
        <f>468.22/2</f>
        <v>234.11</v>
      </c>
      <c r="G610" s="73">
        <f>60/2</f>
        <v>30</v>
      </c>
      <c r="H610" s="73">
        <f t="shared" si="153"/>
        <v>51.13</v>
      </c>
      <c r="I610" s="73">
        <f t="shared" si="154"/>
        <v>3.9330479999999999</v>
      </c>
      <c r="J610" s="73">
        <f>12.64/2</f>
        <v>6.32</v>
      </c>
      <c r="K610" s="73">
        <f t="shared" si="155"/>
        <v>179.046952</v>
      </c>
      <c r="L610" s="74">
        <v>5</v>
      </c>
      <c r="M610" s="74">
        <v>0</v>
      </c>
      <c r="N610" s="75">
        <f t="shared" si="156"/>
        <v>5</v>
      </c>
      <c r="O610" s="73">
        <f t="shared" si="162"/>
        <v>10.649999999999999</v>
      </c>
      <c r="P610" s="73">
        <f t="shared" si="157"/>
        <v>196.016952</v>
      </c>
      <c r="Q610" s="76">
        <f t="shared" si="158"/>
        <v>219.69695200000001</v>
      </c>
      <c r="R610" s="30">
        <f>COUNTIF(RAW_DATA[[#This Row],[CONVERTED]],"&gt;0")</f>
        <v>1</v>
      </c>
      <c r="S610" s="30">
        <f>COUNTIFS(RAW_DATA[[#This Row],[AM/PM]],"AM",RAW_DATA[[#This Row],[CONVERTED]],"&gt;0")</f>
        <v>1</v>
      </c>
      <c r="T610" s="19">
        <f t="shared" si="161"/>
        <v>0</v>
      </c>
      <c r="U610" s="20" t="str">
        <f t="shared" si="160"/>
        <v>DOUBLE</v>
      </c>
    </row>
    <row r="611" spans="1:21" x14ac:dyDescent="0.35">
      <c r="A611" s="70">
        <f t="shared" si="150"/>
        <v>45395</v>
      </c>
      <c r="B611" s="71" t="str">
        <f t="shared" si="151"/>
        <v>PM</v>
      </c>
      <c r="C611" s="72" t="str">
        <f t="shared" si="152"/>
        <v>April</v>
      </c>
      <c r="D611" s="13" t="str">
        <f t="shared" si="159"/>
        <v>SAT</v>
      </c>
      <c r="E611" s="73">
        <f>2556.5/2</f>
        <v>1278.25</v>
      </c>
      <c r="F611" s="73">
        <f>468.22/2</f>
        <v>234.11</v>
      </c>
      <c r="G611" s="73">
        <f>60/2</f>
        <v>30</v>
      </c>
      <c r="H611" s="73">
        <f t="shared" si="153"/>
        <v>51.13</v>
      </c>
      <c r="I611" s="73">
        <f t="shared" si="154"/>
        <v>3.9330479999999999</v>
      </c>
      <c r="J611" s="73">
        <f>12.64/2</f>
        <v>6.32</v>
      </c>
      <c r="K611" s="73">
        <f t="shared" si="155"/>
        <v>179.046952</v>
      </c>
      <c r="L611" s="74">
        <v>5</v>
      </c>
      <c r="M611" s="74">
        <v>0</v>
      </c>
      <c r="N611" s="75">
        <f t="shared" si="156"/>
        <v>5</v>
      </c>
      <c r="O611" s="73">
        <f t="shared" si="162"/>
        <v>10.649999999999999</v>
      </c>
      <c r="P611" s="73">
        <f t="shared" si="157"/>
        <v>196.016952</v>
      </c>
      <c r="Q611" s="76">
        <f t="shared" si="158"/>
        <v>219.69695200000001</v>
      </c>
      <c r="R611" s="30">
        <f>COUNTIF(RAW_DATA[[#This Row],[CONVERTED]],"&gt;0")</f>
        <v>1</v>
      </c>
      <c r="S611" s="30">
        <f>COUNTIFS(RAW_DATA[[#This Row],[AM/PM]],"AM",RAW_DATA[[#This Row],[CONVERTED]],"&gt;0")</f>
        <v>0</v>
      </c>
      <c r="T611" s="19">
        <f t="shared" si="161"/>
        <v>1</v>
      </c>
      <c r="U611" s="20" t="str">
        <f t="shared" si="160"/>
        <v>DOUBLE</v>
      </c>
    </row>
    <row r="612" spans="1:21" x14ac:dyDescent="0.35">
      <c r="A612" s="70">
        <f t="shared" si="150"/>
        <v>45396</v>
      </c>
      <c r="B612" s="71" t="str">
        <f t="shared" si="151"/>
        <v>AM</v>
      </c>
      <c r="C612" s="72" t="str">
        <f t="shared" si="152"/>
        <v>April</v>
      </c>
      <c r="D612" s="13" t="str">
        <f t="shared" si="159"/>
        <v>SUN</v>
      </c>
      <c r="E612" s="73">
        <v>0</v>
      </c>
      <c r="F612" s="73">
        <v>0</v>
      </c>
      <c r="G612" s="73">
        <v>0</v>
      </c>
      <c r="H612" s="73">
        <f t="shared" si="153"/>
        <v>0</v>
      </c>
      <c r="I612" s="73">
        <f t="shared" si="154"/>
        <v>0</v>
      </c>
      <c r="J612" s="73">
        <v>0</v>
      </c>
      <c r="K612" s="73">
        <f t="shared" si="155"/>
        <v>0</v>
      </c>
      <c r="L612" s="74">
        <v>0</v>
      </c>
      <c r="M612" s="74">
        <v>0</v>
      </c>
      <c r="N612" s="75">
        <f t="shared" si="156"/>
        <v>0</v>
      </c>
      <c r="O612" s="73">
        <f t="shared" si="162"/>
        <v>0</v>
      </c>
      <c r="P612" s="73">
        <f t="shared" si="157"/>
        <v>0</v>
      </c>
      <c r="Q612" s="76">
        <f t="shared" si="158"/>
        <v>0</v>
      </c>
      <c r="R612" s="30">
        <f>COUNTIF(RAW_DATA[[#This Row],[CONVERTED]],"&gt;0")</f>
        <v>0</v>
      </c>
      <c r="S612" s="30">
        <f>COUNTIFS(RAW_DATA[[#This Row],[AM/PM]],"AM",RAW_DATA[[#This Row],[CONVERTED]],"&gt;0")</f>
        <v>0</v>
      </c>
      <c r="T612" s="19">
        <f t="shared" si="161"/>
        <v>0</v>
      </c>
      <c r="U612" s="20" t="str">
        <f t="shared" si="160"/>
        <v>SINGLE</v>
      </c>
    </row>
    <row r="613" spans="1:21" x14ac:dyDescent="0.35">
      <c r="A613" s="70">
        <f t="shared" si="150"/>
        <v>45396</v>
      </c>
      <c r="B613" s="71" t="str">
        <f t="shared" si="151"/>
        <v>PM</v>
      </c>
      <c r="C613" s="72" t="str">
        <f t="shared" si="152"/>
        <v>April</v>
      </c>
      <c r="D613" s="13" t="str">
        <f t="shared" si="159"/>
        <v>SUN</v>
      </c>
      <c r="E613" s="73">
        <v>2054.5</v>
      </c>
      <c r="F613" s="73">
        <v>320.19</v>
      </c>
      <c r="G613" s="73">
        <v>95</v>
      </c>
      <c r="H613" s="73">
        <f t="shared" si="153"/>
        <v>82.18</v>
      </c>
      <c r="I613" s="73">
        <f t="shared" si="154"/>
        <v>5.3791919999999998</v>
      </c>
      <c r="J613" s="73">
        <v>15.84</v>
      </c>
      <c r="K613" s="73">
        <f t="shared" si="155"/>
        <v>232.630808</v>
      </c>
      <c r="L613" s="74">
        <v>6</v>
      </c>
      <c r="M613" s="74">
        <v>32</v>
      </c>
      <c r="N613" s="75">
        <f t="shared" si="156"/>
        <v>6.5333333333333332</v>
      </c>
      <c r="O613" s="73">
        <f t="shared" si="162"/>
        <v>13.915999999999999</v>
      </c>
      <c r="P613" s="73">
        <f t="shared" si="157"/>
        <v>262.38680800000003</v>
      </c>
      <c r="Q613" s="76">
        <f t="shared" si="158"/>
        <v>341.546808</v>
      </c>
      <c r="R613" s="30">
        <f>COUNTIF(RAW_DATA[[#This Row],[CONVERTED]],"&gt;0")</f>
        <v>1</v>
      </c>
      <c r="S613" s="30">
        <f>COUNTIFS(RAW_DATA[[#This Row],[AM/PM]],"AM",RAW_DATA[[#This Row],[CONVERTED]],"&gt;0")</f>
        <v>0</v>
      </c>
      <c r="T613" s="19">
        <f t="shared" si="161"/>
        <v>0</v>
      </c>
      <c r="U613" s="20" t="str">
        <f>IF(AND(S613=1,T884=1,B613="AM"),"DOUBLE",IF(AND(S612=1,N613&gt;0),"DOUBLE","SINGLE"))</f>
        <v>SINGLE</v>
      </c>
    </row>
    <row r="614" spans="1:21" x14ac:dyDescent="0.35">
      <c r="A614" s="70">
        <f t="shared" si="150"/>
        <v>45397</v>
      </c>
      <c r="B614" s="71" t="str">
        <f t="shared" si="151"/>
        <v>AM</v>
      </c>
      <c r="C614" s="72" t="str">
        <f t="shared" si="152"/>
        <v>April</v>
      </c>
      <c r="D614" s="13" t="str">
        <f t="shared" si="159"/>
        <v>MON</v>
      </c>
      <c r="E614" s="73">
        <v>0</v>
      </c>
      <c r="F614" s="73">
        <v>0</v>
      </c>
      <c r="G614" s="73">
        <v>0</v>
      </c>
      <c r="H614" s="73">
        <f t="shared" si="153"/>
        <v>0</v>
      </c>
      <c r="I614" s="73">
        <f t="shared" si="154"/>
        <v>0</v>
      </c>
      <c r="J614" s="73">
        <v>0</v>
      </c>
      <c r="K614" s="73">
        <f t="shared" si="155"/>
        <v>0</v>
      </c>
      <c r="L614" s="74">
        <v>0</v>
      </c>
      <c r="M614" s="74">
        <v>0</v>
      </c>
      <c r="N614" s="75">
        <f t="shared" si="156"/>
        <v>0</v>
      </c>
      <c r="O614" s="73">
        <f t="shared" si="162"/>
        <v>0</v>
      </c>
      <c r="P614" s="73">
        <f t="shared" si="157"/>
        <v>0</v>
      </c>
      <c r="Q614" s="76">
        <f t="shared" si="158"/>
        <v>0</v>
      </c>
      <c r="R614" s="30">
        <f>COUNTIF(RAW_DATA[[#This Row],[CONVERTED]],"&gt;0")</f>
        <v>0</v>
      </c>
      <c r="S614" s="30">
        <f>COUNTIFS(RAW_DATA[[#This Row],[AM/PM]],"AM",RAW_DATA[[#This Row],[CONVERTED]],"&gt;0")</f>
        <v>0</v>
      </c>
      <c r="T614" s="19">
        <f t="shared" si="161"/>
        <v>0</v>
      </c>
      <c r="U614" s="20" t="str">
        <f>IF(AND(S614=1,T615=1,B614="AM"),"DOUBLE",IF(AND(S613=1,N614&gt;0),"DOUBLE","SINGLE"))</f>
        <v>SINGLE</v>
      </c>
    </row>
    <row r="615" spans="1:21" x14ac:dyDescent="0.35">
      <c r="A615" s="70">
        <f t="shared" si="150"/>
        <v>45397</v>
      </c>
      <c r="B615" s="71" t="str">
        <f t="shared" si="151"/>
        <v>PM</v>
      </c>
      <c r="C615" s="72" t="str">
        <f t="shared" si="152"/>
        <v>April</v>
      </c>
      <c r="D615" s="13" t="str">
        <f t="shared" si="159"/>
        <v>MON</v>
      </c>
      <c r="E615" s="73">
        <v>0</v>
      </c>
      <c r="F615" s="73">
        <v>0</v>
      </c>
      <c r="G615" s="73">
        <v>0</v>
      </c>
      <c r="H615" s="73">
        <f t="shared" si="153"/>
        <v>0</v>
      </c>
      <c r="I615" s="73">
        <f t="shared" si="154"/>
        <v>0</v>
      </c>
      <c r="J615" s="73">
        <v>0</v>
      </c>
      <c r="K615" s="73">
        <f t="shared" si="155"/>
        <v>0</v>
      </c>
      <c r="L615" s="74">
        <v>0</v>
      </c>
      <c r="M615" s="74">
        <v>0</v>
      </c>
      <c r="N615" s="75">
        <f t="shared" si="156"/>
        <v>0</v>
      </c>
      <c r="O615" s="73">
        <f t="shared" si="162"/>
        <v>0</v>
      </c>
      <c r="P615" s="73">
        <f t="shared" si="157"/>
        <v>0</v>
      </c>
      <c r="Q615" s="76">
        <f t="shared" si="158"/>
        <v>0</v>
      </c>
      <c r="R615" s="30">
        <f>COUNTIF(RAW_DATA[[#This Row],[CONVERTED]],"&gt;0")</f>
        <v>0</v>
      </c>
      <c r="S615" s="30">
        <f>COUNTIFS(RAW_DATA[[#This Row],[AM/PM]],"AM",RAW_DATA[[#This Row],[CONVERTED]],"&gt;0")</f>
        <v>0</v>
      </c>
      <c r="T615" s="19">
        <f t="shared" si="161"/>
        <v>0</v>
      </c>
      <c r="U615" s="20" t="str">
        <f>IF(AND(S615=1,T616=1,B615="AM"),"DOUBLE",IF(AND(S614=1,N615&gt;0),"DOUBLE","SINGLE"))</f>
        <v>SINGLE</v>
      </c>
    </row>
    <row r="616" spans="1:21" x14ac:dyDescent="0.35">
      <c r="A616" s="70">
        <f t="shared" si="150"/>
        <v>45398</v>
      </c>
      <c r="B616" s="71" t="str">
        <f t="shared" si="151"/>
        <v>AM</v>
      </c>
      <c r="C616" s="72" t="str">
        <f t="shared" si="152"/>
        <v>April</v>
      </c>
      <c r="D616" s="13" t="str">
        <f t="shared" si="159"/>
        <v>TUE</v>
      </c>
      <c r="E616" s="73">
        <f>1354/2</f>
        <v>677</v>
      </c>
      <c r="F616" s="73">
        <f>261.87/2</f>
        <v>130.935</v>
      </c>
      <c r="G616" s="73">
        <f>38/2</f>
        <v>19</v>
      </c>
      <c r="H616" s="73">
        <f t="shared" si="153"/>
        <v>27.080000000000002</v>
      </c>
      <c r="I616" s="73">
        <f t="shared" si="154"/>
        <v>2.1997079999999998</v>
      </c>
      <c r="J616" s="73">
        <v>0</v>
      </c>
      <c r="K616" s="73">
        <f t="shared" si="155"/>
        <v>101.655292</v>
      </c>
      <c r="L616" s="74">
        <f>10/2</f>
        <v>5</v>
      </c>
      <c r="M616" s="74">
        <f>37/2</f>
        <v>18.5</v>
      </c>
      <c r="N616" s="75">
        <f t="shared" si="156"/>
        <v>5.3083333333333336</v>
      </c>
      <c r="O616" s="73">
        <f t="shared" si="162"/>
        <v>11.306749999999999</v>
      </c>
      <c r="P616" s="73">
        <f t="shared" si="157"/>
        <v>112.962042</v>
      </c>
      <c r="Q616" s="76">
        <f t="shared" si="158"/>
        <v>131.962042</v>
      </c>
      <c r="R616" s="30">
        <f>COUNTIF(RAW_DATA[[#This Row],[CONVERTED]],"&gt;0")</f>
        <v>1</v>
      </c>
      <c r="S616" s="30">
        <f>COUNTIFS(RAW_DATA[[#This Row],[AM/PM]],"AM",RAW_DATA[[#This Row],[CONVERTED]],"&gt;0")</f>
        <v>1</v>
      </c>
      <c r="T616" s="19">
        <f t="shared" si="161"/>
        <v>0</v>
      </c>
      <c r="U616" s="20" t="str">
        <f>IF(AND(S616=1,T617=1,B616="AM"),"DOUBLE",IF(AND(S615=1,N616&gt;0),"DOUBLE","SINGLE"))</f>
        <v>DOUBLE</v>
      </c>
    </row>
    <row r="617" spans="1:21" x14ac:dyDescent="0.35">
      <c r="A617" s="70">
        <f t="shared" si="150"/>
        <v>45398</v>
      </c>
      <c r="B617" s="71" t="str">
        <f t="shared" si="151"/>
        <v>PM</v>
      </c>
      <c r="C617" s="72" t="str">
        <f t="shared" si="152"/>
        <v>April</v>
      </c>
      <c r="D617" s="13" t="str">
        <f t="shared" si="159"/>
        <v>TUE</v>
      </c>
      <c r="E617" s="73">
        <f>1354/2</f>
        <v>677</v>
      </c>
      <c r="F617" s="73">
        <f>261.87/2</f>
        <v>130.935</v>
      </c>
      <c r="G617" s="73">
        <f>38/2</f>
        <v>19</v>
      </c>
      <c r="H617" s="73">
        <f t="shared" si="153"/>
        <v>27.080000000000002</v>
      </c>
      <c r="I617" s="73">
        <f t="shared" si="154"/>
        <v>2.1997079999999998</v>
      </c>
      <c r="J617" s="73">
        <v>0</v>
      </c>
      <c r="K617" s="73">
        <f t="shared" si="155"/>
        <v>101.655292</v>
      </c>
      <c r="L617" s="74">
        <f>10/2</f>
        <v>5</v>
      </c>
      <c r="M617" s="74">
        <f>37/2</f>
        <v>18.5</v>
      </c>
      <c r="N617" s="75">
        <f t="shared" si="156"/>
        <v>5.3083333333333336</v>
      </c>
      <c r="O617" s="73">
        <f t="shared" si="162"/>
        <v>11.306749999999999</v>
      </c>
      <c r="P617" s="73">
        <f t="shared" si="157"/>
        <v>112.962042</v>
      </c>
      <c r="Q617" s="76">
        <f t="shared" si="158"/>
        <v>131.962042</v>
      </c>
      <c r="R617" s="30">
        <f>COUNTIF(RAW_DATA[[#This Row],[CONVERTED]],"&gt;0")</f>
        <v>1</v>
      </c>
      <c r="S617" s="30">
        <f>COUNTIFS(RAW_DATA[[#This Row],[AM/PM]],"AM",RAW_DATA[[#This Row],[CONVERTED]],"&gt;0")</f>
        <v>0</v>
      </c>
      <c r="T617" s="19">
        <f t="shared" si="161"/>
        <v>1</v>
      </c>
      <c r="U617" s="20" t="str">
        <f>IF(AND(S617=1,T618=1,B617="AM"),"DOUBLE",IF(AND(S616=1,N617&gt;0),"DOUBLE","SINGLE"))</f>
        <v>DOUBLE</v>
      </c>
    </row>
    <row r="618" spans="1:21" x14ac:dyDescent="0.35">
      <c r="A618" s="77">
        <f t="shared" si="150"/>
        <v>45399</v>
      </c>
      <c r="B618" s="78" t="str">
        <f t="shared" si="151"/>
        <v>AM</v>
      </c>
      <c r="C618" s="79" t="str">
        <f t="shared" si="152"/>
        <v>April</v>
      </c>
      <c r="D618" s="57" t="str">
        <f t="shared" si="159"/>
        <v>WED</v>
      </c>
      <c r="E618" s="80">
        <v>421</v>
      </c>
      <c r="F618" s="80">
        <v>80.150000000000006</v>
      </c>
      <c r="G618" s="80">
        <v>0</v>
      </c>
      <c r="H618" s="80">
        <f t="shared" si="153"/>
        <v>16.84</v>
      </c>
      <c r="I618" s="80">
        <f t="shared" si="154"/>
        <v>1.3465199999999999</v>
      </c>
      <c r="J618" s="80">
        <v>0</v>
      </c>
      <c r="K618" s="80">
        <f t="shared" si="155"/>
        <v>61.963480000000004</v>
      </c>
      <c r="L618" s="81">
        <v>3</v>
      </c>
      <c r="M618" s="81">
        <v>26</v>
      </c>
      <c r="N618" s="82">
        <f t="shared" si="156"/>
        <v>3.4333333333333331</v>
      </c>
      <c r="O618" s="80">
        <f t="shared" si="162"/>
        <v>7.3129999999999988</v>
      </c>
      <c r="P618" s="80">
        <f t="shared" si="157"/>
        <v>69.276480000000006</v>
      </c>
      <c r="Q618" s="83">
        <f t="shared" si="158"/>
        <v>69.276480000000006</v>
      </c>
      <c r="R618" s="62">
        <f>COUNTIF(RAW_DATA[[#This Row],[CONVERTED]],"&gt;0")</f>
        <v>1</v>
      </c>
      <c r="S618" s="62">
        <f>COUNTIFS(RAW_DATA[[#This Row],[AM/PM]],"AM",RAW_DATA[[#This Row],[CONVERTED]],"&gt;0")</f>
        <v>1</v>
      </c>
      <c r="T618" s="63">
        <f t="shared" si="161"/>
        <v>0</v>
      </c>
      <c r="U618" s="64" t="str">
        <f>IF(AND(S618=1,T619=1,B618="AM"),"DOUBLE",IF(AND(S617=1,N618&gt;0),"DOUBLE","SINGLE"))</f>
        <v>DOUBLE</v>
      </c>
    </row>
    <row r="619" spans="1:21" x14ac:dyDescent="0.35">
      <c r="A619" s="70">
        <f t="shared" si="150"/>
        <v>45399</v>
      </c>
      <c r="B619" s="71" t="str">
        <f t="shared" si="151"/>
        <v>PM</v>
      </c>
      <c r="C619" s="72" t="str">
        <f t="shared" si="152"/>
        <v>April</v>
      </c>
      <c r="D619" s="13" t="str">
        <f t="shared" si="159"/>
        <v>WED</v>
      </c>
      <c r="E619" s="73">
        <v>801.5</v>
      </c>
      <c r="F619" s="73">
        <v>150.72999999999999</v>
      </c>
      <c r="G619" s="73">
        <v>21</v>
      </c>
      <c r="H619" s="73">
        <f t="shared" si="153"/>
        <v>32.06</v>
      </c>
      <c r="I619" s="73">
        <f t="shared" si="154"/>
        <v>2.5322639999999996</v>
      </c>
      <c r="J619" s="73">
        <v>0</v>
      </c>
      <c r="K619" s="73">
        <f t="shared" si="155"/>
        <v>116.13773599999999</v>
      </c>
      <c r="L619" s="74">
        <v>3</v>
      </c>
      <c r="M619" s="74">
        <v>57</v>
      </c>
      <c r="N619" s="75">
        <f t="shared" si="156"/>
        <v>3.95</v>
      </c>
      <c r="O619" s="73">
        <f t="shared" si="162"/>
        <v>8.4134999999999991</v>
      </c>
      <c r="P619" s="73">
        <f t="shared" si="157"/>
        <v>124.55123599999999</v>
      </c>
      <c r="Q619" s="76">
        <f t="shared" si="158"/>
        <v>145.55123599999999</v>
      </c>
      <c r="R619" s="30">
        <f>COUNTIF(RAW_DATA[[#This Row],[CONVERTED]],"&gt;0")</f>
        <v>1</v>
      </c>
      <c r="S619" s="30">
        <f>COUNTIFS(RAW_DATA[[#This Row],[AM/PM]],"AM",RAW_DATA[[#This Row],[CONVERTED]],"&gt;0")</f>
        <v>0</v>
      </c>
      <c r="T619" s="19">
        <f t="shared" si="161"/>
        <v>1</v>
      </c>
      <c r="U619" s="20" t="str">
        <f>IF(AND(S619=1,T884=1,B619="AM"),"DOUBLE",IF(AND(S618=1,N619&gt;0),"DOUBLE","SINGLE"))</f>
        <v>DOUBLE</v>
      </c>
    </row>
    <row r="620" spans="1:21" x14ac:dyDescent="0.35">
      <c r="A620" s="70">
        <f t="shared" si="150"/>
        <v>45400</v>
      </c>
      <c r="B620" s="71" t="str">
        <f t="shared" si="151"/>
        <v>AM</v>
      </c>
      <c r="C620" s="72" t="str">
        <f t="shared" si="152"/>
        <v>April</v>
      </c>
      <c r="D620" s="13" t="str">
        <f t="shared" si="159"/>
        <v>THU</v>
      </c>
      <c r="E620" s="73">
        <f>1205/2</f>
        <v>602.5</v>
      </c>
      <c r="F620" s="73">
        <f>210.72/2</f>
        <v>105.36</v>
      </c>
      <c r="G620" s="73">
        <f>23/2</f>
        <v>11.5</v>
      </c>
      <c r="H620" s="73">
        <f t="shared" si="153"/>
        <v>24.1</v>
      </c>
      <c r="I620" s="73">
        <f t="shared" si="154"/>
        <v>1.7700479999999998</v>
      </c>
      <c r="J620" s="73">
        <f>9.92/2</f>
        <v>4.96</v>
      </c>
      <c r="K620" s="73">
        <f t="shared" si="155"/>
        <v>79.489952000000002</v>
      </c>
      <c r="L620" s="74">
        <v>4</v>
      </c>
      <c r="M620" s="74">
        <f>49/2</f>
        <v>24.5</v>
      </c>
      <c r="N620" s="75">
        <f t="shared" si="156"/>
        <v>4.4083333333333332</v>
      </c>
      <c r="O620" s="73">
        <f t="shared" si="162"/>
        <v>9.3897499999999994</v>
      </c>
      <c r="P620" s="73">
        <f t="shared" si="157"/>
        <v>93.839701999999988</v>
      </c>
      <c r="Q620" s="76">
        <f t="shared" si="158"/>
        <v>100.37970200000001</v>
      </c>
      <c r="R620" s="30">
        <f>COUNTIF(RAW_DATA[[#This Row],[CONVERTED]],"&gt;0")</f>
        <v>1</v>
      </c>
      <c r="S620" s="30">
        <f>COUNTIFS(RAW_DATA[[#This Row],[AM/PM]],"AM",RAW_DATA[[#This Row],[CONVERTED]],"&gt;0")</f>
        <v>1</v>
      </c>
      <c r="T620" s="19">
        <f t="shared" si="161"/>
        <v>0</v>
      </c>
      <c r="U620" s="20" t="str">
        <f t="shared" ref="U620:U636" si="163">IF(AND(S620=1,T621=1,B620="AM"),"DOUBLE",IF(AND(S619=1,N620&gt;0),"DOUBLE","SINGLE"))</f>
        <v>DOUBLE</v>
      </c>
    </row>
    <row r="621" spans="1:21" x14ac:dyDescent="0.35">
      <c r="A621" s="70">
        <f t="shared" si="150"/>
        <v>45400</v>
      </c>
      <c r="B621" s="71" t="str">
        <f t="shared" si="151"/>
        <v>PM</v>
      </c>
      <c r="C621" s="72" t="str">
        <f t="shared" si="152"/>
        <v>April</v>
      </c>
      <c r="D621" s="13" t="str">
        <f t="shared" si="159"/>
        <v>THU</v>
      </c>
      <c r="E621" s="73">
        <f>1205/2</f>
        <v>602.5</v>
      </c>
      <c r="F621" s="73">
        <f>210.72/2</f>
        <v>105.36</v>
      </c>
      <c r="G621" s="73">
        <f>23/2</f>
        <v>11.5</v>
      </c>
      <c r="H621" s="73">
        <f t="shared" si="153"/>
        <v>24.1</v>
      </c>
      <c r="I621" s="73">
        <f t="shared" si="154"/>
        <v>1.7700479999999998</v>
      </c>
      <c r="J621" s="73">
        <v>0</v>
      </c>
      <c r="K621" s="73">
        <f t="shared" si="155"/>
        <v>79.489952000000002</v>
      </c>
      <c r="L621" s="74">
        <v>4</v>
      </c>
      <c r="M621" s="74">
        <f>49/2</f>
        <v>24.5</v>
      </c>
      <c r="N621" s="75">
        <f t="shared" si="156"/>
        <v>4.4083333333333332</v>
      </c>
      <c r="O621" s="73">
        <f t="shared" si="162"/>
        <v>9.3897499999999994</v>
      </c>
      <c r="P621" s="73">
        <f t="shared" si="157"/>
        <v>88.879702000000009</v>
      </c>
      <c r="Q621" s="76">
        <f t="shared" si="158"/>
        <v>100.37970200000001</v>
      </c>
      <c r="R621" s="30">
        <f>COUNTIF(RAW_DATA[[#This Row],[CONVERTED]],"&gt;0")</f>
        <v>1</v>
      </c>
      <c r="S621" s="30">
        <f>COUNTIFS(RAW_DATA[[#This Row],[AM/PM]],"AM",RAW_DATA[[#This Row],[CONVERTED]],"&gt;0")</f>
        <v>0</v>
      </c>
      <c r="T621" s="19">
        <f t="shared" si="161"/>
        <v>1</v>
      </c>
      <c r="U621" s="20" t="str">
        <f t="shared" si="163"/>
        <v>DOUBLE</v>
      </c>
    </row>
    <row r="622" spans="1:21" x14ac:dyDescent="0.35">
      <c r="A622" s="70">
        <f t="shared" si="150"/>
        <v>45401</v>
      </c>
      <c r="B622" s="71" t="str">
        <f t="shared" si="151"/>
        <v>AM</v>
      </c>
      <c r="C622" s="72" t="str">
        <f t="shared" si="152"/>
        <v>April</v>
      </c>
      <c r="D622" s="13" t="str">
        <f t="shared" si="159"/>
        <v>FRI</v>
      </c>
      <c r="E622" s="73">
        <v>0</v>
      </c>
      <c r="F622" s="73">
        <v>0</v>
      </c>
      <c r="G622" s="73">
        <v>0</v>
      </c>
      <c r="H622" s="73">
        <f t="shared" si="153"/>
        <v>0</v>
      </c>
      <c r="I622" s="73">
        <f t="shared" si="154"/>
        <v>0</v>
      </c>
      <c r="J622" s="73">
        <v>0</v>
      </c>
      <c r="K622" s="73">
        <f t="shared" si="155"/>
        <v>0</v>
      </c>
      <c r="L622" s="74">
        <v>0</v>
      </c>
      <c r="M622" s="74">
        <v>0</v>
      </c>
      <c r="N622" s="75">
        <f t="shared" si="156"/>
        <v>0</v>
      </c>
      <c r="O622" s="73">
        <f t="shared" si="162"/>
        <v>0</v>
      </c>
      <c r="P622" s="73">
        <f t="shared" si="157"/>
        <v>0</v>
      </c>
      <c r="Q622" s="76">
        <f t="shared" si="158"/>
        <v>0</v>
      </c>
      <c r="R622" s="30">
        <f>COUNTIF(RAW_DATA[[#This Row],[CONVERTED]],"&gt;0")</f>
        <v>0</v>
      </c>
      <c r="S622" s="30">
        <f>COUNTIFS(RAW_DATA[[#This Row],[AM/PM]],"AM",RAW_DATA[[#This Row],[CONVERTED]],"&gt;0")</f>
        <v>0</v>
      </c>
      <c r="T622" s="19">
        <f t="shared" si="161"/>
        <v>0</v>
      </c>
      <c r="U622" s="20" t="str">
        <f t="shared" si="163"/>
        <v>SINGLE</v>
      </c>
    </row>
    <row r="623" spans="1:21" x14ac:dyDescent="0.35">
      <c r="A623" s="70">
        <f t="shared" si="150"/>
        <v>45401</v>
      </c>
      <c r="B623" s="71" t="str">
        <f t="shared" si="151"/>
        <v>PM</v>
      </c>
      <c r="C623" s="72" t="str">
        <f t="shared" si="152"/>
        <v>April</v>
      </c>
      <c r="D623" s="13" t="str">
        <f t="shared" si="159"/>
        <v>FRI</v>
      </c>
      <c r="E623" s="73">
        <v>1313.5</v>
      </c>
      <c r="F623" s="73">
        <v>238.9</v>
      </c>
      <c r="G623" s="73">
        <v>20</v>
      </c>
      <c r="H623" s="73">
        <f t="shared" si="153"/>
        <v>52.54</v>
      </c>
      <c r="I623" s="73">
        <f t="shared" si="154"/>
        <v>4.0135199999999998</v>
      </c>
      <c r="J623" s="73">
        <v>0</v>
      </c>
      <c r="K623" s="73">
        <f t="shared" si="155"/>
        <v>182.34648000000001</v>
      </c>
      <c r="L623" s="74">
        <v>6</v>
      </c>
      <c r="M623" s="74">
        <v>28</v>
      </c>
      <c r="N623" s="75">
        <f t="shared" si="156"/>
        <v>6.4666666666666668</v>
      </c>
      <c r="O623" s="73">
        <f t="shared" si="162"/>
        <v>13.773999999999999</v>
      </c>
      <c r="P623" s="73">
        <f t="shared" si="157"/>
        <v>196.12048000000001</v>
      </c>
      <c r="Q623" s="76">
        <f t="shared" si="158"/>
        <v>216.12048000000001</v>
      </c>
      <c r="R623" s="30">
        <f>COUNTIF(RAW_DATA[[#This Row],[CONVERTED]],"&gt;0")</f>
        <v>1</v>
      </c>
      <c r="S623" s="30">
        <f>COUNTIFS(RAW_DATA[[#This Row],[AM/PM]],"AM",RAW_DATA[[#This Row],[CONVERTED]],"&gt;0")</f>
        <v>0</v>
      </c>
      <c r="T623" s="19">
        <f t="shared" si="161"/>
        <v>0</v>
      </c>
      <c r="U623" s="20" t="str">
        <f t="shared" si="163"/>
        <v>SINGLE</v>
      </c>
    </row>
    <row r="624" spans="1:21" x14ac:dyDescent="0.35">
      <c r="A624" s="70">
        <f t="shared" si="150"/>
        <v>45402</v>
      </c>
      <c r="B624" s="71" t="str">
        <f t="shared" si="151"/>
        <v>AM</v>
      </c>
      <c r="C624" s="72" t="str">
        <f t="shared" si="152"/>
        <v>April</v>
      </c>
      <c r="D624" s="13" t="str">
        <f t="shared" si="159"/>
        <v>SAT</v>
      </c>
      <c r="E624" s="73">
        <f>2224/2</f>
        <v>1112</v>
      </c>
      <c r="F624" s="73">
        <f>347.63/2</f>
        <v>173.815</v>
      </c>
      <c r="G624" s="73">
        <f>136/2</f>
        <v>68</v>
      </c>
      <c r="H624" s="73">
        <f t="shared" si="153"/>
        <v>44.480000000000004</v>
      </c>
      <c r="I624" s="73">
        <f t="shared" si="154"/>
        <v>2.9200919999999999</v>
      </c>
      <c r="J624" s="73">
        <f>17.72/2</f>
        <v>8.86</v>
      </c>
      <c r="K624" s="73">
        <f t="shared" si="155"/>
        <v>126.414908</v>
      </c>
      <c r="L624" s="74">
        <v>4</v>
      </c>
      <c r="M624" s="74">
        <f>47/2</f>
        <v>23.5</v>
      </c>
      <c r="N624" s="75">
        <f t="shared" si="156"/>
        <v>4.3916666666666666</v>
      </c>
      <c r="O624" s="73">
        <f t="shared" si="162"/>
        <v>9.3542499999999986</v>
      </c>
      <c r="P624" s="73">
        <f t="shared" si="157"/>
        <v>144.62915799999999</v>
      </c>
      <c r="Q624" s="76">
        <f t="shared" si="158"/>
        <v>203.769158</v>
      </c>
      <c r="R624" s="30">
        <f>COUNTIF(RAW_DATA[[#This Row],[CONVERTED]],"&gt;0")</f>
        <v>1</v>
      </c>
      <c r="S624" s="30">
        <f>COUNTIFS(RAW_DATA[[#This Row],[AM/PM]],"AM",RAW_DATA[[#This Row],[CONVERTED]],"&gt;0")</f>
        <v>1</v>
      </c>
      <c r="T624" s="19">
        <f t="shared" si="161"/>
        <v>0</v>
      </c>
      <c r="U624" s="20" t="str">
        <f t="shared" si="163"/>
        <v>DOUBLE</v>
      </c>
    </row>
    <row r="625" spans="1:21" x14ac:dyDescent="0.35">
      <c r="A625" s="70">
        <f t="shared" si="150"/>
        <v>45402</v>
      </c>
      <c r="B625" s="71" t="str">
        <f t="shared" si="151"/>
        <v>PM</v>
      </c>
      <c r="C625" s="72" t="str">
        <f t="shared" si="152"/>
        <v>April</v>
      </c>
      <c r="D625" s="13" t="str">
        <f t="shared" si="159"/>
        <v>SAT</v>
      </c>
      <c r="E625" s="73">
        <f>2224/2</f>
        <v>1112</v>
      </c>
      <c r="F625" s="73">
        <f>347.63/2</f>
        <v>173.815</v>
      </c>
      <c r="G625" s="73">
        <f>136/2</f>
        <v>68</v>
      </c>
      <c r="H625" s="73">
        <f t="shared" si="153"/>
        <v>44.480000000000004</v>
      </c>
      <c r="I625" s="73">
        <f t="shared" si="154"/>
        <v>2.9200919999999999</v>
      </c>
      <c r="J625" s="73">
        <f>17.72/2</f>
        <v>8.86</v>
      </c>
      <c r="K625" s="73">
        <f t="shared" si="155"/>
        <v>126.414908</v>
      </c>
      <c r="L625" s="74">
        <v>5</v>
      </c>
      <c r="M625" s="74">
        <f>47/2</f>
        <v>23.5</v>
      </c>
      <c r="N625" s="75">
        <f t="shared" si="156"/>
        <v>5.3916666666666666</v>
      </c>
      <c r="O625" s="73">
        <f t="shared" si="162"/>
        <v>11.484249999999999</v>
      </c>
      <c r="P625" s="73">
        <f t="shared" si="157"/>
        <v>146.75915799999999</v>
      </c>
      <c r="Q625" s="76">
        <f t="shared" si="158"/>
        <v>205.899158</v>
      </c>
      <c r="R625" s="30">
        <f>COUNTIF(RAW_DATA[[#This Row],[CONVERTED]],"&gt;0")</f>
        <v>1</v>
      </c>
      <c r="S625" s="30">
        <f>COUNTIFS(RAW_DATA[[#This Row],[AM/PM]],"AM",RAW_DATA[[#This Row],[CONVERTED]],"&gt;0")</f>
        <v>0</v>
      </c>
      <c r="T625" s="19">
        <f t="shared" si="161"/>
        <v>1</v>
      </c>
      <c r="U625" s="20" t="str">
        <f t="shared" si="163"/>
        <v>DOUBLE</v>
      </c>
    </row>
    <row r="626" spans="1:21" x14ac:dyDescent="0.35">
      <c r="A626" s="70">
        <f t="shared" si="150"/>
        <v>45403</v>
      </c>
      <c r="B626" s="71" t="str">
        <f t="shared" si="151"/>
        <v>AM</v>
      </c>
      <c r="C626" s="72" t="str">
        <f t="shared" si="152"/>
        <v>April</v>
      </c>
      <c r="D626" s="13" t="str">
        <f t="shared" si="159"/>
        <v>SUN</v>
      </c>
      <c r="E626" s="73">
        <v>0</v>
      </c>
      <c r="F626" s="73">
        <v>0</v>
      </c>
      <c r="G626" s="73">
        <v>0</v>
      </c>
      <c r="H626" s="73">
        <f t="shared" si="153"/>
        <v>0</v>
      </c>
      <c r="I626" s="73">
        <f t="shared" si="154"/>
        <v>0</v>
      </c>
      <c r="J626" s="73">
        <v>0</v>
      </c>
      <c r="K626" s="73">
        <f t="shared" si="155"/>
        <v>0</v>
      </c>
      <c r="L626" s="74">
        <v>0</v>
      </c>
      <c r="M626" s="74">
        <v>0</v>
      </c>
      <c r="N626" s="75">
        <f t="shared" si="156"/>
        <v>0</v>
      </c>
      <c r="O626" s="73">
        <f t="shared" si="162"/>
        <v>0</v>
      </c>
      <c r="P626" s="73">
        <f t="shared" si="157"/>
        <v>0</v>
      </c>
      <c r="Q626" s="76">
        <f t="shared" si="158"/>
        <v>0</v>
      </c>
      <c r="R626" s="30">
        <f>COUNTIF(RAW_DATA[[#This Row],[CONVERTED]],"&gt;0")</f>
        <v>0</v>
      </c>
      <c r="S626" s="30">
        <f>COUNTIFS(RAW_DATA[[#This Row],[AM/PM]],"AM",RAW_DATA[[#This Row],[CONVERTED]],"&gt;0")</f>
        <v>0</v>
      </c>
      <c r="T626" s="19">
        <f t="shared" si="161"/>
        <v>0</v>
      </c>
      <c r="U626" s="20" t="str">
        <f t="shared" si="163"/>
        <v>SINGLE</v>
      </c>
    </row>
    <row r="627" spans="1:21" x14ac:dyDescent="0.35">
      <c r="A627" s="70">
        <f t="shared" si="150"/>
        <v>45403</v>
      </c>
      <c r="B627" s="71" t="str">
        <f t="shared" si="151"/>
        <v>PM</v>
      </c>
      <c r="C627" s="72" t="str">
        <f t="shared" si="152"/>
        <v>April</v>
      </c>
      <c r="D627" s="13" t="str">
        <f t="shared" si="159"/>
        <v>SUN</v>
      </c>
      <c r="E627" s="73">
        <v>0</v>
      </c>
      <c r="F627" s="73">
        <v>0</v>
      </c>
      <c r="G627" s="73">
        <v>0</v>
      </c>
      <c r="H627" s="73">
        <f t="shared" si="153"/>
        <v>0</v>
      </c>
      <c r="I627" s="73">
        <f t="shared" si="154"/>
        <v>0</v>
      </c>
      <c r="J627" s="73">
        <v>0</v>
      </c>
      <c r="K627" s="73">
        <f t="shared" si="155"/>
        <v>0</v>
      </c>
      <c r="L627" s="74">
        <v>0</v>
      </c>
      <c r="M627" s="74">
        <v>0</v>
      </c>
      <c r="N627" s="75">
        <f t="shared" si="156"/>
        <v>0</v>
      </c>
      <c r="O627" s="73">
        <f t="shared" si="162"/>
        <v>0</v>
      </c>
      <c r="P627" s="73">
        <f t="shared" si="157"/>
        <v>0</v>
      </c>
      <c r="Q627" s="76">
        <f t="shared" si="158"/>
        <v>0</v>
      </c>
      <c r="R627" s="30">
        <f>COUNTIF(RAW_DATA[[#This Row],[CONVERTED]],"&gt;0")</f>
        <v>0</v>
      </c>
      <c r="S627" s="30">
        <f>COUNTIFS(RAW_DATA[[#This Row],[AM/PM]],"AM",RAW_DATA[[#This Row],[CONVERTED]],"&gt;0")</f>
        <v>0</v>
      </c>
      <c r="T627" s="19">
        <f t="shared" si="161"/>
        <v>0</v>
      </c>
      <c r="U627" s="20" t="str">
        <f t="shared" si="163"/>
        <v>SINGLE</v>
      </c>
    </row>
    <row r="628" spans="1:21" x14ac:dyDescent="0.35">
      <c r="A628" s="70">
        <f t="shared" si="150"/>
        <v>45404</v>
      </c>
      <c r="B628" s="71" t="str">
        <f t="shared" si="151"/>
        <v>AM</v>
      </c>
      <c r="C628" s="72" t="str">
        <f t="shared" si="152"/>
        <v>April</v>
      </c>
      <c r="D628" s="13" t="str">
        <f t="shared" si="159"/>
        <v>MON</v>
      </c>
      <c r="E628" s="73">
        <v>240</v>
      </c>
      <c r="F628" s="73">
        <v>43.31</v>
      </c>
      <c r="G628" s="73">
        <v>0</v>
      </c>
      <c r="H628" s="73">
        <f t="shared" si="153"/>
        <v>9.6</v>
      </c>
      <c r="I628" s="73">
        <f t="shared" si="154"/>
        <v>0.72760800000000003</v>
      </c>
      <c r="J628" s="73">
        <v>0</v>
      </c>
      <c r="K628" s="73">
        <f t="shared" si="155"/>
        <v>32.982392000000004</v>
      </c>
      <c r="L628" s="74">
        <v>2</v>
      </c>
      <c r="M628" s="74">
        <v>11</v>
      </c>
      <c r="N628" s="75">
        <f t="shared" si="156"/>
        <v>2.1833333333333331</v>
      </c>
      <c r="O628" s="73">
        <f t="shared" si="162"/>
        <v>4.6504999999999992</v>
      </c>
      <c r="P628" s="73">
        <f t="shared" si="157"/>
        <v>37.632892000000005</v>
      </c>
      <c r="Q628" s="76">
        <f t="shared" si="158"/>
        <v>37.632892000000005</v>
      </c>
      <c r="R628" s="30">
        <f>COUNTIF(RAW_DATA[[#This Row],[CONVERTED]],"&gt;0")</f>
        <v>1</v>
      </c>
      <c r="S628" s="30">
        <f>COUNTIFS(RAW_DATA[[#This Row],[AM/PM]],"AM",RAW_DATA[[#This Row],[CONVERTED]],"&gt;0")</f>
        <v>1</v>
      </c>
      <c r="T628" s="19">
        <f t="shared" si="161"/>
        <v>0</v>
      </c>
      <c r="U628" s="20" t="str">
        <f t="shared" si="163"/>
        <v>SINGLE</v>
      </c>
    </row>
    <row r="629" spans="1:21" x14ac:dyDescent="0.35">
      <c r="A629" s="70">
        <f t="shared" si="150"/>
        <v>45404</v>
      </c>
      <c r="B629" s="71" t="str">
        <f t="shared" si="151"/>
        <v>PM</v>
      </c>
      <c r="C629" s="72" t="str">
        <f t="shared" si="152"/>
        <v>April</v>
      </c>
      <c r="D629" s="13" t="str">
        <f t="shared" si="159"/>
        <v>MON</v>
      </c>
      <c r="E629" s="73">
        <v>0</v>
      </c>
      <c r="F629" s="73">
        <v>0</v>
      </c>
      <c r="G629" s="73">
        <v>0</v>
      </c>
      <c r="H629" s="73">
        <f t="shared" si="153"/>
        <v>0</v>
      </c>
      <c r="I629" s="73">
        <f t="shared" si="154"/>
        <v>0</v>
      </c>
      <c r="J629" s="73">
        <v>0</v>
      </c>
      <c r="K629" s="73">
        <f t="shared" si="155"/>
        <v>0</v>
      </c>
      <c r="L629" s="74">
        <v>0</v>
      </c>
      <c r="M629" s="74">
        <v>0</v>
      </c>
      <c r="N629" s="75">
        <f t="shared" si="156"/>
        <v>0</v>
      </c>
      <c r="O629" s="73">
        <f t="shared" si="162"/>
        <v>0</v>
      </c>
      <c r="P629" s="73">
        <f t="shared" si="157"/>
        <v>0</v>
      </c>
      <c r="Q629" s="76">
        <f t="shared" si="158"/>
        <v>0</v>
      </c>
      <c r="R629" s="30">
        <f>COUNTIF(RAW_DATA[[#This Row],[CONVERTED]],"&gt;0")</f>
        <v>0</v>
      </c>
      <c r="S629" s="30">
        <f>COUNTIFS(RAW_DATA[[#This Row],[AM/PM]],"AM",RAW_DATA[[#This Row],[CONVERTED]],"&gt;0")</f>
        <v>0</v>
      </c>
      <c r="T629" s="19">
        <f t="shared" si="161"/>
        <v>0</v>
      </c>
      <c r="U629" s="20" t="str">
        <f t="shared" si="163"/>
        <v>SINGLE</v>
      </c>
    </row>
    <row r="630" spans="1:21" x14ac:dyDescent="0.35">
      <c r="A630" s="70">
        <f t="shared" si="150"/>
        <v>45405</v>
      </c>
      <c r="B630" s="71" t="str">
        <f t="shared" si="151"/>
        <v>AM</v>
      </c>
      <c r="C630" s="72" t="str">
        <f t="shared" si="152"/>
        <v>April</v>
      </c>
      <c r="D630" s="13" t="str">
        <f t="shared" si="159"/>
        <v>TUE</v>
      </c>
      <c r="E630" s="73">
        <v>0</v>
      </c>
      <c r="F630" s="73">
        <v>0</v>
      </c>
      <c r="G630" s="73">
        <v>0</v>
      </c>
      <c r="H630" s="73">
        <f t="shared" si="153"/>
        <v>0</v>
      </c>
      <c r="I630" s="73">
        <f t="shared" si="154"/>
        <v>0</v>
      </c>
      <c r="J630" s="73">
        <v>0</v>
      </c>
      <c r="K630" s="73">
        <f t="shared" si="155"/>
        <v>0</v>
      </c>
      <c r="L630" s="74">
        <v>0</v>
      </c>
      <c r="M630" s="74">
        <v>0</v>
      </c>
      <c r="N630" s="75">
        <f t="shared" si="156"/>
        <v>0</v>
      </c>
      <c r="O630" s="73">
        <f t="shared" si="162"/>
        <v>0</v>
      </c>
      <c r="P630" s="73">
        <f t="shared" si="157"/>
        <v>0</v>
      </c>
      <c r="Q630" s="76">
        <f t="shared" si="158"/>
        <v>0</v>
      </c>
      <c r="R630" s="30">
        <f>COUNTIF(RAW_DATA[[#This Row],[CONVERTED]],"&gt;0")</f>
        <v>0</v>
      </c>
      <c r="S630" s="30">
        <f>COUNTIFS(RAW_DATA[[#This Row],[AM/PM]],"AM",RAW_DATA[[#This Row],[CONVERTED]],"&gt;0")</f>
        <v>0</v>
      </c>
      <c r="T630" s="19">
        <f t="shared" si="161"/>
        <v>0</v>
      </c>
      <c r="U630" s="20" t="str">
        <f t="shared" si="163"/>
        <v>SINGLE</v>
      </c>
    </row>
    <row r="631" spans="1:21" x14ac:dyDescent="0.35">
      <c r="A631" s="70">
        <f t="shared" si="150"/>
        <v>45405</v>
      </c>
      <c r="B631" s="71" t="str">
        <f t="shared" si="151"/>
        <v>PM</v>
      </c>
      <c r="C631" s="72" t="str">
        <f t="shared" si="152"/>
        <v>April</v>
      </c>
      <c r="D631" s="13" t="str">
        <f t="shared" si="159"/>
        <v>TUE</v>
      </c>
      <c r="E631" s="73">
        <v>0</v>
      </c>
      <c r="F631" s="73">
        <v>0</v>
      </c>
      <c r="G631" s="73">
        <v>0</v>
      </c>
      <c r="H631" s="73">
        <f t="shared" si="153"/>
        <v>0</v>
      </c>
      <c r="I631" s="73">
        <f t="shared" si="154"/>
        <v>0</v>
      </c>
      <c r="J631" s="73">
        <v>0</v>
      </c>
      <c r="K631" s="73">
        <f t="shared" si="155"/>
        <v>0</v>
      </c>
      <c r="L631" s="74">
        <v>0</v>
      </c>
      <c r="M631" s="74">
        <v>0</v>
      </c>
      <c r="N631" s="75">
        <f t="shared" si="156"/>
        <v>0</v>
      </c>
      <c r="O631" s="73">
        <f t="shared" si="162"/>
        <v>0</v>
      </c>
      <c r="P631" s="73">
        <f t="shared" si="157"/>
        <v>0</v>
      </c>
      <c r="Q631" s="76">
        <f t="shared" si="158"/>
        <v>0</v>
      </c>
      <c r="R631" s="30">
        <f>COUNTIF(RAW_DATA[[#This Row],[CONVERTED]],"&gt;0")</f>
        <v>0</v>
      </c>
      <c r="S631" s="30">
        <f>COUNTIFS(RAW_DATA[[#This Row],[AM/PM]],"AM",RAW_DATA[[#This Row],[CONVERTED]],"&gt;0")</f>
        <v>0</v>
      </c>
      <c r="T631" s="19">
        <f t="shared" si="161"/>
        <v>0</v>
      </c>
      <c r="U631" s="20" t="str">
        <f t="shared" si="163"/>
        <v>SINGLE</v>
      </c>
    </row>
    <row r="632" spans="1:21" x14ac:dyDescent="0.35">
      <c r="A632" s="77">
        <f t="shared" si="150"/>
        <v>45406</v>
      </c>
      <c r="B632" s="78" t="str">
        <f t="shared" si="151"/>
        <v>AM</v>
      </c>
      <c r="C632" s="79" t="str">
        <f t="shared" si="152"/>
        <v>April</v>
      </c>
      <c r="D632" s="57" t="str">
        <f t="shared" si="159"/>
        <v>WED</v>
      </c>
      <c r="E632" s="80">
        <v>0</v>
      </c>
      <c r="F632" s="80">
        <v>0</v>
      </c>
      <c r="G632" s="80">
        <v>0</v>
      </c>
      <c r="H632" s="80">
        <f t="shared" si="153"/>
        <v>0</v>
      </c>
      <c r="I632" s="80">
        <f t="shared" si="154"/>
        <v>0</v>
      </c>
      <c r="J632" s="80">
        <v>0</v>
      </c>
      <c r="K632" s="80">
        <f t="shared" si="155"/>
        <v>0</v>
      </c>
      <c r="L632" s="81">
        <v>0</v>
      </c>
      <c r="M632" s="81">
        <v>0</v>
      </c>
      <c r="N632" s="82">
        <f t="shared" si="156"/>
        <v>0</v>
      </c>
      <c r="O632" s="80">
        <f t="shared" si="162"/>
        <v>0</v>
      </c>
      <c r="P632" s="80">
        <f t="shared" si="157"/>
        <v>0</v>
      </c>
      <c r="Q632" s="83">
        <f t="shared" si="158"/>
        <v>0</v>
      </c>
      <c r="R632" s="62">
        <f>COUNTIF(RAW_DATA[[#This Row],[CONVERTED]],"&gt;0")</f>
        <v>0</v>
      </c>
      <c r="S632" s="62">
        <f>COUNTIFS(RAW_DATA[[#This Row],[AM/PM]],"AM",RAW_DATA[[#This Row],[CONVERTED]],"&gt;0")</f>
        <v>0</v>
      </c>
      <c r="T632" s="63">
        <f t="shared" si="161"/>
        <v>0</v>
      </c>
      <c r="U632" s="64" t="str">
        <f t="shared" si="163"/>
        <v>SINGLE</v>
      </c>
    </row>
    <row r="633" spans="1:21" x14ac:dyDescent="0.35">
      <c r="A633" s="70">
        <f t="shared" si="150"/>
        <v>45406</v>
      </c>
      <c r="B633" s="71" t="str">
        <f t="shared" si="151"/>
        <v>PM</v>
      </c>
      <c r="C633" s="72" t="str">
        <f t="shared" si="152"/>
        <v>April</v>
      </c>
      <c r="D633" s="13" t="str">
        <f t="shared" si="159"/>
        <v>WED</v>
      </c>
      <c r="E633" s="73">
        <v>0</v>
      </c>
      <c r="F633" s="73">
        <v>0</v>
      </c>
      <c r="G633" s="73">
        <v>0</v>
      </c>
      <c r="H633" s="73">
        <f t="shared" si="153"/>
        <v>0</v>
      </c>
      <c r="I633" s="73">
        <f t="shared" si="154"/>
        <v>0</v>
      </c>
      <c r="J633" s="73">
        <v>0</v>
      </c>
      <c r="K633" s="73">
        <f t="shared" si="155"/>
        <v>0</v>
      </c>
      <c r="L633" s="74">
        <v>0</v>
      </c>
      <c r="M633" s="74">
        <v>0</v>
      </c>
      <c r="N633" s="75">
        <f t="shared" si="156"/>
        <v>0</v>
      </c>
      <c r="O633" s="73">
        <f t="shared" si="162"/>
        <v>0</v>
      </c>
      <c r="P633" s="73">
        <f t="shared" si="157"/>
        <v>0</v>
      </c>
      <c r="Q633" s="76">
        <f t="shared" si="158"/>
        <v>0</v>
      </c>
      <c r="R633" s="30">
        <f>COUNTIF(RAW_DATA[[#This Row],[CONVERTED]],"&gt;0")</f>
        <v>0</v>
      </c>
      <c r="S633" s="30">
        <f>COUNTIFS(RAW_DATA[[#This Row],[AM/PM]],"AM",RAW_DATA[[#This Row],[CONVERTED]],"&gt;0")</f>
        <v>0</v>
      </c>
      <c r="T633" s="19">
        <f t="shared" si="161"/>
        <v>0</v>
      </c>
      <c r="U633" s="20" t="str">
        <f t="shared" si="163"/>
        <v>SINGLE</v>
      </c>
    </row>
    <row r="634" spans="1:21" x14ac:dyDescent="0.35">
      <c r="A634" s="70">
        <f t="shared" si="150"/>
        <v>45407</v>
      </c>
      <c r="B634" s="71" t="str">
        <f t="shared" si="151"/>
        <v>AM</v>
      </c>
      <c r="C634" s="72" t="str">
        <f t="shared" si="152"/>
        <v>April</v>
      </c>
      <c r="D634" s="13" t="str">
        <f t="shared" si="159"/>
        <v>THU</v>
      </c>
      <c r="E634" s="73">
        <v>0</v>
      </c>
      <c r="F634" s="73">
        <v>0</v>
      </c>
      <c r="G634" s="73">
        <v>0</v>
      </c>
      <c r="H634" s="73">
        <f t="shared" si="153"/>
        <v>0</v>
      </c>
      <c r="I634" s="73">
        <f t="shared" si="154"/>
        <v>0</v>
      </c>
      <c r="J634" s="73">
        <v>0</v>
      </c>
      <c r="K634" s="73">
        <f t="shared" si="155"/>
        <v>0</v>
      </c>
      <c r="L634" s="74">
        <v>0</v>
      </c>
      <c r="M634" s="74">
        <v>0</v>
      </c>
      <c r="N634" s="75">
        <f t="shared" si="156"/>
        <v>0</v>
      </c>
      <c r="O634" s="73">
        <f t="shared" si="162"/>
        <v>0</v>
      </c>
      <c r="P634" s="73">
        <f t="shared" si="157"/>
        <v>0</v>
      </c>
      <c r="Q634" s="76">
        <f t="shared" si="158"/>
        <v>0</v>
      </c>
      <c r="R634" s="30">
        <f>COUNTIF(RAW_DATA[[#This Row],[CONVERTED]],"&gt;0")</f>
        <v>0</v>
      </c>
      <c r="S634" s="30">
        <f>COUNTIFS(RAW_DATA[[#This Row],[AM/PM]],"AM",RAW_DATA[[#This Row],[CONVERTED]],"&gt;0")</f>
        <v>0</v>
      </c>
      <c r="T634" s="19">
        <f t="shared" si="161"/>
        <v>0</v>
      </c>
      <c r="U634" s="20" t="str">
        <f t="shared" si="163"/>
        <v>SINGLE</v>
      </c>
    </row>
    <row r="635" spans="1:21" x14ac:dyDescent="0.35">
      <c r="A635" s="70">
        <f t="shared" si="150"/>
        <v>45407</v>
      </c>
      <c r="B635" s="71" t="str">
        <f t="shared" si="151"/>
        <v>PM</v>
      </c>
      <c r="C635" s="72" t="str">
        <f t="shared" si="152"/>
        <v>April</v>
      </c>
      <c r="D635" s="13" t="str">
        <f t="shared" si="159"/>
        <v>THU</v>
      </c>
      <c r="E635" s="73">
        <v>0</v>
      </c>
      <c r="F635" s="73">
        <v>0</v>
      </c>
      <c r="G635" s="73">
        <v>0</v>
      </c>
      <c r="H635" s="73">
        <f t="shared" si="153"/>
        <v>0</v>
      </c>
      <c r="I635" s="73">
        <f t="shared" si="154"/>
        <v>0</v>
      </c>
      <c r="J635" s="73">
        <v>0</v>
      </c>
      <c r="K635" s="73">
        <f t="shared" si="155"/>
        <v>0</v>
      </c>
      <c r="L635" s="74">
        <v>0</v>
      </c>
      <c r="M635" s="74">
        <v>0</v>
      </c>
      <c r="N635" s="75">
        <f t="shared" si="156"/>
        <v>0</v>
      </c>
      <c r="O635" s="73">
        <f t="shared" si="162"/>
        <v>0</v>
      </c>
      <c r="P635" s="73">
        <f t="shared" si="157"/>
        <v>0</v>
      </c>
      <c r="Q635" s="76">
        <f t="shared" si="158"/>
        <v>0</v>
      </c>
      <c r="R635" s="30">
        <f>COUNTIF(RAW_DATA[[#This Row],[CONVERTED]],"&gt;0")</f>
        <v>0</v>
      </c>
      <c r="S635" s="30">
        <f>COUNTIFS(RAW_DATA[[#This Row],[AM/PM]],"AM",RAW_DATA[[#This Row],[CONVERTED]],"&gt;0")</f>
        <v>0</v>
      </c>
      <c r="T635" s="19">
        <f t="shared" si="161"/>
        <v>0</v>
      </c>
      <c r="U635" s="20" t="str">
        <f t="shared" si="163"/>
        <v>SINGLE</v>
      </c>
    </row>
    <row r="636" spans="1:21" x14ac:dyDescent="0.35">
      <c r="A636" s="70">
        <f t="shared" si="150"/>
        <v>45408</v>
      </c>
      <c r="B636" s="71" t="str">
        <f t="shared" si="151"/>
        <v>AM</v>
      </c>
      <c r="C636" s="72" t="str">
        <f t="shared" si="152"/>
        <v>April</v>
      </c>
      <c r="D636" s="13" t="str">
        <f t="shared" si="159"/>
        <v>FRI</v>
      </c>
      <c r="E636" s="73">
        <v>0</v>
      </c>
      <c r="F636" s="73">
        <v>0</v>
      </c>
      <c r="G636" s="73">
        <v>0</v>
      </c>
      <c r="H636" s="73">
        <f t="shared" si="153"/>
        <v>0</v>
      </c>
      <c r="I636" s="73">
        <f t="shared" si="154"/>
        <v>0</v>
      </c>
      <c r="J636" s="73">
        <v>0</v>
      </c>
      <c r="K636" s="73">
        <f t="shared" si="155"/>
        <v>0</v>
      </c>
      <c r="L636" s="74">
        <v>0</v>
      </c>
      <c r="M636" s="74">
        <v>0</v>
      </c>
      <c r="N636" s="75">
        <f t="shared" si="156"/>
        <v>0</v>
      </c>
      <c r="O636" s="73">
        <f t="shared" si="162"/>
        <v>0</v>
      </c>
      <c r="P636" s="73">
        <f t="shared" si="157"/>
        <v>0</v>
      </c>
      <c r="Q636" s="76">
        <f t="shared" si="158"/>
        <v>0</v>
      </c>
      <c r="R636" s="30">
        <f>COUNTIF(RAW_DATA[[#This Row],[CONVERTED]],"&gt;0")</f>
        <v>0</v>
      </c>
      <c r="S636" s="30">
        <f>COUNTIFS(RAW_DATA[[#This Row],[AM/PM]],"AM",RAW_DATA[[#This Row],[CONVERTED]],"&gt;0")</f>
        <v>0</v>
      </c>
      <c r="T636" s="19">
        <f t="shared" si="161"/>
        <v>0</v>
      </c>
      <c r="U636" s="20" t="str">
        <f t="shared" si="163"/>
        <v>SINGLE</v>
      </c>
    </row>
    <row r="637" spans="1:21" x14ac:dyDescent="0.35">
      <c r="A637" s="70">
        <f t="shared" si="150"/>
        <v>45408</v>
      </c>
      <c r="B637" s="71" t="str">
        <f t="shared" si="151"/>
        <v>PM</v>
      </c>
      <c r="C637" s="72" t="str">
        <f t="shared" si="152"/>
        <v>April</v>
      </c>
      <c r="D637" s="13" t="str">
        <f t="shared" si="159"/>
        <v>FRI</v>
      </c>
      <c r="E637" s="73">
        <v>1526</v>
      </c>
      <c r="F637" s="73">
        <v>277.2</v>
      </c>
      <c r="G637" s="73">
        <v>58</v>
      </c>
      <c r="H637" s="73">
        <f t="shared" si="153"/>
        <v>61.04</v>
      </c>
      <c r="I637" s="73">
        <f t="shared" si="154"/>
        <v>4.6569599999999998</v>
      </c>
      <c r="J637" s="73">
        <v>0</v>
      </c>
      <c r="K637" s="73">
        <f t="shared" si="155"/>
        <v>211.50304</v>
      </c>
      <c r="L637" s="74">
        <v>7</v>
      </c>
      <c r="M637" s="74">
        <v>10</v>
      </c>
      <c r="N637" s="75">
        <f t="shared" si="156"/>
        <v>7.166666666666667</v>
      </c>
      <c r="O637" s="73">
        <f t="shared" si="162"/>
        <v>15.265000000000001</v>
      </c>
      <c r="P637" s="73">
        <f t="shared" si="157"/>
        <v>226.76803999999998</v>
      </c>
      <c r="Q637" s="76">
        <f t="shared" si="158"/>
        <v>284.76803999999998</v>
      </c>
      <c r="R637" s="30">
        <f>COUNTIF(RAW_DATA[[#This Row],[CONVERTED]],"&gt;0")</f>
        <v>1</v>
      </c>
      <c r="S637" s="30">
        <f>COUNTIFS(RAW_DATA[[#This Row],[AM/PM]],"AM",RAW_DATA[[#This Row],[CONVERTED]],"&gt;0")</f>
        <v>0</v>
      </c>
      <c r="T637" s="19">
        <f t="shared" si="161"/>
        <v>0</v>
      </c>
      <c r="U637" s="20" t="str">
        <f>IF(AND(S637=1,T884=1,B637="AM"),"DOUBLE",IF(AND(S636=1,N637&gt;0),"DOUBLE","SINGLE"))</f>
        <v>SINGLE</v>
      </c>
    </row>
    <row r="638" spans="1:21" x14ac:dyDescent="0.35">
      <c r="A638" s="70">
        <f t="shared" si="150"/>
        <v>45409</v>
      </c>
      <c r="B638" s="71" t="str">
        <f t="shared" si="151"/>
        <v>AM</v>
      </c>
      <c r="C638" s="72" t="str">
        <f t="shared" si="152"/>
        <v>April</v>
      </c>
      <c r="D638" s="13" t="str">
        <f t="shared" si="159"/>
        <v>SAT</v>
      </c>
      <c r="E638" s="73">
        <f>2854/2</f>
        <v>1427</v>
      </c>
      <c r="F638" s="73">
        <f>502.88/2</f>
        <v>251.44</v>
      </c>
      <c r="G638" s="73">
        <f>67/2</f>
        <v>33.5</v>
      </c>
      <c r="H638" s="73">
        <f t="shared" si="153"/>
        <v>57.08</v>
      </c>
      <c r="I638" s="73">
        <f t="shared" si="154"/>
        <v>4.2241919999999995</v>
      </c>
      <c r="J638" s="73">
        <v>5.76</v>
      </c>
      <c r="K638" s="73">
        <f t="shared" si="155"/>
        <v>190.135808</v>
      </c>
      <c r="L638" s="74">
        <v>5</v>
      </c>
      <c r="M638" s="74">
        <v>7</v>
      </c>
      <c r="N638" s="75">
        <f t="shared" si="156"/>
        <v>5.1166666666666663</v>
      </c>
      <c r="O638" s="73">
        <f t="shared" si="162"/>
        <v>10.898499999999999</v>
      </c>
      <c r="P638" s="73">
        <f t="shared" si="157"/>
        <v>206.794308</v>
      </c>
      <c r="Q638" s="76">
        <f t="shared" si="158"/>
        <v>234.53430800000001</v>
      </c>
      <c r="R638" s="30">
        <f>COUNTIF(RAW_DATA[[#This Row],[CONVERTED]],"&gt;0")</f>
        <v>1</v>
      </c>
      <c r="S638" s="30">
        <f>COUNTIFS(RAW_DATA[[#This Row],[AM/PM]],"AM",RAW_DATA[[#This Row],[CONVERTED]],"&gt;0")</f>
        <v>1</v>
      </c>
      <c r="T638" s="19">
        <f t="shared" si="161"/>
        <v>0</v>
      </c>
      <c r="U638" s="20" t="str">
        <f t="shared" ref="U638:U650" si="164">IF(AND(S638=1,T639=1,B638="AM"),"DOUBLE",IF(AND(S637=1,N638&gt;0),"DOUBLE","SINGLE"))</f>
        <v>DOUBLE</v>
      </c>
    </row>
    <row r="639" spans="1:21" x14ac:dyDescent="0.35">
      <c r="A639" s="70">
        <f t="shared" si="150"/>
        <v>45409</v>
      </c>
      <c r="B639" s="71" t="str">
        <f t="shared" si="151"/>
        <v>PM</v>
      </c>
      <c r="C639" s="72" t="str">
        <f t="shared" si="152"/>
        <v>April</v>
      </c>
      <c r="D639" s="13" t="str">
        <f t="shared" si="159"/>
        <v>SAT</v>
      </c>
      <c r="E639" s="73">
        <f>2854/2</f>
        <v>1427</v>
      </c>
      <c r="F639" s="73">
        <f>502.88/2</f>
        <v>251.44</v>
      </c>
      <c r="G639" s="73">
        <f>67/2</f>
        <v>33.5</v>
      </c>
      <c r="H639" s="73">
        <f t="shared" si="153"/>
        <v>57.08</v>
      </c>
      <c r="I639" s="73">
        <f t="shared" si="154"/>
        <v>4.2241919999999995</v>
      </c>
      <c r="J639" s="73">
        <v>0</v>
      </c>
      <c r="K639" s="73">
        <f t="shared" si="155"/>
        <v>190.135808</v>
      </c>
      <c r="L639" s="74">
        <v>5</v>
      </c>
      <c r="M639" s="74">
        <v>7</v>
      </c>
      <c r="N639" s="75">
        <f t="shared" si="156"/>
        <v>5.1166666666666663</v>
      </c>
      <c r="O639" s="73">
        <f t="shared" si="162"/>
        <v>10.898499999999999</v>
      </c>
      <c r="P639" s="73">
        <f t="shared" si="157"/>
        <v>201.03430800000001</v>
      </c>
      <c r="Q639" s="76">
        <f t="shared" si="158"/>
        <v>234.53430800000001</v>
      </c>
      <c r="R639" s="30">
        <f>COUNTIF(RAW_DATA[[#This Row],[CONVERTED]],"&gt;0")</f>
        <v>1</v>
      </c>
      <c r="S639" s="30">
        <f>COUNTIFS(RAW_DATA[[#This Row],[AM/PM]],"AM",RAW_DATA[[#This Row],[CONVERTED]],"&gt;0")</f>
        <v>0</v>
      </c>
      <c r="T639" s="19">
        <f t="shared" si="161"/>
        <v>1</v>
      </c>
      <c r="U639" s="20" t="str">
        <f t="shared" si="164"/>
        <v>DOUBLE</v>
      </c>
    </row>
    <row r="640" spans="1:21" x14ac:dyDescent="0.35">
      <c r="A640" s="70">
        <f t="shared" ref="A640:A703" si="165">IF(B639 = "AM",A639,A639+1)</f>
        <v>45410</v>
      </c>
      <c r="B640" s="71" t="str">
        <f t="shared" ref="B640:B703" si="166">IF(B639="AM","PM","AM")</f>
        <v>AM</v>
      </c>
      <c r="C640" s="72" t="str">
        <f t="shared" ref="C640:C703" si="167">TEXT(A640,"mmmm")</f>
        <v>April</v>
      </c>
      <c r="D640" s="13" t="str">
        <f t="shared" si="159"/>
        <v>SUN</v>
      </c>
      <c r="E640" s="73">
        <v>0</v>
      </c>
      <c r="F640" s="73">
        <v>0</v>
      </c>
      <c r="G640" s="73">
        <v>0</v>
      </c>
      <c r="H640" s="73">
        <f>E640*0.04</f>
        <v>0</v>
      </c>
      <c r="I640" s="73">
        <f>F640*0.0168</f>
        <v>0</v>
      </c>
      <c r="J640" s="73">
        <v>0</v>
      </c>
      <c r="K640" s="73">
        <f>F640-(H640+I640)</f>
        <v>0</v>
      </c>
      <c r="L640" s="74">
        <v>0</v>
      </c>
      <c r="M640" s="74">
        <v>0</v>
      </c>
      <c r="N640" s="75">
        <f t="shared" ref="N640:N703" si="168">((L640*60)+M640)/60</f>
        <v>0</v>
      </c>
      <c r="O640" s="73">
        <f t="shared" si="162"/>
        <v>0</v>
      </c>
      <c r="P640" s="73">
        <f t="shared" ref="P640:P703" si="169">K640+J640+O640</f>
        <v>0</v>
      </c>
      <c r="Q640" s="76">
        <f>G640+K640+O640</f>
        <v>0</v>
      </c>
      <c r="R640" s="30">
        <f>COUNTIF(RAW_DATA[[#This Row],[CONVERTED]],"&gt;0")</f>
        <v>0</v>
      </c>
      <c r="S640" s="30">
        <f>COUNTIFS(RAW_DATA[[#This Row],[AM/PM]],"AM",RAW_DATA[[#This Row],[CONVERTED]],"&gt;0")</f>
        <v>0</v>
      </c>
      <c r="T640" s="19">
        <f t="shared" si="161"/>
        <v>0</v>
      </c>
      <c r="U640" s="20" t="str">
        <f t="shared" si="164"/>
        <v>SINGLE</v>
      </c>
    </row>
    <row r="641" spans="1:21" x14ac:dyDescent="0.35">
      <c r="A641" s="70">
        <f t="shared" si="165"/>
        <v>45410</v>
      </c>
      <c r="B641" s="71" t="str">
        <f t="shared" si="166"/>
        <v>PM</v>
      </c>
      <c r="C641" s="72" t="str">
        <f t="shared" si="167"/>
        <v>April</v>
      </c>
      <c r="D641" s="13" t="str">
        <f t="shared" si="159"/>
        <v>SUN</v>
      </c>
      <c r="E641" s="73">
        <v>1798.5</v>
      </c>
      <c r="F641" s="73">
        <v>319.32</v>
      </c>
      <c r="G641" s="73">
        <v>56</v>
      </c>
      <c r="H641" s="73">
        <f>E641*0.04</f>
        <v>71.94</v>
      </c>
      <c r="I641" s="73">
        <f>F641*0.0168</f>
        <v>5.3645759999999996</v>
      </c>
      <c r="J641" s="73">
        <v>15.84</v>
      </c>
      <c r="K641" s="73">
        <f>F641-(H641+I641)</f>
        <v>242.015424</v>
      </c>
      <c r="L641" s="74">
        <v>5</v>
      </c>
      <c r="M641" s="74">
        <v>28</v>
      </c>
      <c r="N641" s="75">
        <f t="shared" si="168"/>
        <v>5.4666666666666668</v>
      </c>
      <c r="O641" s="73">
        <f t="shared" si="162"/>
        <v>11.644</v>
      </c>
      <c r="P641" s="73">
        <f t="shared" si="169"/>
        <v>269.49942399999998</v>
      </c>
      <c r="Q641" s="76">
        <f>G641+K641+O641</f>
        <v>309.659424</v>
      </c>
      <c r="R641" s="30">
        <f>COUNTIF(RAW_DATA[[#This Row],[CONVERTED]],"&gt;0")</f>
        <v>1</v>
      </c>
      <c r="S641" s="30">
        <f>COUNTIFS(RAW_DATA[[#This Row],[AM/PM]],"AM",RAW_DATA[[#This Row],[CONVERTED]],"&gt;0")</f>
        <v>0</v>
      </c>
      <c r="T641" s="19">
        <f t="shared" si="161"/>
        <v>0</v>
      </c>
      <c r="U641" s="20" t="str">
        <f t="shared" si="164"/>
        <v>SINGLE</v>
      </c>
    </row>
    <row r="642" spans="1:21" x14ac:dyDescent="0.35">
      <c r="A642" s="70">
        <f t="shared" si="165"/>
        <v>45411</v>
      </c>
      <c r="B642" s="71" t="str">
        <f t="shared" si="166"/>
        <v>AM</v>
      </c>
      <c r="C642" s="72" t="str">
        <f t="shared" si="167"/>
        <v>April</v>
      </c>
      <c r="D642" s="13" t="str">
        <f t="shared" ref="D642:D705" si="170">CHOOSE(WEEKDAY(A642),"SUN","MON","TUE","WED","THU","FRI","SAT")</f>
        <v>MON</v>
      </c>
      <c r="E642" s="73">
        <v>538</v>
      </c>
      <c r="F642" s="73">
        <v>119.65</v>
      </c>
      <c r="G642" s="73">
        <v>0</v>
      </c>
      <c r="H642" s="73">
        <f t="shared" ref="H642:H659" si="171">E642*0.04</f>
        <v>21.52</v>
      </c>
      <c r="I642" s="73">
        <f t="shared" ref="I642:I705" si="172">F642*0.0168</f>
        <v>2.0101200000000001</v>
      </c>
      <c r="J642" s="73">
        <v>0</v>
      </c>
      <c r="K642" s="73">
        <f t="shared" ref="K642:K705" si="173">F642-(H642+I642)</f>
        <v>96.119880000000009</v>
      </c>
      <c r="L642" s="74">
        <v>4</v>
      </c>
      <c r="M642" s="74">
        <v>1</v>
      </c>
      <c r="N642" s="75">
        <f t="shared" si="168"/>
        <v>4.0166666666666666</v>
      </c>
      <c r="O642" s="73">
        <f t="shared" si="162"/>
        <v>8.5555000000000003</v>
      </c>
      <c r="P642" s="73">
        <f t="shared" si="169"/>
        <v>104.67538</v>
      </c>
      <c r="Q642" s="76">
        <f t="shared" ref="Q642:Q705" si="174">G642+K642+O642</f>
        <v>104.67538</v>
      </c>
      <c r="R642" s="30">
        <f>COUNTIF(RAW_DATA[[#This Row],[CONVERTED]],"&gt;0")</f>
        <v>1</v>
      </c>
      <c r="S642" s="30">
        <f>COUNTIFS(RAW_DATA[[#This Row],[AM/PM]],"AM",RAW_DATA[[#This Row],[CONVERTED]],"&gt;0")</f>
        <v>1</v>
      </c>
      <c r="T642" s="19">
        <f t="shared" si="161"/>
        <v>0</v>
      </c>
      <c r="U642" s="20" t="str">
        <f t="shared" si="164"/>
        <v>DOUBLE</v>
      </c>
    </row>
    <row r="643" spans="1:21" x14ac:dyDescent="0.35">
      <c r="A643" s="70">
        <f t="shared" si="165"/>
        <v>45411</v>
      </c>
      <c r="B643" s="71" t="str">
        <f t="shared" si="166"/>
        <v>PM</v>
      </c>
      <c r="C643" s="72" t="str">
        <f t="shared" si="167"/>
        <v>April</v>
      </c>
      <c r="D643" s="13" t="str">
        <f t="shared" si="170"/>
        <v>MON</v>
      </c>
      <c r="E643" s="73">
        <v>766.5</v>
      </c>
      <c r="F643" s="73">
        <v>112.6</v>
      </c>
      <c r="G643" s="73">
        <v>29</v>
      </c>
      <c r="H643" s="73">
        <f t="shared" si="171"/>
        <v>30.66</v>
      </c>
      <c r="I643" s="73">
        <f t="shared" si="172"/>
        <v>1.8916799999999998</v>
      </c>
      <c r="J643" s="73">
        <v>13.16</v>
      </c>
      <c r="K643" s="73">
        <f t="shared" si="173"/>
        <v>80.04831999999999</v>
      </c>
      <c r="L643" s="74">
        <v>4</v>
      </c>
      <c r="M643" s="74">
        <v>10</v>
      </c>
      <c r="N643" s="75">
        <f t="shared" si="168"/>
        <v>4.166666666666667</v>
      </c>
      <c r="O643" s="73">
        <f t="shared" si="162"/>
        <v>8.875</v>
      </c>
      <c r="P643" s="73">
        <f t="shared" si="169"/>
        <v>102.08331999999999</v>
      </c>
      <c r="Q643" s="76">
        <f t="shared" si="174"/>
        <v>117.92331999999999</v>
      </c>
      <c r="R643" s="30">
        <f>COUNTIF(RAW_DATA[[#This Row],[CONVERTED]],"&gt;0")</f>
        <v>1</v>
      </c>
      <c r="S643" s="30">
        <f>COUNTIFS(RAW_DATA[[#This Row],[AM/PM]],"AM",RAW_DATA[[#This Row],[CONVERTED]],"&gt;0")</f>
        <v>0</v>
      </c>
      <c r="T643" s="19">
        <f t="shared" ref="T643:T706" si="175">IF(AND($S642=1,$N643&gt;0),1,0)</f>
        <v>1</v>
      </c>
      <c r="U643" s="20" t="str">
        <f t="shared" si="164"/>
        <v>DOUBLE</v>
      </c>
    </row>
    <row r="644" spans="1:21" x14ac:dyDescent="0.35">
      <c r="A644" s="70">
        <f t="shared" si="165"/>
        <v>45412</v>
      </c>
      <c r="B644" s="71" t="str">
        <f t="shared" si="166"/>
        <v>AM</v>
      </c>
      <c r="C644" s="72" t="str">
        <f t="shared" si="167"/>
        <v>April</v>
      </c>
      <c r="D644" s="13" t="str">
        <f t="shared" si="170"/>
        <v>TUE</v>
      </c>
      <c r="E644" s="73">
        <v>0</v>
      </c>
      <c r="F644" s="73">
        <v>0</v>
      </c>
      <c r="G644" s="73">
        <v>0</v>
      </c>
      <c r="H644" s="73">
        <f t="shared" si="171"/>
        <v>0</v>
      </c>
      <c r="I644" s="73">
        <f t="shared" si="172"/>
        <v>0</v>
      </c>
      <c r="J644" s="73">
        <v>0</v>
      </c>
      <c r="K644" s="73">
        <f t="shared" si="173"/>
        <v>0</v>
      </c>
      <c r="L644" s="74">
        <v>0</v>
      </c>
      <c r="M644" s="74">
        <v>0</v>
      </c>
      <c r="N644" s="75">
        <f t="shared" si="168"/>
        <v>0</v>
      </c>
      <c r="O644" s="73">
        <f t="shared" si="162"/>
        <v>0</v>
      </c>
      <c r="P644" s="73">
        <f t="shared" si="169"/>
        <v>0</v>
      </c>
      <c r="Q644" s="76">
        <f t="shared" si="174"/>
        <v>0</v>
      </c>
      <c r="R644" s="30">
        <f>COUNTIF(RAW_DATA[[#This Row],[CONVERTED]],"&gt;0")</f>
        <v>0</v>
      </c>
      <c r="S644" s="30">
        <f>COUNTIFS(RAW_DATA[[#This Row],[AM/PM]],"AM",RAW_DATA[[#This Row],[CONVERTED]],"&gt;0")</f>
        <v>0</v>
      </c>
      <c r="T644" s="19">
        <f t="shared" si="175"/>
        <v>0</v>
      </c>
      <c r="U644" s="20" t="str">
        <f t="shared" si="164"/>
        <v>SINGLE</v>
      </c>
    </row>
    <row r="645" spans="1:21" x14ac:dyDescent="0.35">
      <c r="A645" s="70">
        <f t="shared" si="165"/>
        <v>45412</v>
      </c>
      <c r="B645" s="71" t="str">
        <f t="shared" si="166"/>
        <v>PM</v>
      </c>
      <c r="C645" s="72" t="str">
        <f t="shared" si="167"/>
        <v>April</v>
      </c>
      <c r="D645" s="13" t="str">
        <f t="shared" si="170"/>
        <v>TUE</v>
      </c>
      <c r="E645" s="73">
        <v>0</v>
      </c>
      <c r="F645" s="73">
        <v>0</v>
      </c>
      <c r="G645" s="73">
        <v>0</v>
      </c>
      <c r="H645" s="73">
        <f t="shared" si="171"/>
        <v>0</v>
      </c>
      <c r="I645" s="73">
        <f t="shared" si="172"/>
        <v>0</v>
      </c>
      <c r="J645" s="73">
        <v>0</v>
      </c>
      <c r="K645" s="73">
        <f t="shared" si="173"/>
        <v>0</v>
      </c>
      <c r="L645" s="74">
        <v>0</v>
      </c>
      <c r="M645" s="74">
        <v>0</v>
      </c>
      <c r="N645" s="75">
        <f t="shared" si="168"/>
        <v>0</v>
      </c>
      <c r="O645" s="73">
        <f t="shared" si="162"/>
        <v>0</v>
      </c>
      <c r="P645" s="73">
        <f t="shared" si="169"/>
        <v>0</v>
      </c>
      <c r="Q645" s="76">
        <f t="shared" si="174"/>
        <v>0</v>
      </c>
      <c r="R645" s="30">
        <f>COUNTIF(RAW_DATA[[#This Row],[CONVERTED]],"&gt;0")</f>
        <v>0</v>
      </c>
      <c r="S645" s="30">
        <f>COUNTIFS(RAW_DATA[[#This Row],[AM/PM]],"AM",RAW_DATA[[#This Row],[CONVERTED]],"&gt;0")</f>
        <v>0</v>
      </c>
      <c r="T645" s="19">
        <f t="shared" si="175"/>
        <v>0</v>
      </c>
      <c r="U645" s="20" t="str">
        <f t="shared" si="164"/>
        <v>SINGLE</v>
      </c>
    </row>
    <row r="646" spans="1:21" x14ac:dyDescent="0.35">
      <c r="A646" s="77">
        <f t="shared" si="165"/>
        <v>45413</v>
      </c>
      <c r="B646" s="78" t="str">
        <f t="shared" si="166"/>
        <v>AM</v>
      </c>
      <c r="C646" s="79" t="str">
        <f t="shared" si="167"/>
        <v>May</v>
      </c>
      <c r="D646" s="57" t="str">
        <f t="shared" si="170"/>
        <v>WED</v>
      </c>
      <c r="E646" s="80">
        <v>724</v>
      </c>
      <c r="F646" s="80">
        <v>120.62</v>
      </c>
      <c r="G646" s="80">
        <v>23</v>
      </c>
      <c r="H646" s="80">
        <f t="shared" si="171"/>
        <v>28.96</v>
      </c>
      <c r="I646" s="80">
        <f t="shared" si="172"/>
        <v>2.0264159999999998</v>
      </c>
      <c r="J646" s="80">
        <v>0</v>
      </c>
      <c r="K646" s="80">
        <f t="shared" si="173"/>
        <v>89.633583999999999</v>
      </c>
      <c r="L646" s="81">
        <v>4</v>
      </c>
      <c r="M646" s="81">
        <v>6</v>
      </c>
      <c r="N646" s="82">
        <f t="shared" si="168"/>
        <v>4.0999999999999996</v>
      </c>
      <c r="O646" s="80">
        <f t="shared" si="162"/>
        <v>8.7329999999999988</v>
      </c>
      <c r="P646" s="80">
        <f t="shared" si="169"/>
        <v>98.366584000000003</v>
      </c>
      <c r="Q646" s="83">
        <f t="shared" si="174"/>
        <v>121.366584</v>
      </c>
      <c r="R646" s="30">
        <f>COUNTIF(RAW_DATA[[#This Row],[CONVERTED]],"&gt;0")</f>
        <v>1</v>
      </c>
      <c r="S646" s="30">
        <f>COUNTIFS(RAW_DATA[[#This Row],[AM/PM]],"AM",RAW_DATA[[#This Row],[CONVERTED]],"&gt;0")</f>
        <v>1</v>
      </c>
      <c r="T646" s="19">
        <f t="shared" si="175"/>
        <v>0</v>
      </c>
      <c r="U646" s="64" t="str">
        <f t="shared" si="164"/>
        <v>DOUBLE</v>
      </c>
    </row>
    <row r="647" spans="1:21" x14ac:dyDescent="0.35">
      <c r="A647" s="70">
        <f t="shared" si="165"/>
        <v>45413</v>
      </c>
      <c r="B647" s="71" t="str">
        <f t="shared" si="166"/>
        <v>PM</v>
      </c>
      <c r="C647" s="72" t="str">
        <f t="shared" si="167"/>
        <v>May</v>
      </c>
      <c r="D647" s="13" t="str">
        <f t="shared" si="170"/>
        <v>WED</v>
      </c>
      <c r="E647" s="73">
        <v>968.5</v>
      </c>
      <c r="F647" s="73">
        <v>188.27</v>
      </c>
      <c r="G647" s="73">
        <v>0</v>
      </c>
      <c r="H647" s="73">
        <f t="shared" si="171"/>
        <v>38.74</v>
      </c>
      <c r="I647" s="73">
        <f t="shared" si="172"/>
        <v>3.1629360000000002</v>
      </c>
      <c r="J647" s="73">
        <v>0</v>
      </c>
      <c r="K647" s="73">
        <f t="shared" si="173"/>
        <v>146.367064</v>
      </c>
      <c r="L647" s="74">
        <v>4</v>
      </c>
      <c r="M647" s="74">
        <v>28</v>
      </c>
      <c r="N647" s="75">
        <f t="shared" si="168"/>
        <v>4.4666666666666668</v>
      </c>
      <c r="O647" s="73">
        <f t="shared" si="162"/>
        <v>9.5139999999999993</v>
      </c>
      <c r="P647" s="73">
        <f t="shared" si="169"/>
        <v>155.88106400000001</v>
      </c>
      <c r="Q647" s="76">
        <f t="shared" si="174"/>
        <v>155.88106400000001</v>
      </c>
      <c r="R647" s="30">
        <f>COUNTIF(RAW_DATA[[#This Row],[CONVERTED]],"&gt;0")</f>
        <v>1</v>
      </c>
      <c r="S647" s="30">
        <f>COUNTIFS(RAW_DATA[[#This Row],[AM/PM]],"AM",RAW_DATA[[#This Row],[CONVERTED]],"&gt;0")</f>
        <v>0</v>
      </c>
      <c r="T647" s="19">
        <f t="shared" si="175"/>
        <v>1</v>
      </c>
      <c r="U647" s="20" t="str">
        <f t="shared" si="164"/>
        <v>DOUBLE</v>
      </c>
    </row>
    <row r="648" spans="1:21" x14ac:dyDescent="0.35">
      <c r="A648" s="70">
        <f t="shared" si="165"/>
        <v>45414</v>
      </c>
      <c r="B648" s="71" t="str">
        <f t="shared" si="166"/>
        <v>AM</v>
      </c>
      <c r="C648" s="72" t="str">
        <f t="shared" si="167"/>
        <v>May</v>
      </c>
      <c r="D648" s="13" t="str">
        <f t="shared" si="170"/>
        <v>THU</v>
      </c>
      <c r="E648" s="73">
        <v>0</v>
      </c>
      <c r="F648" s="73">
        <v>0</v>
      </c>
      <c r="G648" s="73">
        <v>0</v>
      </c>
      <c r="H648" s="73">
        <f t="shared" si="171"/>
        <v>0</v>
      </c>
      <c r="I648" s="73">
        <f t="shared" si="172"/>
        <v>0</v>
      </c>
      <c r="J648" s="73">
        <v>0</v>
      </c>
      <c r="K648" s="73">
        <f t="shared" si="173"/>
        <v>0</v>
      </c>
      <c r="L648" s="74">
        <v>0</v>
      </c>
      <c r="M648" s="74">
        <v>0</v>
      </c>
      <c r="N648" s="75">
        <f t="shared" si="168"/>
        <v>0</v>
      </c>
      <c r="O648" s="73">
        <f t="shared" si="162"/>
        <v>0</v>
      </c>
      <c r="P648" s="73">
        <f t="shared" si="169"/>
        <v>0</v>
      </c>
      <c r="Q648" s="76">
        <f t="shared" si="174"/>
        <v>0</v>
      </c>
      <c r="R648" s="30">
        <f>COUNTIF(RAW_DATA[[#This Row],[CONVERTED]],"&gt;0")</f>
        <v>0</v>
      </c>
      <c r="S648" s="30">
        <f>COUNTIFS(RAW_DATA[[#This Row],[AM/PM]],"AM",RAW_DATA[[#This Row],[CONVERTED]],"&gt;0")</f>
        <v>0</v>
      </c>
      <c r="T648" s="19">
        <f t="shared" si="175"/>
        <v>0</v>
      </c>
      <c r="U648" s="20" t="str">
        <f t="shared" si="164"/>
        <v>SINGLE</v>
      </c>
    </row>
    <row r="649" spans="1:21" x14ac:dyDescent="0.35">
      <c r="A649" s="70">
        <f t="shared" si="165"/>
        <v>45414</v>
      </c>
      <c r="B649" s="71" t="str">
        <f t="shared" si="166"/>
        <v>PM</v>
      </c>
      <c r="C649" s="72" t="str">
        <f t="shared" si="167"/>
        <v>May</v>
      </c>
      <c r="D649" s="13" t="str">
        <f t="shared" si="170"/>
        <v>THU</v>
      </c>
      <c r="E649" s="73">
        <v>0</v>
      </c>
      <c r="F649" s="73">
        <v>0</v>
      </c>
      <c r="G649" s="73">
        <v>0</v>
      </c>
      <c r="H649" s="73">
        <f t="shared" si="171"/>
        <v>0</v>
      </c>
      <c r="I649" s="73">
        <f t="shared" si="172"/>
        <v>0</v>
      </c>
      <c r="J649" s="73">
        <v>0</v>
      </c>
      <c r="K649" s="73">
        <f t="shared" si="173"/>
        <v>0</v>
      </c>
      <c r="L649" s="74">
        <v>0</v>
      </c>
      <c r="M649" s="74">
        <v>0</v>
      </c>
      <c r="N649" s="75">
        <f t="shared" si="168"/>
        <v>0</v>
      </c>
      <c r="O649" s="73">
        <f t="shared" si="162"/>
        <v>0</v>
      </c>
      <c r="P649" s="73">
        <f t="shared" si="169"/>
        <v>0</v>
      </c>
      <c r="Q649" s="76">
        <f t="shared" si="174"/>
        <v>0</v>
      </c>
      <c r="R649" s="30">
        <f>COUNTIF(RAW_DATA[[#This Row],[CONVERTED]],"&gt;0")</f>
        <v>0</v>
      </c>
      <c r="S649" s="30">
        <f>COUNTIFS(RAW_DATA[[#This Row],[AM/PM]],"AM",RAW_DATA[[#This Row],[CONVERTED]],"&gt;0")</f>
        <v>0</v>
      </c>
      <c r="T649" s="19">
        <f t="shared" si="175"/>
        <v>0</v>
      </c>
      <c r="U649" s="20" t="str">
        <f t="shared" si="164"/>
        <v>SINGLE</v>
      </c>
    </row>
    <row r="650" spans="1:21" x14ac:dyDescent="0.35">
      <c r="A650" s="70">
        <f t="shared" si="165"/>
        <v>45415</v>
      </c>
      <c r="B650" s="71" t="str">
        <f t="shared" si="166"/>
        <v>AM</v>
      </c>
      <c r="C650" s="72" t="str">
        <f t="shared" si="167"/>
        <v>May</v>
      </c>
      <c r="D650" s="13" t="str">
        <f t="shared" si="170"/>
        <v>FRI</v>
      </c>
      <c r="E650" s="73">
        <v>0</v>
      </c>
      <c r="F650" s="73">
        <v>0</v>
      </c>
      <c r="G650" s="73">
        <v>0</v>
      </c>
      <c r="H650" s="73">
        <f t="shared" si="171"/>
        <v>0</v>
      </c>
      <c r="I650" s="73">
        <f t="shared" si="172"/>
        <v>0</v>
      </c>
      <c r="J650" s="73">
        <v>0</v>
      </c>
      <c r="K650" s="73">
        <f t="shared" si="173"/>
        <v>0</v>
      </c>
      <c r="L650" s="74">
        <v>0</v>
      </c>
      <c r="M650" s="74">
        <v>0</v>
      </c>
      <c r="N650" s="75">
        <f t="shared" si="168"/>
        <v>0</v>
      </c>
      <c r="O650" s="73">
        <f t="shared" si="162"/>
        <v>0</v>
      </c>
      <c r="P650" s="73">
        <f t="shared" si="169"/>
        <v>0</v>
      </c>
      <c r="Q650" s="76">
        <f t="shared" si="174"/>
        <v>0</v>
      </c>
      <c r="R650" s="30">
        <f>COUNTIF(RAW_DATA[[#This Row],[CONVERTED]],"&gt;0")</f>
        <v>0</v>
      </c>
      <c r="S650" s="30">
        <f>COUNTIFS(RAW_DATA[[#This Row],[AM/PM]],"AM",RAW_DATA[[#This Row],[CONVERTED]],"&gt;0")</f>
        <v>0</v>
      </c>
      <c r="T650" s="19">
        <f t="shared" si="175"/>
        <v>0</v>
      </c>
      <c r="U650" s="20" t="str">
        <f t="shared" si="164"/>
        <v>SINGLE</v>
      </c>
    </row>
    <row r="651" spans="1:21" x14ac:dyDescent="0.35">
      <c r="A651" s="70">
        <f t="shared" si="165"/>
        <v>45415</v>
      </c>
      <c r="B651" s="71" t="str">
        <f t="shared" si="166"/>
        <v>PM</v>
      </c>
      <c r="C651" s="72" t="str">
        <f t="shared" si="167"/>
        <v>May</v>
      </c>
      <c r="D651" s="13" t="str">
        <f t="shared" si="170"/>
        <v>FRI</v>
      </c>
      <c r="E651" s="73">
        <v>1715.5</v>
      </c>
      <c r="F651" s="73">
        <v>301.95</v>
      </c>
      <c r="G651" s="73">
        <v>18</v>
      </c>
      <c r="H651" s="73">
        <f t="shared" si="171"/>
        <v>68.62</v>
      </c>
      <c r="I651" s="73">
        <f t="shared" si="172"/>
        <v>5.0727599999999997</v>
      </c>
      <c r="J651" s="73">
        <v>6.44</v>
      </c>
      <c r="K651" s="73">
        <f t="shared" si="173"/>
        <v>228.25723999999997</v>
      </c>
      <c r="L651" s="74">
        <v>7</v>
      </c>
      <c r="M651" s="74">
        <v>33</v>
      </c>
      <c r="N651" s="75">
        <f t="shared" si="168"/>
        <v>7.55</v>
      </c>
      <c r="O651" s="73">
        <f t="shared" si="162"/>
        <v>16.081499999999998</v>
      </c>
      <c r="P651" s="73">
        <f t="shared" si="169"/>
        <v>250.77873999999997</v>
      </c>
      <c r="Q651" s="76">
        <f t="shared" si="174"/>
        <v>262.33873999999997</v>
      </c>
      <c r="R651" s="30">
        <f>COUNTIF(RAW_DATA[[#This Row],[CONVERTED]],"&gt;0")</f>
        <v>1</v>
      </c>
      <c r="S651" s="30">
        <f>COUNTIFS(RAW_DATA[[#This Row],[AM/PM]],"AM",RAW_DATA[[#This Row],[CONVERTED]],"&gt;0")</f>
        <v>0</v>
      </c>
      <c r="T651" s="19">
        <f t="shared" si="175"/>
        <v>0</v>
      </c>
      <c r="U651" s="20" t="str">
        <f>IF(AND(S651=1,T884=1,B651="AM"),"DOUBLE",IF(AND(S650=1,N651&gt;0),"DOUBLE","SINGLE"))</f>
        <v>SINGLE</v>
      </c>
    </row>
    <row r="652" spans="1:21" x14ac:dyDescent="0.35">
      <c r="A652" s="70">
        <f t="shared" si="165"/>
        <v>45416</v>
      </c>
      <c r="B652" s="71" t="str">
        <f t="shared" si="166"/>
        <v>AM</v>
      </c>
      <c r="C652" s="72" t="str">
        <f t="shared" si="167"/>
        <v>May</v>
      </c>
      <c r="D652" s="13" t="str">
        <f t="shared" si="170"/>
        <v>SAT</v>
      </c>
      <c r="E652" s="73">
        <f>2396.67/2</f>
        <v>1198.335</v>
      </c>
      <c r="F652" s="73">
        <f>(413.04+35)/2</f>
        <v>224.02</v>
      </c>
      <c r="G652" s="73">
        <f>23/2</f>
        <v>11.5</v>
      </c>
      <c r="H652" s="73">
        <f t="shared" si="171"/>
        <v>47.933400000000006</v>
      </c>
      <c r="I652" s="73">
        <f t="shared" si="172"/>
        <v>3.7635359999999998</v>
      </c>
      <c r="J652" s="73">
        <f>6.96/2</f>
        <v>3.48</v>
      </c>
      <c r="K652" s="73">
        <f t="shared" si="173"/>
        <v>172.32306399999999</v>
      </c>
      <c r="L652" s="74">
        <f>10/2</f>
        <v>5</v>
      </c>
      <c r="M652" s="74">
        <f>17/2</f>
        <v>8.5</v>
      </c>
      <c r="N652" s="75">
        <f t="shared" si="168"/>
        <v>5.1416666666666666</v>
      </c>
      <c r="O652" s="73">
        <f t="shared" si="162"/>
        <v>10.951749999999999</v>
      </c>
      <c r="P652" s="73">
        <f t="shared" si="169"/>
        <v>186.75481399999998</v>
      </c>
      <c r="Q652" s="76">
        <f t="shared" si="174"/>
        <v>194.77481399999999</v>
      </c>
      <c r="R652" s="30">
        <f>COUNTIF(RAW_DATA[[#This Row],[CONVERTED]],"&gt;0")</f>
        <v>1</v>
      </c>
      <c r="S652" s="30">
        <f>COUNTIFS(RAW_DATA[[#This Row],[AM/PM]],"AM",RAW_DATA[[#This Row],[CONVERTED]],"&gt;0")</f>
        <v>1</v>
      </c>
      <c r="T652" s="19">
        <f t="shared" si="175"/>
        <v>0</v>
      </c>
      <c r="U652" s="20" t="str">
        <f t="shared" ref="U652:U659" si="176">IF(AND(S652=1,T653=1,B652="AM"),"DOUBLE",IF(AND(S651=1,N652&gt;0),"DOUBLE","SINGLE"))</f>
        <v>DOUBLE</v>
      </c>
    </row>
    <row r="653" spans="1:21" x14ac:dyDescent="0.35">
      <c r="A653" s="70">
        <f t="shared" si="165"/>
        <v>45416</v>
      </c>
      <c r="B653" s="71" t="str">
        <f t="shared" si="166"/>
        <v>PM</v>
      </c>
      <c r="C653" s="72" t="str">
        <f t="shared" si="167"/>
        <v>May</v>
      </c>
      <c r="D653" s="13" t="str">
        <f t="shared" si="170"/>
        <v>SAT</v>
      </c>
      <c r="E653" s="73">
        <f>2396.67/2</f>
        <v>1198.335</v>
      </c>
      <c r="F653" s="73">
        <f>(413.04+35)/2</f>
        <v>224.02</v>
      </c>
      <c r="G653" s="73">
        <f>23/2</f>
        <v>11.5</v>
      </c>
      <c r="H653" s="73">
        <f t="shared" si="171"/>
        <v>47.933400000000006</v>
      </c>
      <c r="I653" s="73">
        <f t="shared" si="172"/>
        <v>3.7635359999999998</v>
      </c>
      <c r="J653" s="73">
        <f>6.96/2</f>
        <v>3.48</v>
      </c>
      <c r="K653" s="73">
        <f t="shared" si="173"/>
        <v>172.32306399999999</v>
      </c>
      <c r="L653" s="74">
        <f>10/2</f>
        <v>5</v>
      </c>
      <c r="M653" s="74">
        <f>17/2</f>
        <v>8.5</v>
      </c>
      <c r="N653" s="75">
        <f t="shared" si="168"/>
        <v>5.1416666666666666</v>
      </c>
      <c r="O653" s="73">
        <f t="shared" si="162"/>
        <v>10.951749999999999</v>
      </c>
      <c r="P653" s="73">
        <f t="shared" si="169"/>
        <v>186.75481399999998</v>
      </c>
      <c r="Q653" s="76">
        <f t="shared" si="174"/>
        <v>194.77481399999999</v>
      </c>
      <c r="R653" s="30">
        <f>COUNTIF(RAW_DATA[[#This Row],[CONVERTED]],"&gt;0")</f>
        <v>1</v>
      </c>
      <c r="S653" s="30">
        <f>COUNTIFS(RAW_DATA[[#This Row],[AM/PM]],"AM",RAW_DATA[[#This Row],[CONVERTED]],"&gt;0")</f>
        <v>0</v>
      </c>
      <c r="T653" s="19">
        <f t="shared" si="175"/>
        <v>1</v>
      </c>
      <c r="U653" s="20" t="str">
        <f t="shared" si="176"/>
        <v>DOUBLE</v>
      </c>
    </row>
    <row r="654" spans="1:21" x14ac:dyDescent="0.35">
      <c r="A654" s="70">
        <f t="shared" si="165"/>
        <v>45417</v>
      </c>
      <c r="B654" s="71" t="str">
        <f t="shared" si="166"/>
        <v>AM</v>
      </c>
      <c r="C654" s="72" t="str">
        <f t="shared" si="167"/>
        <v>May</v>
      </c>
      <c r="D654" s="13" t="str">
        <f t="shared" si="170"/>
        <v>SUN</v>
      </c>
      <c r="E654" s="73">
        <v>0</v>
      </c>
      <c r="F654" s="73">
        <v>0</v>
      </c>
      <c r="G654" s="73"/>
      <c r="H654" s="73">
        <f t="shared" si="171"/>
        <v>0</v>
      </c>
      <c r="I654" s="73">
        <f t="shared" si="172"/>
        <v>0</v>
      </c>
      <c r="J654" s="73">
        <v>0</v>
      </c>
      <c r="K654" s="73">
        <f t="shared" si="173"/>
        <v>0</v>
      </c>
      <c r="L654" s="74">
        <v>0</v>
      </c>
      <c r="M654" s="74">
        <v>0</v>
      </c>
      <c r="N654" s="75">
        <f t="shared" si="168"/>
        <v>0</v>
      </c>
      <c r="O654" s="73">
        <f t="shared" si="162"/>
        <v>0</v>
      </c>
      <c r="P654" s="73">
        <f t="shared" si="169"/>
        <v>0</v>
      </c>
      <c r="Q654" s="76">
        <f t="shared" si="174"/>
        <v>0</v>
      </c>
      <c r="R654" s="30">
        <f>COUNTIF(RAW_DATA[[#This Row],[CONVERTED]],"&gt;0")</f>
        <v>0</v>
      </c>
      <c r="S654" s="30">
        <f>COUNTIFS(RAW_DATA[[#This Row],[AM/PM]],"AM",RAW_DATA[[#This Row],[CONVERTED]],"&gt;0")</f>
        <v>0</v>
      </c>
      <c r="T654" s="19">
        <f t="shared" si="175"/>
        <v>0</v>
      </c>
      <c r="U654" s="20" t="str">
        <f t="shared" si="176"/>
        <v>SINGLE</v>
      </c>
    </row>
    <row r="655" spans="1:21" x14ac:dyDescent="0.35">
      <c r="A655" s="70">
        <f t="shared" si="165"/>
        <v>45417</v>
      </c>
      <c r="B655" s="71" t="str">
        <f t="shared" si="166"/>
        <v>PM</v>
      </c>
      <c r="C655" s="72" t="str">
        <f t="shared" si="167"/>
        <v>May</v>
      </c>
      <c r="D655" s="13" t="str">
        <f t="shared" si="170"/>
        <v>SUN</v>
      </c>
      <c r="E655" s="73">
        <v>1314.5</v>
      </c>
      <c r="F655" s="73">
        <v>352.3</v>
      </c>
      <c r="G655" s="73">
        <v>24</v>
      </c>
      <c r="H655" s="73">
        <f t="shared" si="171"/>
        <v>52.58</v>
      </c>
      <c r="I655" s="73">
        <f t="shared" si="172"/>
        <v>5.9186399999999999</v>
      </c>
      <c r="J655" s="73">
        <v>10.119999999999999</v>
      </c>
      <c r="K655" s="73">
        <f t="shared" si="173"/>
        <v>293.80136000000005</v>
      </c>
      <c r="L655" s="74">
        <v>6</v>
      </c>
      <c r="M655" s="74">
        <v>10</v>
      </c>
      <c r="N655" s="75">
        <f t="shared" si="168"/>
        <v>6.166666666666667</v>
      </c>
      <c r="O655" s="73">
        <f t="shared" si="162"/>
        <v>13.135</v>
      </c>
      <c r="P655" s="73">
        <f t="shared" si="169"/>
        <v>317.05636000000004</v>
      </c>
      <c r="Q655" s="76">
        <f t="shared" si="174"/>
        <v>330.93636000000004</v>
      </c>
      <c r="R655" s="30">
        <f>COUNTIF(RAW_DATA[[#This Row],[CONVERTED]],"&gt;0")</f>
        <v>1</v>
      </c>
      <c r="S655" s="30">
        <f>COUNTIFS(RAW_DATA[[#This Row],[AM/PM]],"AM",RAW_DATA[[#This Row],[CONVERTED]],"&gt;0")</f>
        <v>0</v>
      </c>
      <c r="T655" s="19">
        <f t="shared" si="175"/>
        <v>0</v>
      </c>
      <c r="U655" s="20" t="str">
        <f t="shared" si="176"/>
        <v>SINGLE</v>
      </c>
    </row>
    <row r="656" spans="1:21" x14ac:dyDescent="0.35">
      <c r="A656" s="70">
        <f t="shared" si="165"/>
        <v>45418</v>
      </c>
      <c r="B656" s="71" t="str">
        <f t="shared" si="166"/>
        <v>AM</v>
      </c>
      <c r="C656" s="72" t="str">
        <f t="shared" si="167"/>
        <v>May</v>
      </c>
      <c r="D656" s="13" t="str">
        <f t="shared" si="170"/>
        <v>MON</v>
      </c>
      <c r="E656" s="73">
        <v>0</v>
      </c>
      <c r="F656" s="73">
        <v>0</v>
      </c>
      <c r="G656" s="73">
        <v>0</v>
      </c>
      <c r="H656" s="73">
        <f t="shared" si="171"/>
        <v>0</v>
      </c>
      <c r="I656" s="73">
        <f t="shared" si="172"/>
        <v>0</v>
      </c>
      <c r="J656" s="73">
        <v>0</v>
      </c>
      <c r="K656" s="73">
        <f t="shared" si="173"/>
        <v>0</v>
      </c>
      <c r="L656" s="74">
        <v>0</v>
      </c>
      <c r="M656" s="74">
        <v>0</v>
      </c>
      <c r="N656" s="75">
        <f t="shared" si="168"/>
        <v>0</v>
      </c>
      <c r="O656" s="73">
        <f t="shared" si="162"/>
        <v>0</v>
      </c>
      <c r="P656" s="73">
        <f t="shared" si="169"/>
        <v>0</v>
      </c>
      <c r="Q656" s="76">
        <f t="shared" si="174"/>
        <v>0</v>
      </c>
      <c r="R656" s="30">
        <f>COUNTIF(RAW_DATA[[#This Row],[CONVERTED]],"&gt;0")</f>
        <v>0</v>
      </c>
      <c r="S656" s="30">
        <f>COUNTIFS(RAW_DATA[[#This Row],[AM/PM]],"AM",RAW_DATA[[#This Row],[CONVERTED]],"&gt;0")</f>
        <v>0</v>
      </c>
      <c r="T656" s="19">
        <f t="shared" si="175"/>
        <v>0</v>
      </c>
      <c r="U656" s="20" t="str">
        <f t="shared" si="176"/>
        <v>SINGLE</v>
      </c>
    </row>
    <row r="657" spans="1:21" x14ac:dyDescent="0.35">
      <c r="A657" s="70">
        <f t="shared" si="165"/>
        <v>45418</v>
      </c>
      <c r="B657" s="71" t="str">
        <f t="shared" si="166"/>
        <v>PM</v>
      </c>
      <c r="C657" s="72" t="str">
        <f t="shared" si="167"/>
        <v>May</v>
      </c>
      <c r="D657" s="13" t="str">
        <f t="shared" si="170"/>
        <v>MON</v>
      </c>
      <c r="E657" s="73">
        <v>1397.5</v>
      </c>
      <c r="F657" s="73">
        <v>270.14999999999998</v>
      </c>
      <c r="G657" s="73">
        <v>0</v>
      </c>
      <c r="H657" s="73">
        <f t="shared" si="171"/>
        <v>55.9</v>
      </c>
      <c r="I657" s="73">
        <f t="shared" si="172"/>
        <v>4.5385199999999992</v>
      </c>
      <c r="J657" s="73">
        <v>0</v>
      </c>
      <c r="K657" s="73">
        <f t="shared" si="173"/>
        <v>209.71147999999999</v>
      </c>
      <c r="L657" s="74">
        <v>4</v>
      </c>
      <c r="M657" s="74">
        <v>47</v>
      </c>
      <c r="N657" s="75">
        <f t="shared" si="168"/>
        <v>4.7833333333333332</v>
      </c>
      <c r="O657" s="73">
        <f t="shared" ref="O657:O720" si="177">N657*2.13</f>
        <v>10.188499999999999</v>
      </c>
      <c r="P657" s="73">
        <f t="shared" si="169"/>
        <v>219.89998</v>
      </c>
      <c r="Q657" s="76">
        <f t="shared" si="174"/>
        <v>219.89998</v>
      </c>
      <c r="R657" s="30">
        <f>COUNTIF(RAW_DATA[[#This Row],[CONVERTED]],"&gt;0")</f>
        <v>1</v>
      </c>
      <c r="S657" s="30">
        <f>COUNTIFS(RAW_DATA[[#This Row],[AM/PM]],"AM",RAW_DATA[[#This Row],[CONVERTED]],"&gt;0")</f>
        <v>0</v>
      </c>
      <c r="T657" s="19">
        <f t="shared" si="175"/>
        <v>0</v>
      </c>
      <c r="U657" s="20" t="str">
        <f t="shared" si="176"/>
        <v>SINGLE</v>
      </c>
    </row>
    <row r="658" spans="1:21" x14ac:dyDescent="0.35">
      <c r="A658" s="70">
        <f t="shared" si="165"/>
        <v>45419</v>
      </c>
      <c r="B658" s="71" t="str">
        <f t="shared" si="166"/>
        <v>AM</v>
      </c>
      <c r="C658" s="72" t="str">
        <f t="shared" si="167"/>
        <v>May</v>
      </c>
      <c r="D658" s="13" t="str">
        <f t="shared" si="170"/>
        <v>TUE</v>
      </c>
      <c r="E658" s="73">
        <v>0</v>
      </c>
      <c r="F658" s="73">
        <v>0</v>
      </c>
      <c r="G658" s="73">
        <v>0</v>
      </c>
      <c r="H658" s="73">
        <f t="shared" si="171"/>
        <v>0</v>
      </c>
      <c r="I658" s="73">
        <f t="shared" si="172"/>
        <v>0</v>
      </c>
      <c r="J658" s="73">
        <v>0</v>
      </c>
      <c r="K658" s="73">
        <f t="shared" si="173"/>
        <v>0</v>
      </c>
      <c r="L658" s="74">
        <v>0</v>
      </c>
      <c r="M658" s="74">
        <v>0</v>
      </c>
      <c r="N658" s="75">
        <f t="shared" si="168"/>
        <v>0</v>
      </c>
      <c r="O658" s="73">
        <f t="shared" si="177"/>
        <v>0</v>
      </c>
      <c r="P658" s="73">
        <f t="shared" si="169"/>
        <v>0</v>
      </c>
      <c r="Q658" s="76">
        <f t="shared" si="174"/>
        <v>0</v>
      </c>
      <c r="R658" s="30">
        <f>COUNTIF(RAW_DATA[[#This Row],[CONVERTED]],"&gt;0")</f>
        <v>0</v>
      </c>
      <c r="S658" s="30">
        <f>COUNTIFS(RAW_DATA[[#This Row],[AM/PM]],"AM",RAW_DATA[[#This Row],[CONVERTED]],"&gt;0")</f>
        <v>0</v>
      </c>
      <c r="T658" s="19">
        <f t="shared" si="175"/>
        <v>0</v>
      </c>
      <c r="U658" s="20" t="str">
        <f t="shared" si="176"/>
        <v>SINGLE</v>
      </c>
    </row>
    <row r="659" spans="1:21" x14ac:dyDescent="0.35">
      <c r="A659" s="70">
        <f t="shared" si="165"/>
        <v>45419</v>
      </c>
      <c r="B659" s="71" t="str">
        <f t="shared" si="166"/>
        <v>PM</v>
      </c>
      <c r="C659" s="72" t="str">
        <f t="shared" si="167"/>
        <v>May</v>
      </c>
      <c r="D659" s="13" t="str">
        <f t="shared" si="170"/>
        <v>TUE</v>
      </c>
      <c r="E659" s="73">
        <v>0</v>
      </c>
      <c r="F659" s="73">
        <v>0</v>
      </c>
      <c r="G659" s="73">
        <v>0</v>
      </c>
      <c r="H659" s="73">
        <f t="shared" si="171"/>
        <v>0</v>
      </c>
      <c r="I659" s="73">
        <f t="shared" si="172"/>
        <v>0</v>
      </c>
      <c r="J659" s="73">
        <v>0</v>
      </c>
      <c r="K659" s="73">
        <f t="shared" si="173"/>
        <v>0</v>
      </c>
      <c r="L659" s="74">
        <v>0</v>
      </c>
      <c r="M659" s="74">
        <v>0</v>
      </c>
      <c r="N659" s="75">
        <f t="shared" si="168"/>
        <v>0</v>
      </c>
      <c r="O659" s="73">
        <f t="shared" si="177"/>
        <v>0</v>
      </c>
      <c r="P659" s="73">
        <f t="shared" si="169"/>
        <v>0</v>
      </c>
      <c r="Q659" s="76">
        <f t="shared" si="174"/>
        <v>0</v>
      </c>
      <c r="R659" s="30">
        <f>COUNTIF(RAW_DATA[[#This Row],[CONVERTED]],"&gt;0")</f>
        <v>0</v>
      </c>
      <c r="S659" s="30">
        <f>COUNTIFS(RAW_DATA[[#This Row],[AM/PM]],"AM",RAW_DATA[[#This Row],[CONVERTED]],"&gt;0")</f>
        <v>0</v>
      </c>
      <c r="T659" s="19">
        <f t="shared" si="175"/>
        <v>0</v>
      </c>
      <c r="U659" s="20" t="str">
        <f t="shared" si="176"/>
        <v>SINGLE</v>
      </c>
    </row>
    <row r="660" spans="1:21" x14ac:dyDescent="0.35">
      <c r="A660" s="77">
        <f t="shared" si="165"/>
        <v>45420</v>
      </c>
      <c r="B660" s="78" t="str">
        <f t="shared" si="166"/>
        <v>AM</v>
      </c>
      <c r="C660" s="79" t="str">
        <f t="shared" si="167"/>
        <v>May</v>
      </c>
      <c r="D660" s="57" t="str">
        <f t="shared" si="170"/>
        <v>WED</v>
      </c>
      <c r="E660" s="80">
        <v>0</v>
      </c>
      <c r="F660" s="80">
        <v>0</v>
      </c>
      <c r="G660" s="80">
        <v>0</v>
      </c>
      <c r="H660" s="80">
        <v>0</v>
      </c>
      <c r="I660" s="80">
        <f t="shared" si="172"/>
        <v>0</v>
      </c>
      <c r="J660" s="80">
        <v>0</v>
      </c>
      <c r="K660" s="80">
        <f t="shared" si="173"/>
        <v>0</v>
      </c>
      <c r="L660" s="81">
        <v>0</v>
      </c>
      <c r="M660" s="81">
        <v>0</v>
      </c>
      <c r="N660" s="82">
        <f t="shared" si="168"/>
        <v>0</v>
      </c>
      <c r="O660" s="80">
        <f t="shared" si="177"/>
        <v>0</v>
      </c>
      <c r="P660" s="80">
        <f t="shared" si="169"/>
        <v>0</v>
      </c>
      <c r="Q660" s="83">
        <f t="shared" si="174"/>
        <v>0</v>
      </c>
      <c r="R660" s="30">
        <f>COUNTIF(RAW_DATA[[#This Row],[CONVERTED]],"&gt;0")</f>
        <v>0</v>
      </c>
      <c r="S660" s="30">
        <f>COUNTIFS(RAW_DATA[[#This Row],[AM/PM]],"AM",RAW_DATA[[#This Row],[CONVERTED]],"&gt;0")</f>
        <v>0</v>
      </c>
      <c r="T660" s="19">
        <f t="shared" si="175"/>
        <v>0</v>
      </c>
      <c r="U660" s="64" t="str">
        <f>IF(AND(S660=1,T884=1,B660="AM"),"DOUBLE",IF(AND(S659=1,N660&gt;0),"DOUBLE","SINGLE"))</f>
        <v>SINGLE</v>
      </c>
    </row>
    <row r="661" spans="1:21" x14ac:dyDescent="0.35">
      <c r="A661" s="70">
        <f t="shared" si="165"/>
        <v>45420</v>
      </c>
      <c r="B661" s="71" t="str">
        <f t="shared" si="166"/>
        <v>PM</v>
      </c>
      <c r="C661" s="72" t="str">
        <f t="shared" si="167"/>
        <v>May</v>
      </c>
      <c r="D661" s="13" t="str">
        <f t="shared" si="170"/>
        <v>WED</v>
      </c>
      <c r="E661" s="73">
        <v>570.5</v>
      </c>
      <c r="F661" s="73">
        <v>114.9</v>
      </c>
      <c r="G661" s="73">
        <v>0</v>
      </c>
      <c r="H661" s="73">
        <f t="shared" ref="H661:H724" si="178">E661*0.04</f>
        <v>22.82</v>
      </c>
      <c r="I661" s="73">
        <f t="shared" si="172"/>
        <v>1.93032</v>
      </c>
      <c r="J661" s="73">
        <v>0</v>
      </c>
      <c r="K661" s="73">
        <f t="shared" si="173"/>
        <v>90.149680000000004</v>
      </c>
      <c r="L661" s="74">
        <v>4</v>
      </c>
      <c r="M661" s="74">
        <v>0</v>
      </c>
      <c r="N661" s="75">
        <f t="shared" si="168"/>
        <v>4</v>
      </c>
      <c r="O661" s="73">
        <f t="shared" si="177"/>
        <v>8.52</v>
      </c>
      <c r="P661" s="73">
        <f t="shared" si="169"/>
        <v>98.66968</v>
      </c>
      <c r="Q661" s="76">
        <f t="shared" si="174"/>
        <v>98.66968</v>
      </c>
      <c r="R661" s="30">
        <f>COUNTIF(RAW_DATA[[#This Row],[CONVERTED]],"&gt;0")</f>
        <v>1</v>
      </c>
      <c r="S661" s="30">
        <f>COUNTIFS(RAW_DATA[[#This Row],[AM/PM]],"AM",RAW_DATA[[#This Row],[CONVERTED]],"&gt;0")</f>
        <v>0</v>
      </c>
      <c r="T661" s="19">
        <f t="shared" si="175"/>
        <v>0</v>
      </c>
      <c r="U661" s="20" t="str">
        <f>IF(AND(S661=1,T884=1,B661="AM"),"DOUBLE",IF(AND(S660=1,N661&gt;0),"DOUBLE","SINGLE"))</f>
        <v>SINGLE</v>
      </c>
    </row>
    <row r="662" spans="1:21" x14ac:dyDescent="0.35">
      <c r="A662" s="70">
        <f t="shared" si="165"/>
        <v>45421</v>
      </c>
      <c r="B662" s="71" t="str">
        <f t="shared" si="166"/>
        <v>AM</v>
      </c>
      <c r="C662" s="72" t="str">
        <f t="shared" si="167"/>
        <v>May</v>
      </c>
      <c r="D662" s="13" t="str">
        <f t="shared" si="170"/>
        <v>THU</v>
      </c>
      <c r="E662" s="73">
        <v>0</v>
      </c>
      <c r="F662" s="73">
        <v>0</v>
      </c>
      <c r="G662" s="73">
        <v>0</v>
      </c>
      <c r="H662" s="73">
        <f t="shared" si="178"/>
        <v>0</v>
      </c>
      <c r="I662" s="73">
        <f t="shared" si="172"/>
        <v>0</v>
      </c>
      <c r="J662" s="73">
        <v>0</v>
      </c>
      <c r="K662" s="73">
        <f t="shared" si="173"/>
        <v>0</v>
      </c>
      <c r="L662" s="74">
        <v>0</v>
      </c>
      <c r="M662" s="74">
        <v>0</v>
      </c>
      <c r="N662" s="75">
        <f t="shared" si="168"/>
        <v>0</v>
      </c>
      <c r="O662" s="73">
        <f t="shared" si="177"/>
        <v>0</v>
      </c>
      <c r="P662" s="73">
        <f t="shared" si="169"/>
        <v>0</v>
      </c>
      <c r="Q662" s="76">
        <f t="shared" si="174"/>
        <v>0</v>
      </c>
      <c r="R662" s="30">
        <f>COUNTIF(RAW_DATA[[#This Row],[CONVERTED]],"&gt;0")</f>
        <v>0</v>
      </c>
      <c r="S662" s="30">
        <f>COUNTIFS(RAW_DATA[[#This Row],[AM/PM]],"AM",RAW_DATA[[#This Row],[CONVERTED]],"&gt;0")</f>
        <v>0</v>
      </c>
      <c r="T662" s="19">
        <f t="shared" si="175"/>
        <v>0</v>
      </c>
      <c r="U662" s="20" t="str">
        <f t="shared" ref="U662:U725" si="179">IF(AND(S662=1,T663=1,B662="AM"),"DOUBLE",IF(AND(S661=1,N662&gt;0),"DOUBLE","SINGLE"))</f>
        <v>SINGLE</v>
      </c>
    </row>
    <row r="663" spans="1:21" x14ac:dyDescent="0.35">
      <c r="A663" s="70">
        <f t="shared" si="165"/>
        <v>45421</v>
      </c>
      <c r="B663" s="71" t="str">
        <f t="shared" si="166"/>
        <v>PM</v>
      </c>
      <c r="C663" s="72" t="str">
        <f t="shared" si="167"/>
        <v>May</v>
      </c>
      <c r="D663" s="13" t="str">
        <f t="shared" si="170"/>
        <v>THU</v>
      </c>
      <c r="E663" s="73">
        <v>0</v>
      </c>
      <c r="F663" s="73">
        <v>0</v>
      </c>
      <c r="G663" s="73">
        <v>0</v>
      </c>
      <c r="H663" s="73">
        <f t="shared" si="178"/>
        <v>0</v>
      </c>
      <c r="I663" s="73">
        <f t="shared" si="172"/>
        <v>0</v>
      </c>
      <c r="J663" s="73">
        <v>0</v>
      </c>
      <c r="K663" s="73">
        <f t="shared" si="173"/>
        <v>0</v>
      </c>
      <c r="L663" s="74">
        <v>0</v>
      </c>
      <c r="M663" s="74">
        <v>0</v>
      </c>
      <c r="N663" s="75">
        <f t="shared" si="168"/>
        <v>0</v>
      </c>
      <c r="O663" s="73">
        <f t="shared" si="177"/>
        <v>0</v>
      </c>
      <c r="P663" s="73">
        <f t="shared" si="169"/>
        <v>0</v>
      </c>
      <c r="Q663" s="76">
        <f t="shared" si="174"/>
        <v>0</v>
      </c>
      <c r="R663" s="30">
        <f>COUNTIF(RAW_DATA[[#This Row],[CONVERTED]],"&gt;0")</f>
        <v>0</v>
      </c>
      <c r="S663" s="30">
        <f>COUNTIFS(RAW_DATA[[#This Row],[AM/PM]],"AM",RAW_DATA[[#This Row],[CONVERTED]],"&gt;0")</f>
        <v>0</v>
      </c>
      <c r="T663" s="19">
        <f t="shared" si="175"/>
        <v>0</v>
      </c>
      <c r="U663" s="20" t="str">
        <f>IF(AND(S663=1,T886=1,B663="AM"),"DOUBLE",IF(AND(S662=1,N663&gt;0),"DOUBLE","SINGLE"))</f>
        <v>SINGLE</v>
      </c>
    </row>
    <row r="664" spans="1:21" x14ac:dyDescent="0.35">
      <c r="A664" s="70">
        <f t="shared" si="165"/>
        <v>45422</v>
      </c>
      <c r="B664" s="71" t="str">
        <f t="shared" si="166"/>
        <v>AM</v>
      </c>
      <c r="C664" s="72" t="str">
        <f t="shared" si="167"/>
        <v>May</v>
      </c>
      <c r="D664" s="13" t="str">
        <f t="shared" si="170"/>
        <v>FRI</v>
      </c>
      <c r="E664" s="73">
        <v>0</v>
      </c>
      <c r="F664" s="73">
        <v>0</v>
      </c>
      <c r="G664" s="73">
        <v>0</v>
      </c>
      <c r="H664" s="73">
        <f t="shared" si="178"/>
        <v>0</v>
      </c>
      <c r="I664" s="73">
        <f t="shared" si="172"/>
        <v>0</v>
      </c>
      <c r="J664" s="73">
        <v>0</v>
      </c>
      <c r="K664" s="73">
        <f t="shared" si="173"/>
        <v>0</v>
      </c>
      <c r="L664" s="74">
        <v>0</v>
      </c>
      <c r="M664" s="74">
        <v>0</v>
      </c>
      <c r="N664" s="75">
        <f t="shared" si="168"/>
        <v>0</v>
      </c>
      <c r="O664" s="73">
        <f t="shared" si="177"/>
        <v>0</v>
      </c>
      <c r="P664" s="73">
        <f t="shared" si="169"/>
        <v>0</v>
      </c>
      <c r="Q664" s="76">
        <f t="shared" si="174"/>
        <v>0</v>
      </c>
      <c r="R664" s="30">
        <f>COUNTIF(RAW_DATA[[#This Row],[CONVERTED]],"&gt;0")</f>
        <v>0</v>
      </c>
      <c r="S664" s="30">
        <f>COUNTIFS(RAW_DATA[[#This Row],[AM/PM]],"AM",RAW_DATA[[#This Row],[CONVERTED]],"&gt;0")</f>
        <v>0</v>
      </c>
      <c r="T664" s="19">
        <f t="shared" si="175"/>
        <v>0</v>
      </c>
      <c r="U664" s="20" t="str">
        <f>IF(AND(S664=1,T665=1,B664="AM"),"DOUBLE",IF(AND(S663=1,N664&gt;0),"DOUBLE","SINGLE"))</f>
        <v>SINGLE</v>
      </c>
    </row>
    <row r="665" spans="1:21" x14ac:dyDescent="0.35">
      <c r="A665" s="70">
        <f t="shared" si="165"/>
        <v>45422</v>
      </c>
      <c r="B665" s="71" t="str">
        <f t="shared" si="166"/>
        <v>PM</v>
      </c>
      <c r="C665" s="72" t="str">
        <f t="shared" si="167"/>
        <v>May</v>
      </c>
      <c r="D665" s="13" t="str">
        <f t="shared" si="170"/>
        <v>FRI</v>
      </c>
      <c r="E665" s="73">
        <v>1527.5</v>
      </c>
      <c r="F665" s="73">
        <v>270.60000000000002</v>
      </c>
      <c r="G665" s="73">
        <v>0</v>
      </c>
      <c r="H665" s="73">
        <f t="shared" si="178"/>
        <v>61.1</v>
      </c>
      <c r="I665" s="73">
        <f t="shared" si="172"/>
        <v>4.5460799999999999</v>
      </c>
      <c r="J665" s="73">
        <v>0</v>
      </c>
      <c r="K665" s="73">
        <f t="shared" si="173"/>
        <v>204.95392000000004</v>
      </c>
      <c r="L665" s="74">
        <v>7</v>
      </c>
      <c r="M665" s="74">
        <v>20</v>
      </c>
      <c r="N665" s="75">
        <f t="shared" si="168"/>
        <v>7.333333333333333</v>
      </c>
      <c r="O665" s="73">
        <f t="shared" si="177"/>
        <v>15.62</v>
      </c>
      <c r="P665" s="73">
        <f t="shared" si="169"/>
        <v>220.57392000000004</v>
      </c>
      <c r="Q665" s="76">
        <f t="shared" si="174"/>
        <v>220.57392000000004</v>
      </c>
      <c r="R665" s="30">
        <f>COUNTIF(RAW_DATA[[#This Row],[CONVERTED]],"&gt;0")</f>
        <v>1</v>
      </c>
      <c r="S665" s="30">
        <f>COUNTIFS(RAW_DATA[[#This Row],[AM/PM]],"AM",RAW_DATA[[#This Row],[CONVERTED]],"&gt;0")</f>
        <v>0</v>
      </c>
      <c r="T665" s="19">
        <f t="shared" si="175"/>
        <v>0</v>
      </c>
      <c r="U665" s="20" t="str">
        <f>IF(AND(S665=1,T888=1,B665="AM"),"DOUBLE",IF(AND(S664=1,N665&gt;0),"DOUBLE","SINGLE"))</f>
        <v>SINGLE</v>
      </c>
    </row>
    <row r="666" spans="1:21" x14ac:dyDescent="0.35">
      <c r="A666" s="70">
        <f t="shared" si="165"/>
        <v>45423</v>
      </c>
      <c r="B666" s="71" t="str">
        <f t="shared" si="166"/>
        <v>AM</v>
      </c>
      <c r="C666" s="72" t="str">
        <f t="shared" si="167"/>
        <v>May</v>
      </c>
      <c r="D666" s="13" t="str">
        <f t="shared" si="170"/>
        <v>SAT</v>
      </c>
      <c r="E666" s="73">
        <v>1165</v>
      </c>
      <c r="F666" s="73">
        <v>190.83</v>
      </c>
      <c r="G666" s="73">
        <v>27.5</v>
      </c>
      <c r="H666" s="73">
        <f t="shared" si="178"/>
        <v>46.6</v>
      </c>
      <c r="I666" s="73">
        <f t="shared" si="172"/>
        <v>3.2059440000000001</v>
      </c>
      <c r="J666" s="73">
        <v>6.06</v>
      </c>
      <c r="K666" s="73">
        <f t="shared" si="173"/>
        <v>141.024056</v>
      </c>
      <c r="L666" s="74">
        <v>5</v>
      </c>
      <c r="M666" s="74">
        <v>24</v>
      </c>
      <c r="N666" s="75">
        <f t="shared" si="168"/>
        <v>5.4</v>
      </c>
      <c r="O666" s="73">
        <f t="shared" si="177"/>
        <v>11.502000000000001</v>
      </c>
      <c r="P666" s="73">
        <f t="shared" si="169"/>
        <v>158.58605600000001</v>
      </c>
      <c r="Q666" s="76">
        <f t="shared" si="174"/>
        <v>180.02605600000001</v>
      </c>
      <c r="R666" s="30">
        <f>COUNTIF(RAW_DATA[[#This Row],[CONVERTED]],"&gt;0")</f>
        <v>1</v>
      </c>
      <c r="S666" s="30">
        <f>COUNTIFS(RAW_DATA[[#This Row],[AM/PM]],"AM",RAW_DATA[[#This Row],[CONVERTED]],"&gt;0")</f>
        <v>1</v>
      </c>
      <c r="T666" s="19">
        <f t="shared" si="175"/>
        <v>0</v>
      </c>
      <c r="U666" s="20" t="str">
        <f>IF(AND(S666=1,T667=1,B666="AM"),"DOUBLE",IF(AND(S665=1,N666&gt;0),"DOUBLE","SINGLE"))</f>
        <v>DOUBLE</v>
      </c>
    </row>
    <row r="667" spans="1:21" x14ac:dyDescent="0.35">
      <c r="A667" s="70">
        <f t="shared" si="165"/>
        <v>45423</v>
      </c>
      <c r="B667" s="71" t="str">
        <f t="shared" si="166"/>
        <v>PM</v>
      </c>
      <c r="C667" s="72" t="str">
        <f t="shared" si="167"/>
        <v>May</v>
      </c>
      <c r="D667" s="13" t="str">
        <f t="shared" si="170"/>
        <v>SAT</v>
      </c>
      <c r="E667" s="73">
        <v>1165</v>
      </c>
      <c r="F667" s="73">
        <v>190.83</v>
      </c>
      <c r="G667" s="73">
        <v>27.5</v>
      </c>
      <c r="H667" s="73">
        <f t="shared" si="178"/>
        <v>46.6</v>
      </c>
      <c r="I667" s="73">
        <f t="shared" si="172"/>
        <v>3.2059440000000001</v>
      </c>
      <c r="J667" s="73">
        <v>6.06</v>
      </c>
      <c r="K667" s="73">
        <f t="shared" si="173"/>
        <v>141.024056</v>
      </c>
      <c r="L667" s="74">
        <v>5</v>
      </c>
      <c r="M667" s="74">
        <v>24</v>
      </c>
      <c r="N667" s="75">
        <f t="shared" si="168"/>
        <v>5.4</v>
      </c>
      <c r="O667" s="73">
        <f t="shared" si="177"/>
        <v>11.502000000000001</v>
      </c>
      <c r="P667" s="73">
        <f t="shared" si="169"/>
        <v>158.58605600000001</v>
      </c>
      <c r="Q667" s="76">
        <f t="shared" si="174"/>
        <v>180.02605600000001</v>
      </c>
      <c r="R667" s="30">
        <f>COUNTIF(RAW_DATA[[#This Row],[CONVERTED]],"&gt;0")</f>
        <v>1</v>
      </c>
      <c r="S667" s="30">
        <f>COUNTIFS(RAW_DATA[[#This Row],[AM/PM]],"AM",RAW_DATA[[#This Row],[CONVERTED]],"&gt;0")</f>
        <v>0</v>
      </c>
      <c r="T667" s="19">
        <f t="shared" si="175"/>
        <v>1</v>
      </c>
      <c r="U667" s="20" t="str">
        <f>IF(AND(S667=1,T890=1,B667="AM"),"DOUBLE",IF(AND(S666=1,N667&gt;0),"DOUBLE","SINGLE"))</f>
        <v>DOUBLE</v>
      </c>
    </row>
    <row r="668" spans="1:21" x14ac:dyDescent="0.35">
      <c r="A668" s="70">
        <f t="shared" si="165"/>
        <v>45424</v>
      </c>
      <c r="B668" s="71" t="str">
        <f t="shared" si="166"/>
        <v>AM</v>
      </c>
      <c r="C668" s="72" t="str">
        <f t="shared" si="167"/>
        <v>May</v>
      </c>
      <c r="D668" s="13" t="str">
        <f t="shared" si="170"/>
        <v>SUN</v>
      </c>
      <c r="E668" s="73">
        <v>0</v>
      </c>
      <c r="F668" s="73">
        <v>0</v>
      </c>
      <c r="G668" s="73">
        <v>0</v>
      </c>
      <c r="H668" s="73">
        <f t="shared" si="178"/>
        <v>0</v>
      </c>
      <c r="I668" s="73">
        <f t="shared" si="172"/>
        <v>0</v>
      </c>
      <c r="J668" s="73">
        <v>0</v>
      </c>
      <c r="K668" s="73">
        <f t="shared" si="173"/>
        <v>0</v>
      </c>
      <c r="L668" s="74">
        <v>0</v>
      </c>
      <c r="M668" s="74">
        <v>0</v>
      </c>
      <c r="N668" s="75">
        <f t="shared" si="168"/>
        <v>0</v>
      </c>
      <c r="O668" s="73">
        <f t="shared" si="177"/>
        <v>0</v>
      </c>
      <c r="P668" s="73">
        <f t="shared" si="169"/>
        <v>0</v>
      </c>
      <c r="Q668" s="76">
        <f t="shared" si="174"/>
        <v>0</v>
      </c>
      <c r="R668" s="30">
        <f>COUNTIF(RAW_DATA[[#This Row],[CONVERTED]],"&gt;0")</f>
        <v>0</v>
      </c>
      <c r="S668" s="30">
        <f>COUNTIFS(RAW_DATA[[#This Row],[AM/PM]],"AM",RAW_DATA[[#This Row],[CONVERTED]],"&gt;0")</f>
        <v>0</v>
      </c>
      <c r="T668" s="19">
        <f t="shared" si="175"/>
        <v>0</v>
      </c>
      <c r="U668" s="20" t="str">
        <f>IF(AND(S668=1,T669=1,B668="AM"),"DOUBLE",IF(AND(S667=1,N668&gt;0),"DOUBLE","SINGLE"))</f>
        <v>SINGLE</v>
      </c>
    </row>
    <row r="669" spans="1:21" x14ac:dyDescent="0.35">
      <c r="A669" s="70">
        <f t="shared" si="165"/>
        <v>45424</v>
      </c>
      <c r="B669" s="71" t="str">
        <f t="shared" si="166"/>
        <v>PM</v>
      </c>
      <c r="C669" s="72" t="str">
        <f t="shared" si="167"/>
        <v>May</v>
      </c>
      <c r="D669" s="13" t="str">
        <f t="shared" si="170"/>
        <v>SUN</v>
      </c>
      <c r="E669" s="73">
        <v>2631.5</v>
      </c>
      <c r="F669" s="73">
        <v>494.5</v>
      </c>
      <c r="G669" s="73">
        <v>46</v>
      </c>
      <c r="H669" s="73">
        <f t="shared" si="178"/>
        <v>105.26</v>
      </c>
      <c r="I669" s="73">
        <f t="shared" si="172"/>
        <v>8.307599999999999</v>
      </c>
      <c r="J669" s="73">
        <v>11.92</v>
      </c>
      <c r="K669" s="73">
        <f t="shared" si="173"/>
        <v>380.93240000000003</v>
      </c>
      <c r="L669" s="74">
        <v>7</v>
      </c>
      <c r="M669" s="74">
        <v>0</v>
      </c>
      <c r="N669" s="75">
        <f t="shared" si="168"/>
        <v>7</v>
      </c>
      <c r="O669" s="73">
        <f t="shared" si="177"/>
        <v>14.91</v>
      </c>
      <c r="P669" s="73">
        <f t="shared" si="169"/>
        <v>407.76240000000007</v>
      </c>
      <c r="Q669" s="76">
        <f t="shared" si="174"/>
        <v>441.84240000000005</v>
      </c>
      <c r="R669" s="30">
        <f>COUNTIF(RAW_DATA[[#This Row],[CONVERTED]],"&gt;0")</f>
        <v>1</v>
      </c>
      <c r="S669" s="30">
        <f>COUNTIFS(RAW_DATA[[#This Row],[AM/PM]],"AM",RAW_DATA[[#This Row],[CONVERTED]],"&gt;0")</f>
        <v>0</v>
      </c>
      <c r="T669" s="19">
        <f t="shared" si="175"/>
        <v>0</v>
      </c>
      <c r="U669" s="20" t="str">
        <f>IF(AND(S669=1,T892=1,B669="AM"),"DOUBLE",IF(AND(S668=1,N669&gt;0),"DOUBLE","SINGLE"))</f>
        <v>SINGLE</v>
      </c>
    </row>
    <row r="670" spans="1:21" x14ac:dyDescent="0.35">
      <c r="A670" s="84">
        <f t="shared" si="165"/>
        <v>45425</v>
      </c>
      <c r="B670" s="85" t="str">
        <f t="shared" si="166"/>
        <v>AM</v>
      </c>
      <c r="C670" s="86" t="str">
        <f t="shared" si="167"/>
        <v>May</v>
      </c>
      <c r="D670" s="87" t="str">
        <f t="shared" si="170"/>
        <v>MON</v>
      </c>
      <c r="E670" s="88">
        <v>390.5</v>
      </c>
      <c r="F670" s="88">
        <v>75</v>
      </c>
      <c r="G670" s="88">
        <v>10</v>
      </c>
      <c r="H670" s="88">
        <f t="shared" si="178"/>
        <v>15.620000000000001</v>
      </c>
      <c r="I670" s="88">
        <f t="shared" si="172"/>
        <v>1.26</v>
      </c>
      <c r="J670" s="88">
        <v>0</v>
      </c>
      <c r="K670" s="88">
        <f t="shared" si="173"/>
        <v>58.12</v>
      </c>
      <c r="L670" s="89">
        <v>3</v>
      </c>
      <c r="M670" s="89">
        <v>5</v>
      </c>
      <c r="N670" s="89">
        <v>0</v>
      </c>
      <c r="O670" s="88">
        <f t="shared" si="177"/>
        <v>0</v>
      </c>
      <c r="P670" s="88">
        <f t="shared" si="169"/>
        <v>58.12</v>
      </c>
      <c r="Q670" s="90">
        <f t="shared" si="174"/>
        <v>68.12</v>
      </c>
      <c r="R670" s="30">
        <f>COUNTIF(RAW_DATA[[#This Row],[CONVERTED]],"&gt;0")</f>
        <v>0</v>
      </c>
      <c r="S670" s="30">
        <f>COUNTIFS(RAW_DATA[[#This Row],[AM/PM]],"AM",RAW_DATA[[#This Row],[CONVERTED]],"&gt;0")</f>
        <v>0</v>
      </c>
      <c r="T670" s="19">
        <f t="shared" si="175"/>
        <v>0</v>
      </c>
      <c r="U670" s="91" t="str">
        <f>IF(AND(S670=1,T671=1,B670="AM"),"DOUBLE",IF(AND(S669=1,N670&gt;0),"DOUBLE","SINGLE"))</f>
        <v>SINGLE</v>
      </c>
    </row>
    <row r="671" spans="1:21" x14ac:dyDescent="0.35">
      <c r="A671" s="84">
        <f t="shared" si="165"/>
        <v>45425</v>
      </c>
      <c r="B671" s="85" t="str">
        <f t="shared" si="166"/>
        <v>PM</v>
      </c>
      <c r="C671" s="86" t="str">
        <f t="shared" si="167"/>
        <v>May</v>
      </c>
      <c r="D671" s="87" t="str">
        <f t="shared" si="170"/>
        <v>MON</v>
      </c>
      <c r="E671" s="88">
        <v>0</v>
      </c>
      <c r="F671" s="88">
        <v>0</v>
      </c>
      <c r="G671" s="88">
        <v>0</v>
      </c>
      <c r="H671" s="88">
        <f t="shared" si="178"/>
        <v>0</v>
      </c>
      <c r="I671" s="88">
        <f t="shared" si="172"/>
        <v>0</v>
      </c>
      <c r="J671" s="88">
        <v>0</v>
      </c>
      <c r="K671" s="88">
        <f t="shared" si="173"/>
        <v>0</v>
      </c>
      <c r="L671" s="89">
        <v>0</v>
      </c>
      <c r="M671" s="89">
        <v>0</v>
      </c>
      <c r="N671" s="89">
        <v>0</v>
      </c>
      <c r="O671" s="88">
        <f t="shared" si="177"/>
        <v>0</v>
      </c>
      <c r="P671" s="88">
        <f t="shared" si="169"/>
        <v>0</v>
      </c>
      <c r="Q671" s="90">
        <f t="shared" si="174"/>
        <v>0</v>
      </c>
      <c r="R671" s="30">
        <f>COUNTIF(RAW_DATA[[#This Row],[CONVERTED]],"&gt;0")</f>
        <v>0</v>
      </c>
      <c r="S671" s="30">
        <f>COUNTIFS(RAW_DATA[[#This Row],[AM/PM]],"AM",RAW_DATA[[#This Row],[CONVERTED]],"&gt;0")</f>
        <v>0</v>
      </c>
      <c r="T671" s="19">
        <f t="shared" si="175"/>
        <v>0</v>
      </c>
      <c r="U671" s="91" t="str">
        <f>IF(AND(S671=1,T894=1,B671="AM"),"DOUBLE",IF(AND(S670=1,N671&gt;0),"DOUBLE","SINGLE"))</f>
        <v>SINGLE</v>
      </c>
    </row>
    <row r="672" spans="1:21" x14ac:dyDescent="0.35">
      <c r="A672" s="70">
        <f t="shared" si="165"/>
        <v>45426</v>
      </c>
      <c r="B672" s="71" t="str">
        <f t="shared" si="166"/>
        <v>AM</v>
      </c>
      <c r="C672" s="72" t="str">
        <f t="shared" si="167"/>
        <v>May</v>
      </c>
      <c r="D672" s="13" t="str">
        <f t="shared" si="170"/>
        <v>TUE</v>
      </c>
      <c r="E672" s="88">
        <v>0</v>
      </c>
      <c r="F672" s="88">
        <v>0</v>
      </c>
      <c r="G672" s="88">
        <v>0</v>
      </c>
      <c r="H672" s="73">
        <f t="shared" si="178"/>
        <v>0</v>
      </c>
      <c r="I672" s="73">
        <f t="shared" si="172"/>
        <v>0</v>
      </c>
      <c r="J672" s="88">
        <v>0</v>
      </c>
      <c r="K672" s="73">
        <f t="shared" si="173"/>
        <v>0</v>
      </c>
      <c r="L672" s="89">
        <v>0</v>
      </c>
      <c r="M672" s="89">
        <v>0</v>
      </c>
      <c r="N672" s="89">
        <v>0</v>
      </c>
      <c r="O672" s="73">
        <f t="shared" si="177"/>
        <v>0</v>
      </c>
      <c r="P672" s="73">
        <f t="shared" si="169"/>
        <v>0</v>
      </c>
      <c r="Q672" s="76">
        <f t="shared" si="174"/>
        <v>0</v>
      </c>
      <c r="R672" s="30">
        <f>COUNTIF(RAW_DATA[[#This Row],[CONVERTED]],"&gt;0")</f>
        <v>0</v>
      </c>
      <c r="S672" s="30">
        <f>COUNTIFS(RAW_DATA[[#This Row],[AM/PM]],"AM",RAW_DATA[[#This Row],[CONVERTED]],"&gt;0")</f>
        <v>0</v>
      </c>
      <c r="T672" s="19">
        <f t="shared" si="175"/>
        <v>0</v>
      </c>
      <c r="U672" s="20" t="str">
        <f>IF(AND(S672=1,T673=1,B672="AM"),"DOUBLE",IF(AND(S671=1,N672&gt;0),"DOUBLE","SINGLE"))</f>
        <v>SINGLE</v>
      </c>
    </row>
    <row r="673" spans="1:21" x14ac:dyDescent="0.35">
      <c r="A673" s="70">
        <f t="shared" si="165"/>
        <v>45426</v>
      </c>
      <c r="B673" s="71" t="str">
        <f t="shared" si="166"/>
        <v>PM</v>
      </c>
      <c r="C673" s="72" t="str">
        <f t="shared" si="167"/>
        <v>May</v>
      </c>
      <c r="D673" s="13" t="str">
        <f t="shared" si="170"/>
        <v>TUE</v>
      </c>
      <c r="E673" s="88">
        <v>0</v>
      </c>
      <c r="F673" s="88">
        <v>0</v>
      </c>
      <c r="G673" s="88">
        <v>0</v>
      </c>
      <c r="H673" s="73">
        <f t="shared" si="178"/>
        <v>0</v>
      </c>
      <c r="I673" s="73">
        <f t="shared" si="172"/>
        <v>0</v>
      </c>
      <c r="J673" s="88">
        <v>0</v>
      </c>
      <c r="K673" s="73">
        <f t="shared" si="173"/>
        <v>0</v>
      </c>
      <c r="L673" s="89">
        <v>0</v>
      </c>
      <c r="M673" s="89">
        <v>0</v>
      </c>
      <c r="N673" s="89">
        <v>0</v>
      </c>
      <c r="O673" s="73">
        <f t="shared" si="177"/>
        <v>0</v>
      </c>
      <c r="P673" s="73">
        <f t="shared" si="169"/>
        <v>0</v>
      </c>
      <c r="Q673" s="76">
        <f t="shared" si="174"/>
        <v>0</v>
      </c>
      <c r="R673" s="30">
        <f>COUNTIF(RAW_DATA[[#This Row],[CONVERTED]],"&gt;0")</f>
        <v>0</v>
      </c>
      <c r="S673" s="30">
        <f>COUNTIFS(RAW_DATA[[#This Row],[AM/PM]],"AM",RAW_DATA[[#This Row],[CONVERTED]],"&gt;0")</f>
        <v>0</v>
      </c>
      <c r="T673" s="19">
        <f t="shared" si="175"/>
        <v>0</v>
      </c>
      <c r="U673" s="20" t="str">
        <f t="shared" si="179"/>
        <v>SINGLE</v>
      </c>
    </row>
    <row r="674" spans="1:21" x14ac:dyDescent="0.35">
      <c r="A674" s="77">
        <f t="shared" si="165"/>
        <v>45427</v>
      </c>
      <c r="B674" s="78" t="str">
        <f t="shared" si="166"/>
        <v>AM</v>
      </c>
      <c r="C674" s="79" t="str">
        <f t="shared" si="167"/>
        <v>May</v>
      </c>
      <c r="D674" s="57" t="str">
        <f t="shared" si="170"/>
        <v>WED</v>
      </c>
      <c r="E674" s="80">
        <v>0</v>
      </c>
      <c r="F674" s="80">
        <v>0</v>
      </c>
      <c r="G674" s="80">
        <v>0</v>
      </c>
      <c r="H674" s="80">
        <f t="shared" si="178"/>
        <v>0</v>
      </c>
      <c r="I674" s="80">
        <f t="shared" si="172"/>
        <v>0</v>
      </c>
      <c r="J674" s="80">
        <v>0</v>
      </c>
      <c r="K674" s="80">
        <f t="shared" si="173"/>
        <v>0</v>
      </c>
      <c r="L674" s="81">
        <v>0</v>
      </c>
      <c r="M674" s="81">
        <v>0</v>
      </c>
      <c r="N674" s="81">
        <v>0</v>
      </c>
      <c r="O674" s="80">
        <f t="shared" si="177"/>
        <v>0</v>
      </c>
      <c r="P674" s="80">
        <f t="shared" si="169"/>
        <v>0</v>
      </c>
      <c r="Q674" s="83">
        <f t="shared" si="174"/>
        <v>0</v>
      </c>
      <c r="R674" s="62">
        <f>COUNTIF(RAW_DATA[[#This Row],[CONVERTED]],"&gt;0")</f>
        <v>0</v>
      </c>
      <c r="S674" s="62">
        <f>COUNTIFS(RAW_DATA[[#This Row],[AM/PM]],"AM",RAW_DATA[[#This Row],[CONVERTED]],"&gt;0")</f>
        <v>0</v>
      </c>
      <c r="T674" s="63">
        <f t="shared" si="175"/>
        <v>0</v>
      </c>
      <c r="U674" s="64" t="str">
        <f t="shared" si="179"/>
        <v>SINGLE</v>
      </c>
    </row>
    <row r="675" spans="1:21" x14ac:dyDescent="0.35">
      <c r="A675" s="70">
        <f t="shared" si="165"/>
        <v>45427</v>
      </c>
      <c r="B675" s="71" t="str">
        <f t="shared" si="166"/>
        <v>PM</v>
      </c>
      <c r="C675" s="72" t="str">
        <f t="shared" si="167"/>
        <v>May</v>
      </c>
      <c r="D675" s="13" t="str">
        <f t="shared" si="170"/>
        <v>WED</v>
      </c>
      <c r="E675" s="73">
        <v>904</v>
      </c>
      <c r="F675" s="73">
        <v>164.11</v>
      </c>
      <c r="G675" s="73">
        <v>17</v>
      </c>
      <c r="H675" s="73">
        <f t="shared" si="178"/>
        <v>36.160000000000004</v>
      </c>
      <c r="I675" s="73">
        <f t="shared" si="172"/>
        <v>2.7570480000000002</v>
      </c>
      <c r="J675" s="73">
        <v>6.16</v>
      </c>
      <c r="K675" s="73">
        <f t="shared" si="173"/>
        <v>125.19295200000002</v>
      </c>
      <c r="L675" s="74">
        <v>4</v>
      </c>
      <c r="M675" s="74">
        <v>22</v>
      </c>
      <c r="N675" s="75">
        <f t="shared" si="168"/>
        <v>4.3666666666666663</v>
      </c>
      <c r="O675" s="73">
        <f t="shared" si="177"/>
        <v>9.3009999999999984</v>
      </c>
      <c r="P675" s="73">
        <f t="shared" si="169"/>
        <v>140.653952</v>
      </c>
      <c r="Q675" s="76">
        <f t="shared" si="174"/>
        <v>151.49395200000001</v>
      </c>
      <c r="R675" s="30">
        <f>COUNTIF(RAW_DATA[[#This Row],[CONVERTED]],"&gt;0")</f>
        <v>1</v>
      </c>
      <c r="S675" s="30">
        <f>COUNTIFS(RAW_DATA[[#This Row],[AM/PM]],"AM",RAW_DATA[[#This Row],[CONVERTED]],"&gt;0")</f>
        <v>0</v>
      </c>
      <c r="T675" s="19">
        <f t="shared" si="175"/>
        <v>0</v>
      </c>
      <c r="U675" s="20" t="str">
        <f t="shared" si="179"/>
        <v>SINGLE</v>
      </c>
    </row>
    <row r="676" spans="1:21" x14ac:dyDescent="0.35">
      <c r="A676" s="70">
        <f t="shared" si="165"/>
        <v>45428</v>
      </c>
      <c r="B676" s="71" t="str">
        <f t="shared" si="166"/>
        <v>AM</v>
      </c>
      <c r="C676" s="72" t="str">
        <f t="shared" si="167"/>
        <v>May</v>
      </c>
      <c r="D676" s="13" t="str">
        <f t="shared" si="170"/>
        <v>THU</v>
      </c>
      <c r="E676" s="73">
        <v>0</v>
      </c>
      <c r="F676" s="73">
        <v>0</v>
      </c>
      <c r="G676" s="73">
        <v>0</v>
      </c>
      <c r="H676" s="73">
        <f t="shared" si="178"/>
        <v>0</v>
      </c>
      <c r="I676" s="73">
        <f t="shared" si="172"/>
        <v>0</v>
      </c>
      <c r="J676" s="73">
        <v>0</v>
      </c>
      <c r="K676" s="73">
        <f t="shared" si="173"/>
        <v>0</v>
      </c>
      <c r="L676" s="74">
        <v>0</v>
      </c>
      <c r="M676" s="74">
        <v>0</v>
      </c>
      <c r="N676" s="75">
        <f t="shared" si="168"/>
        <v>0</v>
      </c>
      <c r="O676" s="73">
        <f t="shared" si="177"/>
        <v>0</v>
      </c>
      <c r="P676" s="73">
        <f t="shared" si="169"/>
        <v>0</v>
      </c>
      <c r="Q676" s="76">
        <f t="shared" si="174"/>
        <v>0</v>
      </c>
      <c r="R676" s="30">
        <f>COUNTIF(RAW_DATA[[#This Row],[CONVERTED]],"&gt;0")</f>
        <v>0</v>
      </c>
      <c r="S676" s="30">
        <f>COUNTIFS(RAW_DATA[[#This Row],[AM/PM]],"AM",RAW_DATA[[#This Row],[CONVERTED]],"&gt;0")</f>
        <v>0</v>
      </c>
      <c r="T676" s="19">
        <f t="shared" si="175"/>
        <v>0</v>
      </c>
      <c r="U676" s="20" t="str">
        <f t="shared" si="179"/>
        <v>SINGLE</v>
      </c>
    </row>
    <row r="677" spans="1:21" x14ac:dyDescent="0.35">
      <c r="A677" s="70">
        <f t="shared" si="165"/>
        <v>45428</v>
      </c>
      <c r="B677" s="71" t="str">
        <f t="shared" si="166"/>
        <v>PM</v>
      </c>
      <c r="C677" s="72" t="str">
        <f t="shared" si="167"/>
        <v>May</v>
      </c>
      <c r="D677" s="13" t="str">
        <f t="shared" si="170"/>
        <v>THU</v>
      </c>
      <c r="E677" s="73">
        <v>1066.5</v>
      </c>
      <c r="F677" s="73">
        <v>193.26</v>
      </c>
      <c r="G677" s="73">
        <v>0</v>
      </c>
      <c r="H677" s="73">
        <f t="shared" si="178"/>
        <v>42.660000000000004</v>
      </c>
      <c r="I677" s="73">
        <f t="shared" si="172"/>
        <v>3.2467679999999994</v>
      </c>
      <c r="J677" s="73">
        <v>6.56</v>
      </c>
      <c r="K677" s="73">
        <f t="shared" si="173"/>
        <v>147.35323199999999</v>
      </c>
      <c r="L677" s="74">
        <v>5</v>
      </c>
      <c r="M677" s="74">
        <v>0</v>
      </c>
      <c r="N677" s="75">
        <f t="shared" si="168"/>
        <v>5</v>
      </c>
      <c r="O677" s="73">
        <f t="shared" si="177"/>
        <v>10.649999999999999</v>
      </c>
      <c r="P677" s="73">
        <f t="shared" si="169"/>
        <v>164.563232</v>
      </c>
      <c r="Q677" s="76">
        <f t="shared" si="174"/>
        <v>158.003232</v>
      </c>
      <c r="R677" s="30">
        <f>COUNTIF(RAW_DATA[[#This Row],[CONVERTED]],"&gt;0")</f>
        <v>1</v>
      </c>
      <c r="S677" s="30">
        <f>COUNTIFS(RAW_DATA[[#This Row],[AM/PM]],"AM",RAW_DATA[[#This Row],[CONVERTED]],"&gt;0")</f>
        <v>0</v>
      </c>
      <c r="T677" s="19">
        <f t="shared" si="175"/>
        <v>0</v>
      </c>
      <c r="U677" s="20" t="str">
        <f t="shared" si="179"/>
        <v>SINGLE</v>
      </c>
    </row>
    <row r="678" spans="1:21" x14ac:dyDescent="0.35">
      <c r="A678" s="70">
        <f t="shared" si="165"/>
        <v>45429</v>
      </c>
      <c r="B678" s="71" t="str">
        <f t="shared" si="166"/>
        <v>AM</v>
      </c>
      <c r="C678" s="72" t="str">
        <f t="shared" si="167"/>
        <v>May</v>
      </c>
      <c r="D678" s="13" t="str">
        <f t="shared" si="170"/>
        <v>FRI</v>
      </c>
      <c r="E678" s="73">
        <v>0</v>
      </c>
      <c r="F678" s="73">
        <v>0</v>
      </c>
      <c r="G678" s="73">
        <v>0</v>
      </c>
      <c r="H678" s="73">
        <f t="shared" si="178"/>
        <v>0</v>
      </c>
      <c r="I678" s="73">
        <f t="shared" si="172"/>
        <v>0</v>
      </c>
      <c r="J678" s="73">
        <v>0</v>
      </c>
      <c r="K678" s="73">
        <f t="shared" si="173"/>
        <v>0</v>
      </c>
      <c r="L678" s="74">
        <v>0</v>
      </c>
      <c r="M678" s="74">
        <v>0</v>
      </c>
      <c r="N678" s="75">
        <f t="shared" si="168"/>
        <v>0</v>
      </c>
      <c r="O678" s="73">
        <f t="shared" si="177"/>
        <v>0</v>
      </c>
      <c r="P678" s="73">
        <f t="shared" si="169"/>
        <v>0</v>
      </c>
      <c r="Q678" s="76">
        <f t="shared" si="174"/>
        <v>0</v>
      </c>
      <c r="R678" s="30">
        <f>COUNTIF(RAW_DATA[[#This Row],[CONVERTED]],"&gt;0")</f>
        <v>0</v>
      </c>
      <c r="S678" s="30">
        <f>COUNTIFS(RAW_DATA[[#This Row],[AM/PM]],"AM",RAW_DATA[[#This Row],[CONVERTED]],"&gt;0")</f>
        <v>0</v>
      </c>
      <c r="T678" s="19">
        <f t="shared" si="175"/>
        <v>0</v>
      </c>
      <c r="U678" s="20" t="str">
        <f t="shared" si="179"/>
        <v>SINGLE</v>
      </c>
    </row>
    <row r="679" spans="1:21" x14ac:dyDescent="0.35">
      <c r="A679" s="70">
        <f t="shared" si="165"/>
        <v>45429</v>
      </c>
      <c r="B679" s="71" t="str">
        <f t="shared" si="166"/>
        <v>PM</v>
      </c>
      <c r="C679" s="72" t="str">
        <f t="shared" si="167"/>
        <v>May</v>
      </c>
      <c r="D679" s="13" t="str">
        <f t="shared" si="170"/>
        <v>FRI</v>
      </c>
      <c r="E679" s="73">
        <v>0</v>
      </c>
      <c r="F679" s="73">
        <v>0</v>
      </c>
      <c r="G679" s="73">
        <v>0</v>
      </c>
      <c r="H679" s="73">
        <f t="shared" si="178"/>
        <v>0</v>
      </c>
      <c r="I679" s="73">
        <f t="shared" si="172"/>
        <v>0</v>
      </c>
      <c r="J679" s="73">
        <v>0</v>
      </c>
      <c r="K679" s="73">
        <f t="shared" si="173"/>
        <v>0</v>
      </c>
      <c r="L679" s="74">
        <v>0</v>
      </c>
      <c r="M679" s="74">
        <v>0</v>
      </c>
      <c r="N679" s="75">
        <f t="shared" si="168"/>
        <v>0</v>
      </c>
      <c r="O679" s="73">
        <f t="shared" si="177"/>
        <v>0</v>
      </c>
      <c r="P679" s="73">
        <f t="shared" si="169"/>
        <v>0</v>
      </c>
      <c r="Q679" s="76">
        <f t="shared" si="174"/>
        <v>0</v>
      </c>
      <c r="R679" s="30">
        <f>COUNTIF(RAW_DATA[[#This Row],[CONVERTED]],"&gt;0")</f>
        <v>0</v>
      </c>
      <c r="S679" s="30">
        <f>COUNTIFS(RAW_DATA[[#This Row],[AM/PM]],"AM",RAW_DATA[[#This Row],[CONVERTED]],"&gt;0")</f>
        <v>0</v>
      </c>
      <c r="T679" s="19">
        <f t="shared" si="175"/>
        <v>0</v>
      </c>
      <c r="U679" s="20" t="str">
        <f t="shared" si="179"/>
        <v>SINGLE</v>
      </c>
    </row>
    <row r="680" spans="1:21" x14ac:dyDescent="0.35">
      <c r="A680" s="70">
        <f t="shared" si="165"/>
        <v>45430</v>
      </c>
      <c r="B680" s="71" t="str">
        <f t="shared" si="166"/>
        <v>AM</v>
      </c>
      <c r="C680" s="72" t="str">
        <f t="shared" si="167"/>
        <v>May</v>
      </c>
      <c r="D680" s="13" t="str">
        <f t="shared" si="170"/>
        <v>SAT</v>
      </c>
      <c r="E680" s="73">
        <v>1385.5</v>
      </c>
      <c r="F680" s="73">
        <v>217.77</v>
      </c>
      <c r="G680" s="73">
        <v>0</v>
      </c>
      <c r="H680" s="73">
        <f t="shared" si="178"/>
        <v>55.42</v>
      </c>
      <c r="I680" s="73">
        <f t="shared" si="172"/>
        <v>3.6585359999999998</v>
      </c>
      <c r="J680" s="73">
        <v>0</v>
      </c>
      <c r="K680" s="73">
        <f t="shared" si="173"/>
        <v>158.691464</v>
      </c>
      <c r="L680" s="74">
        <v>0</v>
      </c>
      <c r="M680" s="74">
        <v>0</v>
      </c>
      <c r="N680" s="75">
        <f t="shared" si="168"/>
        <v>0</v>
      </c>
      <c r="O680" s="73">
        <f t="shared" si="177"/>
        <v>0</v>
      </c>
      <c r="P680" s="73">
        <f t="shared" si="169"/>
        <v>158.691464</v>
      </c>
      <c r="Q680" s="76">
        <f t="shared" si="174"/>
        <v>158.691464</v>
      </c>
      <c r="R680" s="30">
        <f>COUNTIF(RAW_DATA[[#This Row],[CONVERTED]],"&gt;0")</f>
        <v>0</v>
      </c>
      <c r="S680" s="30">
        <f>COUNTIFS(RAW_DATA[[#This Row],[AM/PM]],"AM",RAW_DATA[[#This Row],[CONVERTED]],"&gt;0")</f>
        <v>0</v>
      </c>
      <c r="T680" s="19">
        <f t="shared" si="175"/>
        <v>0</v>
      </c>
      <c r="U680" s="20" t="str">
        <f t="shared" si="179"/>
        <v>SINGLE</v>
      </c>
    </row>
    <row r="681" spans="1:21" x14ac:dyDescent="0.35">
      <c r="A681" s="70">
        <f t="shared" si="165"/>
        <v>45430</v>
      </c>
      <c r="B681" s="71" t="str">
        <f t="shared" si="166"/>
        <v>PM</v>
      </c>
      <c r="C681" s="72" t="str">
        <f t="shared" si="167"/>
        <v>May</v>
      </c>
      <c r="D681" s="13" t="str">
        <f t="shared" si="170"/>
        <v>SAT</v>
      </c>
      <c r="E681" s="73">
        <v>1555</v>
      </c>
      <c r="F681" s="73">
        <v>280.70999999999998</v>
      </c>
      <c r="G681" s="73">
        <v>55</v>
      </c>
      <c r="H681" s="73">
        <f t="shared" si="178"/>
        <v>62.2</v>
      </c>
      <c r="I681" s="73">
        <f t="shared" si="172"/>
        <v>4.715927999999999</v>
      </c>
      <c r="J681" s="73">
        <v>1.44</v>
      </c>
      <c r="K681" s="73">
        <f t="shared" si="173"/>
        <v>213.79407199999997</v>
      </c>
      <c r="L681" s="74">
        <v>5</v>
      </c>
      <c r="M681" s="74">
        <v>17</v>
      </c>
      <c r="N681" s="75">
        <f t="shared" si="168"/>
        <v>5.2833333333333332</v>
      </c>
      <c r="O681" s="73">
        <f t="shared" si="177"/>
        <v>11.253499999999999</v>
      </c>
      <c r="P681" s="73">
        <f t="shared" si="169"/>
        <v>226.48757199999997</v>
      </c>
      <c r="Q681" s="76">
        <f t="shared" si="174"/>
        <v>280.04757199999995</v>
      </c>
      <c r="R681" s="30">
        <f>COUNTIF(RAW_DATA[[#This Row],[CONVERTED]],"&gt;0")</f>
        <v>1</v>
      </c>
      <c r="S681" s="30">
        <f>COUNTIFS(RAW_DATA[[#This Row],[AM/PM]],"AM",RAW_DATA[[#This Row],[CONVERTED]],"&gt;0")</f>
        <v>0</v>
      </c>
      <c r="T681" s="19">
        <f t="shared" si="175"/>
        <v>0</v>
      </c>
      <c r="U681" s="20" t="str">
        <f t="shared" si="179"/>
        <v>SINGLE</v>
      </c>
    </row>
    <row r="682" spans="1:21" x14ac:dyDescent="0.35">
      <c r="A682" s="70">
        <f t="shared" si="165"/>
        <v>45431</v>
      </c>
      <c r="B682" s="71" t="str">
        <f t="shared" si="166"/>
        <v>AM</v>
      </c>
      <c r="C682" s="72" t="str">
        <f t="shared" si="167"/>
        <v>May</v>
      </c>
      <c r="D682" s="13" t="str">
        <f t="shared" si="170"/>
        <v>SUN</v>
      </c>
      <c r="E682" s="73">
        <v>525</v>
      </c>
      <c r="F682" s="73">
        <v>77.52</v>
      </c>
      <c r="G682" s="73">
        <v>38</v>
      </c>
      <c r="H682" s="73">
        <f t="shared" si="178"/>
        <v>21</v>
      </c>
      <c r="I682" s="73">
        <f t="shared" si="172"/>
        <v>1.3023359999999999</v>
      </c>
      <c r="J682" s="73">
        <v>9.84</v>
      </c>
      <c r="K682" s="73">
        <f t="shared" si="173"/>
        <v>55.217663999999999</v>
      </c>
      <c r="L682" s="74">
        <v>4</v>
      </c>
      <c r="M682" s="74">
        <v>50</v>
      </c>
      <c r="N682" s="75">
        <f t="shared" si="168"/>
        <v>4.833333333333333</v>
      </c>
      <c r="O682" s="73">
        <f t="shared" si="177"/>
        <v>10.294999999999998</v>
      </c>
      <c r="P682" s="73">
        <f t="shared" si="169"/>
        <v>75.352664000000004</v>
      </c>
      <c r="Q682" s="76">
        <f t="shared" si="174"/>
        <v>103.512664</v>
      </c>
      <c r="R682" s="30">
        <f>COUNTIF(RAW_DATA[[#This Row],[CONVERTED]],"&gt;0")</f>
        <v>1</v>
      </c>
      <c r="S682" s="30">
        <f>COUNTIFS(RAW_DATA[[#This Row],[AM/PM]],"AM",RAW_DATA[[#This Row],[CONVERTED]],"&gt;0")</f>
        <v>1</v>
      </c>
      <c r="T682" s="19">
        <f t="shared" si="175"/>
        <v>0</v>
      </c>
      <c r="U682" s="20" t="str">
        <f t="shared" si="179"/>
        <v>DOUBLE</v>
      </c>
    </row>
    <row r="683" spans="1:21" x14ac:dyDescent="0.35">
      <c r="A683" s="70">
        <f t="shared" si="165"/>
        <v>45431</v>
      </c>
      <c r="B683" s="71" t="str">
        <f t="shared" si="166"/>
        <v>PM</v>
      </c>
      <c r="C683" s="72" t="str">
        <f t="shared" si="167"/>
        <v>May</v>
      </c>
      <c r="D683" s="13" t="str">
        <f t="shared" si="170"/>
        <v>SUN</v>
      </c>
      <c r="E683" s="73">
        <v>1435</v>
      </c>
      <c r="F683" s="73">
        <v>264.97000000000003</v>
      </c>
      <c r="G683" s="73">
        <v>0</v>
      </c>
      <c r="H683" s="73">
        <f t="shared" si="178"/>
        <v>57.4</v>
      </c>
      <c r="I683" s="73">
        <f t="shared" si="172"/>
        <v>4.4514960000000006</v>
      </c>
      <c r="J683" s="73">
        <v>0</v>
      </c>
      <c r="K683" s="73">
        <f t="shared" si="173"/>
        <v>203.11850400000003</v>
      </c>
      <c r="L683" s="74">
        <v>4</v>
      </c>
      <c r="M683" s="74">
        <v>53</v>
      </c>
      <c r="N683" s="75">
        <f t="shared" si="168"/>
        <v>4.8833333333333337</v>
      </c>
      <c r="O683" s="73">
        <f t="shared" si="177"/>
        <v>10.4015</v>
      </c>
      <c r="P683" s="73">
        <f t="shared" si="169"/>
        <v>213.52000400000003</v>
      </c>
      <c r="Q683" s="76">
        <f t="shared" si="174"/>
        <v>213.52000400000003</v>
      </c>
      <c r="R683" s="30">
        <f>COUNTIF(RAW_DATA[[#This Row],[CONVERTED]],"&gt;0")</f>
        <v>1</v>
      </c>
      <c r="S683" s="30">
        <f>COUNTIFS(RAW_DATA[[#This Row],[AM/PM]],"AM",RAW_DATA[[#This Row],[CONVERTED]],"&gt;0")</f>
        <v>0</v>
      </c>
      <c r="T683" s="19">
        <f t="shared" si="175"/>
        <v>1</v>
      </c>
      <c r="U683" s="20" t="str">
        <f t="shared" si="179"/>
        <v>DOUBLE</v>
      </c>
    </row>
    <row r="684" spans="1:21" x14ac:dyDescent="0.35">
      <c r="A684" s="70">
        <f t="shared" si="165"/>
        <v>45432</v>
      </c>
      <c r="B684" s="71" t="str">
        <f t="shared" si="166"/>
        <v>AM</v>
      </c>
      <c r="C684" s="72" t="str">
        <f t="shared" si="167"/>
        <v>May</v>
      </c>
      <c r="D684" s="13" t="str">
        <f t="shared" si="170"/>
        <v>MON</v>
      </c>
      <c r="E684" s="73">
        <v>0</v>
      </c>
      <c r="F684" s="73">
        <v>0</v>
      </c>
      <c r="G684" s="73">
        <v>0</v>
      </c>
      <c r="H684" s="73">
        <f t="shared" si="178"/>
        <v>0</v>
      </c>
      <c r="I684" s="73">
        <f t="shared" si="172"/>
        <v>0</v>
      </c>
      <c r="J684" s="73">
        <v>0</v>
      </c>
      <c r="K684" s="73">
        <f t="shared" si="173"/>
        <v>0</v>
      </c>
      <c r="L684" s="74">
        <v>0</v>
      </c>
      <c r="M684" s="74">
        <v>0</v>
      </c>
      <c r="N684" s="75">
        <f t="shared" si="168"/>
        <v>0</v>
      </c>
      <c r="O684" s="73">
        <f t="shared" si="177"/>
        <v>0</v>
      </c>
      <c r="P684" s="73">
        <f t="shared" si="169"/>
        <v>0</v>
      </c>
      <c r="Q684" s="76">
        <f t="shared" si="174"/>
        <v>0</v>
      </c>
      <c r="R684" s="30">
        <f>COUNTIF(RAW_DATA[[#This Row],[CONVERTED]],"&gt;0")</f>
        <v>0</v>
      </c>
      <c r="S684" s="30">
        <f>COUNTIFS(RAW_DATA[[#This Row],[AM/PM]],"AM",RAW_DATA[[#This Row],[CONVERTED]],"&gt;0")</f>
        <v>0</v>
      </c>
      <c r="T684" s="19">
        <f t="shared" si="175"/>
        <v>0</v>
      </c>
      <c r="U684" s="20" t="str">
        <f t="shared" si="179"/>
        <v>SINGLE</v>
      </c>
    </row>
    <row r="685" spans="1:21" x14ac:dyDescent="0.35">
      <c r="A685" s="70">
        <f t="shared" si="165"/>
        <v>45432</v>
      </c>
      <c r="B685" s="71" t="str">
        <f t="shared" si="166"/>
        <v>PM</v>
      </c>
      <c r="C685" s="72" t="str">
        <f t="shared" si="167"/>
        <v>May</v>
      </c>
      <c r="D685" s="13" t="str">
        <f t="shared" si="170"/>
        <v>MON</v>
      </c>
      <c r="E685" s="73">
        <v>57</v>
      </c>
      <c r="F685" s="73">
        <v>128.69</v>
      </c>
      <c r="G685" s="73">
        <v>0</v>
      </c>
      <c r="H685" s="73">
        <f t="shared" si="178"/>
        <v>2.2800000000000002</v>
      </c>
      <c r="I685" s="73">
        <f t="shared" si="172"/>
        <v>2.1619919999999997</v>
      </c>
      <c r="J685" s="73">
        <v>0</v>
      </c>
      <c r="K685" s="73">
        <f t="shared" si="173"/>
        <v>124.248008</v>
      </c>
      <c r="L685" s="74">
        <v>3</v>
      </c>
      <c r="M685" s="74">
        <v>57</v>
      </c>
      <c r="N685" s="75">
        <f t="shared" si="168"/>
        <v>3.95</v>
      </c>
      <c r="O685" s="73">
        <f t="shared" si="177"/>
        <v>8.4134999999999991</v>
      </c>
      <c r="P685" s="73">
        <f t="shared" si="169"/>
        <v>132.661508</v>
      </c>
      <c r="Q685" s="76">
        <f t="shared" si="174"/>
        <v>132.661508</v>
      </c>
      <c r="R685" s="30">
        <f>COUNTIF(RAW_DATA[[#This Row],[CONVERTED]],"&gt;0")</f>
        <v>1</v>
      </c>
      <c r="S685" s="30">
        <f>COUNTIFS(RAW_DATA[[#This Row],[AM/PM]],"AM",RAW_DATA[[#This Row],[CONVERTED]],"&gt;0")</f>
        <v>0</v>
      </c>
      <c r="T685" s="19">
        <f t="shared" si="175"/>
        <v>0</v>
      </c>
      <c r="U685" s="20" t="str">
        <f t="shared" si="179"/>
        <v>SINGLE</v>
      </c>
    </row>
    <row r="686" spans="1:21" x14ac:dyDescent="0.35">
      <c r="A686" s="70">
        <f t="shared" si="165"/>
        <v>45433</v>
      </c>
      <c r="B686" s="71" t="str">
        <f t="shared" si="166"/>
        <v>AM</v>
      </c>
      <c r="C686" s="72" t="str">
        <f t="shared" si="167"/>
        <v>May</v>
      </c>
      <c r="D686" s="13" t="str">
        <f t="shared" si="170"/>
        <v>TUE</v>
      </c>
      <c r="E686" s="73">
        <v>0</v>
      </c>
      <c r="F686" s="73">
        <v>0</v>
      </c>
      <c r="G686" s="73">
        <v>0</v>
      </c>
      <c r="H686" s="73">
        <f t="shared" si="178"/>
        <v>0</v>
      </c>
      <c r="I686" s="73">
        <f t="shared" si="172"/>
        <v>0</v>
      </c>
      <c r="J686" s="73">
        <v>0</v>
      </c>
      <c r="K686" s="73">
        <f t="shared" si="173"/>
        <v>0</v>
      </c>
      <c r="L686" s="74">
        <v>0</v>
      </c>
      <c r="M686" s="74">
        <v>0</v>
      </c>
      <c r="N686" s="75">
        <f t="shared" si="168"/>
        <v>0</v>
      </c>
      <c r="O686" s="73">
        <f t="shared" si="177"/>
        <v>0</v>
      </c>
      <c r="P686" s="73">
        <f t="shared" si="169"/>
        <v>0</v>
      </c>
      <c r="Q686" s="76">
        <f t="shared" si="174"/>
        <v>0</v>
      </c>
      <c r="R686" s="30">
        <f>COUNTIF(RAW_DATA[[#This Row],[CONVERTED]],"&gt;0")</f>
        <v>0</v>
      </c>
      <c r="S686" s="30">
        <f>COUNTIFS(RAW_DATA[[#This Row],[AM/PM]],"AM",RAW_DATA[[#This Row],[CONVERTED]],"&gt;0")</f>
        <v>0</v>
      </c>
      <c r="T686" s="19">
        <f t="shared" si="175"/>
        <v>0</v>
      </c>
      <c r="U686" s="20" t="str">
        <f t="shared" si="179"/>
        <v>SINGLE</v>
      </c>
    </row>
    <row r="687" spans="1:21" x14ac:dyDescent="0.35">
      <c r="A687" s="70">
        <f t="shared" si="165"/>
        <v>45433</v>
      </c>
      <c r="B687" s="71" t="str">
        <f t="shared" si="166"/>
        <v>PM</v>
      </c>
      <c r="C687" s="72" t="str">
        <f t="shared" si="167"/>
        <v>May</v>
      </c>
      <c r="D687" s="13" t="str">
        <f t="shared" si="170"/>
        <v>TUE</v>
      </c>
      <c r="E687" s="73">
        <v>0</v>
      </c>
      <c r="F687" s="73">
        <v>0</v>
      </c>
      <c r="G687" s="73">
        <v>0</v>
      </c>
      <c r="H687" s="73">
        <f t="shared" si="178"/>
        <v>0</v>
      </c>
      <c r="I687" s="73">
        <f t="shared" si="172"/>
        <v>0</v>
      </c>
      <c r="J687" s="73">
        <v>0</v>
      </c>
      <c r="K687" s="73">
        <f t="shared" si="173"/>
        <v>0</v>
      </c>
      <c r="L687" s="74">
        <v>0</v>
      </c>
      <c r="M687" s="74">
        <v>0</v>
      </c>
      <c r="N687" s="75">
        <f t="shared" si="168"/>
        <v>0</v>
      </c>
      <c r="O687" s="73">
        <f t="shared" si="177"/>
        <v>0</v>
      </c>
      <c r="P687" s="73">
        <f t="shared" si="169"/>
        <v>0</v>
      </c>
      <c r="Q687" s="76">
        <f t="shared" si="174"/>
        <v>0</v>
      </c>
      <c r="R687" s="30">
        <f>COUNTIF(RAW_DATA[[#This Row],[CONVERTED]],"&gt;0")</f>
        <v>0</v>
      </c>
      <c r="S687" s="30">
        <f>COUNTIFS(RAW_DATA[[#This Row],[AM/PM]],"AM",RAW_DATA[[#This Row],[CONVERTED]],"&gt;0")</f>
        <v>0</v>
      </c>
      <c r="T687" s="19">
        <f t="shared" si="175"/>
        <v>0</v>
      </c>
      <c r="U687" s="20" t="str">
        <f t="shared" si="179"/>
        <v>SINGLE</v>
      </c>
    </row>
    <row r="688" spans="1:21" x14ac:dyDescent="0.35">
      <c r="A688" s="77">
        <f t="shared" si="165"/>
        <v>45434</v>
      </c>
      <c r="B688" s="78" t="str">
        <f t="shared" si="166"/>
        <v>AM</v>
      </c>
      <c r="C688" s="79" t="str">
        <f t="shared" si="167"/>
        <v>May</v>
      </c>
      <c r="D688" s="57" t="str">
        <f t="shared" si="170"/>
        <v>WED</v>
      </c>
      <c r="E688" s="80">
        <v>0</v>
      </c>
      <c r="F688" s="80">
        <v>0</v>
      </c>
      <c r="G688" s="80">
        <v>0</v>
      </c>
      <c r="H688" s="80">
        <f t="shared" si="178"/>
        <v>0</v>
      </c>
      <c r="I688" s="80">
        <f t="shared" si="172"/>
        <v>0</v>
      </c>
      <c r="J688" s="80">
        <v>0</v>
      </c>
      <c r="K688" s="80">
        <f t="shared" si="173"/>
        <v>0</v>
      </c>
      <c r="L688" s="81">
        <v>0</v>
      </c>
      <c r="M688" s="81">
        <v>0</v>
      </c>
      <c r="N688" s="82">
        <f t="shared" si="168"/>
        <v>0</v>
      </c>
      <c r="O688" s="80">
        <f t="shared" si="177"/>
        <v>0</v>
      </c>
      <c r="P688" s="80">
        <f t="shared" si="169"/>
        <v>0</v>
      </c>
      <c r="Q688" s="83">
        <f t="shared" si="174"/>
        <v>0</v>
      </c>
      <c r="R688" s="30">
        <f>COUNTIF(RAW_DATA[[#This Row],[CONVERTED]],"&gt;0")</f>
        <v>0</v>
      </c>
      <c r="S688" s="30">
        <f>COUNTIFS(RAW_DATA[[#This Row],[AM/PM]],"AM",RAW_DATA[[#This Row],[CONVERTED]],"&gt;0")</f>
        <v>0</v>
      </c>
      <c r="T688" s="19">
        <f t="shared" si="175"/>
        <v>0</v>
      </c>
      <c r="U688" s="20" t="str">
        <f t="shared" si="179"/>
        <v>SINGLE</v>
      </c>
    </row>
    <row r="689" spans="1:21" x14ac:dyDescent="0.35">
      <c r="A689" s="70">
        <f t="shared" si="165"/>
        <v>45434</v>
      </c>
      <c r="B689" s="71" t="str">
        <f t="shared" si="166"/>
        <v>PM</v>
      </c>
      <c r="C689" s="72" t="str">
        <f t="shared" si="167"/>
        <v>May</v>
      </c>
      <c r="D689" s="13" t="str">
        <f t="shared" si="170"/>
        <v>WED</v>
      </c>
      <c r="E689" s="73">
        <v>1368</v>
      </c>
      <c r="F689" s="73">
        <v>255.5</v>
      </c>
      <c r="G689" s="73">
        <v>27</v>
      </c>
      <c r="H689" s="73">
        <f t="shared" si="178"/>
        <v>54.72</v>
      </c>
      <c r="I689" s="73">
        <f t="shared" si="172"/>
        <v>4.2923999999999998</v>
      </c>
      <c r="J689" s="73">
        <v>0</v>
      </c>
      <c r="K689" s="73">
        <f t="shared" si="173"/>
        <v>196.48759999999999</v>
      </c>
      <c r="L689" s="74">
        <v>6</v>
      </c>
      <c r="M689" s="74">
        <v>1</v>
      </c>
      <c r="N689" s="75">
        <f t="shared" si="168"/>
        <v>6.0166666666666666</v>
      </c>
      <c r="O689" s="73">
        <f t="shared" si="177"/>
        <v>12.8155</v>
      </c>
      <c r="P689" s="73">
        <f t="shared" si="169"/>
        <v>209.30309999999997</v>
      </c>
      <c r="Q689" s="76">
        <f t="shared" si="174"/>
        <v>236.30309999999997</v>
      </c>
      <c r="R689" s="30">
        <f>COUNTIF(RAW_DATA[[#This Row],[CONVERTED]],"&gt;0")</f>
        <v>1</v>
      </c>
      <c r="S689" s="30">
        <f>COUNTIFS(RAW_DATA[[#This Row],[AM/PM]],"AM",RAW_DATA[[#This Row],[CONVERTED]],"&gt;0")</f>
        <v>0</v>
      </c>
      <c r="T689" s="19">
        <f t="shared" si="175"/>
        <v>0</v>
      </c>
      <c r="U689" s="20" t="str">
        <f t="shared" si="179"/>
        <v>SINGLE</v>
      </c>
    </row>
    <row r="690" spans="1:21" x14ac:dyDescent="0.35">
      <c r="A690" s="70">
        <f t="shared" si="165"/>
        <v>45435</v>
      </c>
      <c r="B690" s="71" t="str">
        <f t="shared" si="166"/>
        <v>AM</v>
      </c>
      <c r="C690" s="72" t="str">
        <f t="shared" si="167"/>
        <v>May</v>
      </c>
      <c r="D690" s="13" t="str">
        <f t="shared" si="170"/>
        <v>THU</v>
      </c>
      <c r="E690" s="73">
        <v>0</v>
      </c>
      <c r="F690" s="73">
        <v>0</v>
      </c>
      <c r="G690" s="73">
        <v>0</v>
      </c>
      <c r="H690" s="73">
        <f t="shared" si="178"/>
        <v>0</v>
      </c>
      <c r="I690" s="73">
        <f t="shared" si="172"/>
        <v>0</v>
      </c>
      <c r="J690" s="73">
        <v>0</v>
      </c>
      <c r="K690" s="73">
        <f t="shared" si="173"/>
        <v>0</v>
      </c>
      <c r="L690" s="74">
        <v>0</v>
      </c>
      <c r="M690" s="74">
        <v>0</v>
      </c>
      <c r="N690" s="75">
        <f t="shared" si="168"/>
        <v>0</v>
      </c>
      <c r="O690" s="73">
        <f t="shared" si="177"/>
        <v>0</v>
      </c>
      <c r="P690" s="73">
        <f t="shared" si="169"/>
        <v>0</v>
      </c>
      <c r="Q690" s="76">
        <f t="shared" si="174"/>
        <v>0</v>
      </c>
      <c r="R690" s="30">
        <f>COUNTIF(RAW_DATA[[#This Row],[CONVERTED]],"&gt;0")</f>
        <v>0</v>
      </c>
      <c r="S690" s="30">
        <f>COUNTIFS(RAW_DATA[[#This Row],[AM/PM]],"AM",RAW_DATA[[#This Row],[CONVERTED]],"&gt;0")</f>
        <v>0</v>
      </c>
      <c r="T690" s="19">
        <f t="shared" si="175"/>
        <v>0</v>
      </c>
      <c r="U690" s="20" t="str">
        <f t="shared" si="179"/>
        <v>SINGLE</v>
      </c>
    </row>
    <row r="691" spans="1:21" x14ac:dyDescent="0.35">
      <c r="A691" s="70">
        <f t="shared" si="165"/>
        <v>45435</v>
      </c>
      <c r="B691" s="71" t="str">
        <f t="shared" si="166"/>
        <v>PM</v>
      </c>
      <c r="C691" s="72" t="str">
        <f t="shared" si="167"/>
        <v>May</v>
      </c>
      <c r="D691" s="13" t="str">
        <f t="shared" si="170"/>
        <v>THU</v>
      </c>
      <c r="E691" s="73">
        <v>1300.5</v>
      </c>
      <c r="F691" s="73">
        <v>166.43</v>
      </c>
      <c r="G691" s="73">
        <v>89</v>
      </c>
      <c r="H691" s="73">
        <f t="shared" si="178"/>
        <v>52.02</v>
      </c>
      <c r="I691" s="73">
        <f t="shared" si="172"/>
        <v>2.7960240000000001</v>
      </c>
      <c r="J691" s="73">
        <v>10.4</v>
      </c>
      <c r="K691" s="73">
        <f t="shared" si="173"/>
        <v>111.61397600000001</v>
      </c>
      <c r="L691" s="74">
        <v>4</v>
      </c>
      <c r="M691" s="74">
        <v>50</v>
      </c>
      <c r="N691" s="75">
        <f t="shared" si="168"/>
        <v>4.833333333333333</v>
      </c>
      <c r="O691" s="73">
        <f t="shared" si="177"/>
        <v>10.294999999999998</v>
      </c>
      <c r="P691" s="73">
        <f t="shared" si="169"/>
        <v>132.308976</v>
      </c>
      <c r="Q691" s="76">
        <f t="shared" si="174"/>
        <v>210.908976</v>
      </c>
      <c r="R691" s="30">
        <f>COUNTIF(RAW_DATA[[#This Row],[CONVERTED]],"&gt;0")</f>
        <v>1</v>
      </c>
      <c r="S691" s="30">
        <f>COUNTIFS(RAW_DATA[[#This Row],[AM/PM]],"AM",RAW_DATA[[#This Row],[CONVERTED]],"&gt;0")</f>
        <v>0</v>
      </c>
      <c r="T691" s="19">
        <f t="shared" si="175"/>
        <v>0</v>
      </c>
      <c r="U691" s="20" t="str">
        <f t="shared" si="179"/>
        <v>SINGLE</v>
      </c>
    </row>
    <row r="692" spans="1:21" x14ac:dyDescent="0.35">
      <c r="A692" s="70">
        <f t="shared" si="165"/>
        <v>45436</v>
      </c>
      <c r="B692" s="71" t="str">
        <f t="shared" si="166"/>
        <v>AM</v>
      </c>
      <c r="C692" s="72" t="str">
        <f t="shared" si="167"/>
        <v>May</v>
      </c>
      <c r="D692" s="13" t="str">
        <f t="shared" si="170"/>
        <v>FRI</v>
      </c>
      <c r="E692" s="73">
        <v>571</v>
      </c>
      <c r="F692" s="73">
        <v>109.05</v>
      </c>
      <c r="G692" s="73">
        <v>0</v>
      </c>
      <c r="H692" s="73">
        <f t="shared" si="178"/>
        <v>22.84</v>
      </c>
      <c r="I692" s="73">
        <f t="shared" si="172"/>
        <v>1.8320399999999999</v>
      </c>
      <c r="J692" s="73">
        <v>0</v>
      </c>
      <c r="K692" s="73">
        <f t="shared" si="173"/>
        <v>84.377960000000002</v>
      </c>
      <c r="L692" s="74">
        <v>3</v>
      </c>
      <c r="M692" s="74">
        <v>35</v>
      </c>
      <c r="N692" s="75">
        <f t="shared" si="168"/>
        <v>3.5833333333333335</v>
      </c>
      <c r="O692" s="73">
        <f t="shared" si="177"/>
        <v>7.6325000000000003</v>
      </c>
      <c r="P692" s="73">
        <f t="shared" si="169"/>
        <v>92.010459999999995</v>
      </c>
      <c r="Q692" s="76">
        <f t="shared" si="174"/>
        <v>92.010459999999995</v>
      </c>
      <c r="R692" s="30">
        <f>COUNTIF(RAW_DATA[[#This Row],[CONVERTED]],"&gt;0")</f>
        <v>1</v>
      </c>
      <c r="S692" s="30">
        <f>COUNTIFS(RAW_DATA[[#This Row],[AM/PM]],"AM",RAW_DATA[[#This Row],[CONVERTED]],"&gt;0")</f>
        <v>1</v>
      </c>
      <c r="T692" s="19">
        <f t="shared" si="175"/>
        <v>0</v>
      </c>
      <c r="U692" s="20" t="str">
        <f t="shared" si="179"/>
        <v>DOUBLE</v>
      </c>
    </row>
    <row r="693" spans="1:21" x14ac:dyDescent="0.35">
      <c r="A693" s="70">
        <f t="shared" si="165"/>
        <v>45436</v>
      </c>
      <c r="B693" s="71" t="str">
        <f t="shared" si="166"/>
        <v>PM</v>
      </c>
      <c r="C693" s="72" t="str">
        <f t="shared" si="167"/>
        <v>May</v>
      </c>
      <c r="D693" s="13" t="str">
        <f t="shared" si="170"/>
        <v>FRI</v>
      </c>
      <c r="E693" s="73">
        <v>1434.5</v>
      </c>
      <c r="F693" s="73">
        <v>250.12</v>
      </c>
      <c r="G693" s="73">
        <v>24</v>
      </c>
      <c r="H693" s="73">
        <f t="shared" si="178"/>
        <v>57.38</v>
      </c>
      <c r="I693" s="73">
        <f t="shared" si="172"/>
        <v>4.2020159999999995</v>
      </c>
      <c r="J693" s="73">
        <v>0</v>
      </c>
      <c r="K693" s="73">
        <f t="shared" si="173"/>
        <v>188.53798399999999</v>
      </c>
      <c r="L693" s="74">
        <v>5</v>
      </c>
      <c r="M693" s="74">
        <v>7</v>
      </c>
      <c r="N693" s="75">
        <f t="shared" si="168"/>
        <v>5.1166666666666663</v>
      </c>
      <c r="O693" s="73">
        <f t="shared" si="177"/>
        <v>10.898499999999999</v>
      </c>
      <c r="P693" s="73">
        <f t="shared" si="169"/>
        <v>199.43648400000001</v>
      </c>
      <c r="Q693" s="76">
        <f t="shared" si="174"/>
        <v>223.43648400000001</v>
      </c>
      <c r="R693" s="30">
        <f>COUNTIF(RAW_DATA[[#This Row],[CONVERTED]],"&gt;0")</f>
        <v>1</v>
      </c>
      <c r="S693" s="30">
        <f>COUNTIFS(RAW_DATA[[#This Row],[AM/PM]],"AM",RAW_DATA[[#This Row],[CONVERTED]],"&gt;0")</f>
        <v>0</v>
      </c>
      <c r="T693" s="19">
        <f t="shared" si="175"/>
        <v>1</v>
      </c>
      <c r="U693" s="20" t="str">
        <f t="shared" si="179"/>
        <v>DOUBLE</v>
      </c>
    </row>
    <row r="694" spans="1:21" x14ac:dyDescent="0.35">
      <c r="A694" s="70">
        <f t="shared" si="165"/>
        <v>45437</v>
      </c>
      <c r="B694" s="71" t="str">
        <f t="shared" si="166"/>
        <v>AM</v>
      </c>
      <c r="C694" s="72" t="str">
        <f t="shared" si="167"/>
        <v>May</v>
      </c>
      <c r="D694" s="13" t="str">
        <f t="shared" si="170"/>
        <v>SAT</v>
      </c>
      <c r="E694" s="73">
        <f>1887/2</f>
        <v>943.5</v>
      </c>
      <c r="F694" s="73">
        <f>243.38/2</f>
        <v>121.69</v>
      </c>
      <c r="G694" s="73">
        <f>96/2</f>
        <v>48</v>
      </c>
      <c r="H694" s="73">
        <f t="shared" si="178"/>
        <v>37.74</v>
      </c>
      <c r="I694" s="73">
        <f t="shared" si="172"/>
        <v>2.0443919999999998</v>
      </c>
      <c r="J694" s="73">
        <f>19.76/2</f>
        <v>9.8800000000000008</v>
      </c>
      <c r="K694" s="73">
        <f t="shared" si="173"/>
        <v>81.905608000000001</v>
      </c>
      <c r="L694" s="74">
        <f>8/2</f>
        <v>4</v>
      </c>
      <c r="M694" s="74">
        <v>6</v>
      </c>
      <c r="N694" s="75">
        <f t="shared" si="168"/>
        <v>4.0999999999999996</v>
      </c>
      <c r="O694" s="73">
        <f t="shared" si="177"/>
        <v>8.7329999999999988</v>
      </c>
      <c r="P694" s="73">
        <f t="shared" si="169"/>
        <v>100.518608</v>
      </c>
      <c r="Q694" s="76">
        <f t="shared" si="174"/>
        <v>138.638608</v>
      </c>
      <c r="R694" s="30">
        <f>COUNTIF(RAW_DATA[[#This Row],[CONVERTED]],"&gt;0")</f>
        <v>1</v>
      </c>
      <c r="S694" s="30">
        <f>COUNTIFS(RAW_DATA[[#This Row],[AM/PM]],"AM",RAW_DATA[[#This Row],[CONVERTED]],"&gt;0")</f>
        <v>1</v>
      </c>
      <c r="T694" s="19">
        <f t="shared" si="175"/>
        <v>0</v>
      </c>
      <c r="U694" s="20" t="str">
        <f t="shared" si="179"/>
        <v>DOUBLE</v>
      </c>
    </row>
    <row r="695" spans="1:21" x14ac:dyDescent="0.35">
      <c r="A695" s="70">
        <f t="shared" si="165"/>
        <v>45437</v>
      </c>
      <c r="B695" s="71" t="str">
        <f t="shared" si="166"/>
        <v>PM</v>
      </c>
      <c r="C695" s="72" t="str">
        <f t="shared" si="167"/>
        <v>May</v>
      </c>
      <c r="D695" s="13" t="str">
        <f t="shared" si="170"/>
        <v>SAT</v>
      </c>
      <c r="E695" s="73">
        <f>1887/2</f>
        <v>943.5</v>
      </c>
      <c r="F695" s="73">
        <f>243.38/2</f>
        <v>121.69</v>
      </c>
      <c r="G695" s="73">
        <f>96/2</f>
        <v>48</v>
      </c>
      <c r="H695" s="73">
        <f t="shared" si="178"/>
        <v>37.74</v>
      </c>
      <c r="I695" s="73">
        <f t="shared" si="172"/>
        <v>2.0443919999999998</v>
      </c>
      <c r="J695" s="73">
        <f>19.76/2</f>
        <v>9.8800000000000008</v>
      </c>
      <c r="K695" s="73">
        <f t="shared" si="173"/>
        <v>81.905608000000001</v>
      </c>
      <c r="L695" s="74">
        <v>4</v>
      </c>
      <c r="M695" s="74">
        <v>6</v>
      </c>
      <c r="N695" s="75">
        <f t="shared" si="168"/>
        <v>4.0999999999999996</v>
      </c>
      <c r="O695" s="73">
        <f t="shared" si="177"/>
        <v>8.7329999999999988</v>
      </c>
      <c r="P695" s="73">
        <f t="shared" si="169"/>
        <v>100.518608</v>
      </c>
      <c r="Q695" s="76">
        <f t="shared" si="174"/>
        <v>138.638608</v>
      </c>
      <c r="R695" s="30">
        <f>COUNTIF(RAW_DATA[[#This Row],[CONVERTED]],"&gt;0")</f>
        <v>1</v>
      </c>
      <c r="S695" s="30">
        <f>COUNTIFS(RAW_DATA[[#This Row],[AM/PM]],"AM",RAW_DATA[[#This Row],[CONVERTED]],"&gt;0")</f>
        <v>0</v>
      </c>
      <c r="T695" s="19">
        <f t="shared" si="175"/>
        <v>1</v>
      </c>
      <c r="U695" s="20" t="str">
        <f t="shared" si="179"/>
        <v>DOUBLE</v>
      </c>
    </row>
    <row r="696" spans="1:21" x14ac:dyDescent="0.35">
      <c r="A696" s="70">
        <f t="shared" si="165"/>
        <v>45438</v>
      </c>
      <c r="B696" s="71" t="str">
        <f t="shared" si="166"/>
        <v>AM</v>
      </c>
      <c r="C696" s="72" t="str">
        <f t="shared" si="167"/>
        <v>May</v>
      </c>
      <c r="D696" s="13" t="str">
        <f t="shared" si="170"/>
        <v>SUN</v>
      </c>
      <c r="E696" s="73">
        <v>613.5</v>
      </c>
      <c r="F696" s="73">
        <v>129.41999999999999</v>
      </c>
      <c r="G696" s="73">
        <v>0</v>
      </c>
      <c r="H696" s="73">
        <f t="shared" si="178"/>
        <v>24.54</v>
      </c>
      <c r="I696" s="73">
        <f t="shared" si="172"/>
        <v>2.1742559999999997</v>
      </c>
      <c r="J696" s="73">
        <v>0</v>
      </c>
      <c r="K696" s="73">
        <f t="shared" si="173"/>
        <v>102.70574399999998</v>
      </c>
      <c r="L696" s="74">
        <v>3</v>
      </c>
      <c r="M696" s="74">
        <v>40</v>
      </c>
      <c r="N696" s="75">
        <f t="shared" si="168"/>
        <v>3.6666666666666665</v>
      </c>
      <c r="O696" s="73">
        <f t="shared" si="177"/>
        <v>7.81</v>
      </c>
      <c r="P696" s="73">
        <f t="shared" si="169"/>
        <v>110.51574399999998</v>
      </c>
      <c r="Q696" s="76">
        <f t="shared" si="174"/>
        <v>110.51574399999998</v>
      </c>
      <c r="R696" s="30">
        <f>COUNTIF(RAW_DATA[[#This Row],[CONVERTED]],"&gt;0")</f>
        <v>1</v>
      </c>
      <c r="S696" s="30">
        <f>COUNTIFS(RAW_DATA[[#This Row],[AM/PM]],"AM",RAW_DATA[[#This Row],[CONVERTED]],"&gt;0")</f>
        <v>1</v>
      </c>
      <c r="T696" s="19">
        <f t="shared" si="175"/>
        <v>0</v>
      </c>
      <c r="U696" s="20" t="str">
        <f t="shared" si="179"/>
        <v>SINGLE</v>
      </c>
    </row>
    <row r="697" spans="1:21" x14ac:dyDescent="0.35">
      <c r="A697" s="70">
        <f t="shared" si="165"/>
        <v>45438</v>
      </c>
      <c r="B697" s="71" t="str">
        <f t="shared" si="166"/>
        <v>PM</v>
      </c>
      <c r="C697" s="72" t="str">
        <f t="shared" si="167"/>
        <v>May</v>
      </c>
      <c r="D697" s="13" t="str">
        <f t="shared" si="170"/>
        <v>SUN</v>
      </c>
      <c r="E697" s="73">
        <v>0</v>
      </c>
      <c r="F697" s="73">
        <v>0</v>
      </c>
      <c r="G697" s="73">
        <v>0</v>
      </c>
      <c r="H697" s="73">
        <f t="shared" si="178"/>
        <v>0</v>
      </c>
      <c r="I697" s="73">
        <f t="shared" si="172"/>
        <v>0</v>
      </c>
      <c r="J697" s="73">
        <v>0</v>
      </c>
      <c r="K697" s="73">
        <f t="shared" si="173"/>
        <v>0</v>
      </c>
      <c r="L697" s="74">
        <v>0</v>
      </c>
      <c r="M697" s="74">
        <v>0</v>
      </c>
      <c r="N697" s="75">
        <f t="shared" si="168"/>
        <v>0</v>
      </c>
      <c r="O697" s="73">
        <f t="shared" si="177"/>
        <v>0</v>
      </c>
      <c r="P697" s="73">
        <f t="shared" si="169"/>
        <v>0</v>
      </c>
      <c r="Q697" s="76">
        <f t="shared" si="174"/>
        <v>0</v>
      </c>
      <c r="R697" s="30">
        <f>COUNTIF(RAW_DATA[[#This Row],[CONVERTED]],"&gt;0")</f>
        <v>0</v>
      </c>
      <c r="S697" s="30">
        <f>COUNTIFS(RAW_DATA[[#This Row],[AM/PM]],"AM",RAW_DATA[[#This Row],[CONVERTED]],"&gt;0")</f>
        <v>0</v>
      </c>
      <c r="T697" s="19">
        <f t="shared" si="175"/>
        <v>0</v>
      </c>
      <c r="U697" s="20" t="str">
        <f t="shared" si="179"/>
        <v>SINGLE</v>
      </c>
    </row>
    <row r="698" spans="1:21" x14ac:dyDescent="0.35">
      <c r="A698" s="70">
        <f t="shared" si="165"/>
        <v>45439</v>
      </c>
      <c r="B698" s="71" t="str">
        <f t="shared" si="166"/>
        <v>AM</v>
      </c>
      <c r="C698" s="72" t="str">
        <f t="shared" si="167"/>
        <v>May</v>
      </c>
      <c r="D698" s="13" t="str">
        <f t="shared" si="170"/>
        <v>MON</v>
      </c>
      <c r="E698" s="73">
        <v>0</v>
      </c>
      <c r="F698" s="73">
        <v>0</v>
      </c>
      <c r="G698" s="73">
        <v>0</v>
      </c>
      <c r="H698" s="73">
        <f t="shared" si="178"/>
        <v>0</v>
      </c>
      <c r="I698" s="73">
        <f t="shared" si="172"/>
        <v>0</v>
      </c>
      <c r="J698" s="73">
        <v>0</v>
      </c>
      <c r="K698" s="73">
        <f t="shared" si="173"/>
        <v>0</v>
      </c>
      <c r="L698" s="74">
        <v>0</v>
      </c>
      <c r="M698" s="74">
        <v>0</v>
      </c>
      <c r="N698" s="75">
        <f t="shared" si="168"/>
        <v>0</v>
      </c>
      <c r="O698" s="73">
        <f t="shared" si="177"/>
        <v>0</v>
      </c>
      <c r="P698" s="73">
        <f t="shared" si="169"/>
        <v>0</v>
      </c>
      <c r="Q698" s="76">
        <f t="shared" si="174"/>
        <v>0</v>
      </c>
      <c r="R698" s="30">
        <f>COUNTIF(RAW_DATA[[#This Row],[CONVERTED]],"&gt;0")</f>
        <v>0</v>
      </c>
      <c r="S698" s="30">
        <f>COUNTIFS(RAW_DATA[[#This Row],[AM/PM]],"AM",RAW_DATA[[#This Row],[CONVERTED]],"&gt;0")</f>
        <v>0</v>
      </c>
      <c r="T698" s="19">
        <f t="shared" si="175"/>
        <v>0</v>
      </c>
      <c r="U698" s="20" t="str">
        <f t="shared" si="179"/>
        <v>SINGLE</v>
      </c>
    </row>
    <row r="699" spans="1:21" x14ac:dyDescent="0.35">
      <c r="A699" s="70">
        <f t="shared" si="165"/>
        <v>45439</v>
      </c>
      <c r="B699" s="71" t="str">
        <f t="shared" si="166"/>
        <v>PM</v>
      </c>
      <c r="C699" s="72" t="str">
        <f t="shared" si="167"/>
        <v>May</v>
      </c>
      <c r="D699" s="13" t="str">
        <f t="shared" si="170"/>
        <v>MON</v>
      </c>
      <c r="E699" s="73">
        <v>0</v>
      </c>
      <c r="F699" s="73">
        <v>0</v>
      </c>
      <c r="G699" s="73">
        <v>0</v>
      </c>
      <c r="H699" s="73">
        <f t="shared" si="178"/>
        <v>0</v>
      </c>
      <c r="I699" s="73">
        <f t="shared" si="172"/>
        <v>0</v>
      </c>
      <c r="J699" s="73">
        <v>0</v>
      </c>
      <c r="K699" s="73">
        <f t="shared" si="173"/>
        <v>0</v>
      </c>
      <c r="L699" s="74">
        <v>0</v>
      </c>
      <c r="M699" s="74">
        <v>0</v>
      </c>
      <c r="N699" s="75">
        <f t="shared" si="168"/>
        <v>0</v>
      </c>
      <c r="O699" s="73">
        <f t="shared" si="177"/>
        <v>0</v>
      </c>
      <c r="P699" s="73">
        <f t="shared" si="169"/>
        <v>0</v>
      </c>
      <c r="Q699" s="76">
        <f t="shared" si="174"/>
        <v>0</v>
      </c>
      <c r="R699" s="30">
        <f>COUNTIF(RAW_DATA[[#This Row],[CONVERTED]],"&gt;0")</f>
        <v>0</v>
      </c>
      <c r="S699" s="30">
        <f>COUNTIFS(RAW_DATA[[#This Row],[AM/PM]],"AM",RAW_DATA[[#This Row],[CONVERTED]],"&gt;0")</f>
        <v>0</v>
      </c>
      <c r="T699" s="19">
        <f t="shared" si="175"/>
        <v>0</v>
      </c>
      <c r="U699" s="20" t="str">
        <f t="shared" si="179"/>
        <v>SINGLE</v>
      </c>
    </row>
    <row r="700" spans="1:21" x14ac:dyDescent="0.35">
      <c r="A700" s="70">
        <f t="shared" si="165"/>
        <v>45440</v>
      </c>
      <c r="B700" s="71" t="str">
        <f t="shared" si="166"/>
        <v>AM</v>
      </c>
      <c r="C700" s="72" t="str">
        <f t="shared" si="167"/>
        <v>May</v>
      </c>
      <c r="D700" s="13" t="str">
        <f t="shared" si="170"/>
        <v>TUE</v>
      </c>
      <c r="E700" s="73">
        <v>0</v>
      </c>
      <c r="F700" s="73">
        <v>0</v>
      </c>
      <c r="G700" s="73">
        <v>0</v>
      </c>
      <c r="H700" s="73">
        <f t="shared" si="178"/>
        <v>0</v>
      </c>
      <c r="I700" s="73">
        <f t="shared" si="172"/>
        <v>0</v>
      </c>
      <c r="J700" s="73">
        <v>0</v>
      </c>
      <c r="K700" s="73">
        <f t="shared" si="173"/>
        <v>0</v>
      </c>
      <c r="L700" s="74">
        <v>0</v>
      </c>
      <c r="M700" s="74">
        <v>0</v>
      </c>
      <c r="N700" s="75">
        <f t="shared" si="168"/>
        <v>0</v>
      </c>
      <c r="O700" s="73">
        <f t="shared" si="177"/>
        <v>0</v>
      </c>
      <c r="P700" s="73">
        <f t="shared" si="169"/>
        <v>0</v>
      </c>
      <c r="Q700" s="76">
        <f t="shared" si="174"/>
        <v>0</v>
      </c>
      <c r="R700" s="30">
        <f>COUNTIF(RAW_DATA[[#This Row],[CONVERTED]],"&gt;0")</f>
        <v>0</v>
      </c>
      <c r="S700" s="30">
        <f>COUNTIFS(RAW_DATA[[#This Row],[AM/PM]],"AM",RAW_DATA[[#This Row],[CONVERTED]],"&gt;0")</f>
        <v>0</v>
      </c>
      <c r="T700" s="19">
        <f t="shared" si="175"/>
        <v>0</v>
      </c>
      <c r="U700" s="20" t="str">
        <f t="shared" si="179"/>
        <v>SINGLE</v>
      </c>
    </row>
    <row r="701" spans="1:21" x14ac:dyDescent="0.35">
      <c r="A701" s="70">
        <f t="shared" si="165"/>
        <v>45440</v>
      </c>
      <c r="B701" s="71" t="str">
        <f t="shared" si="166"/>
        <v>PM</v>
      </c>
      <c r="C701" s="72" t="str">
        <f t="shared" si="167"/>
        <v>May</v>
      </c>
      <c r="D701" s="13" t="str">
        <f t="shared" si="170"/>
        <v>TUE</v>
      </c>
      <c r="E701" s="73">
        <v>0</v>
      </c>
      <c r="F701" s="73">
        <v>0</v>
      </c>
      <c r="G701" s="73">
        <v>0</v>
      </c>
      <c r="H701" s="73">
        <f t="shared" si="178"/>
        <v>0</v>
      </c>
      <c r="I701" s="73">
        <f t="shared" si="172"/>
        <v>0</v>
      </c>
      <c r="J701" s="73">
        <v>0</v>
      </c>
      <c r="K701" s="73">
        <f t="shared" si="173"/>
        <v>0</v>
      </c>
      <c r="L701" s="74">
        <v>0</v>
      </c>
      <c r="M701" s="74">
        <v>0</v>
      </c>
      <c r="N701" s="75">
        <f t="shared" si="168"/>
        <v>0</v>
      </c>
      <c r="O701" s="73">
        <f t="shared" si="177"/>
        <v>0</v>
      </c>
      <c r="P701" s="73">
        <f t="shared" si="169"/>
        <v>0</v>
      </c>
      <c r="Q701" s="76">
        <f t="shared" si="174"/>
        <v>0</v>
      </c>
      <c r="R701" s="30">
        <f>COUNTIF(RAW_DATA[[#This Row],[CONVERTED]],"&gt;0")</f>
        <v>0</v>
      </c>
      <c r="S701" s="30">
        <f>COUNTIFS(RAW_DATA[[#This Row],[AM/PM]],"AM",RAW_DATA[[#This Row],[CONVERTED]],"&gt;0")</f>
        <v>0</v>
      </c>
      <c r="T701" s="19">
        <f t="shared" si="175"/>
        <v>0</v>
      </c>
      <c r="U701" s="20" t="str">
        <f t="shared" si="179"/>
        <v>SINGLE</v>
      </c>
    </row>
    <row r="702" spans="1:21" x14ac:dyDescent="0.35">
      <c r="A702" s="92">
        <f t="shared" si="165"/>
        <v>45441</v>
      </c>
      <c r="B702" s="93" t="str">
        <f t="shared" si="166"/>
        <v>AM</v>
      </c>
      <c r="C702" s="94" t="str">
        <f t="shared" si="167"/>
        <v>May</v>
      </c>
      <c r="D702" s="95" t="str">
        <f t="shared" si="170"/>
        <v>WED</v>
      </c>
      <c r="E702" s="96">
        <v>0</v>
      </c>
      <c r="F702" s="96">
        <v>0</v>
      </c>
      <c r="G702" s="96">
        <v>0</v>
      </c>
      <c r="H702" s="96">
        <f t="shared" si="178"/>
        <v>0</v>
      </c>
      <c r="I702" s="96">
        <f t="shared" si="172"/>
        <v>0</v>
      </c>
      <c r="J702" s="96">
        <v>0</v>
      </c>
      <c r="K702" s="96">
        <f t="shared" si="173"/>
        <v>0</v>
      </c>
      <c r="L702" s="97">
        <v>0</v>
      </c>
      <c r="M702" s="97">
        <v>0</v>
      </c>
      <c r="N702" s="98">
        <f t="shared" si="168"/>
        <v>0</v>
      </c>
      <c r="O702" s="96">
        <f t="shared" si="177"/>
        <v>0</v>
      </c>
      <c r="P702" s="96">
        <f t="shared" si="169"/>
        <v>0</v>
      </c>
      <c r="Q702" s="99">
        <f t="shared" si="174"/>
        <v>0</v>
      </c>
      <c r="R702" s="30">
        <f>COUNTIF(RAW_DATA[[#This Row],[CONVERTED]],"&gt;0")</f>
        <v>0</v>
      </c>
      <c r="S702" s="30">
        <f>COUNTIFS(RAW_DATA[[#This Row],[AM/PM]],"AM",RAW_DATA[[#This Row],[CONVERTED]],"&gt;0")</f>
        <v>0</v>
      </c>
      <c r="T702" s="19">
        <f t="shared" si="175"/>
        <v>0</v>
      </c>
      <c r="U702" s="20" t="str">
        <f t="shared" si="179"/>
        <v>SINGLE</v>
      </c>
    </row>
    <row r="703" spans="1:21" x14ac:dyDescent="0.35">
      <c r="A703" s="70">
        <f t="shared" si="165"/>
        <v>45441</v>
      </c>
      <c r="B703" s="71" t="str">
        <f t="shared" si="166"/>
        <v>PM</v>
      </c>
      <c r="C703" s="72" t="str">
        <f t="shared" si="167"/>
        <v>May</v>
      </c>
      <c r="D703" s="13" t="str">
        <f t="shared" si="170"/>
        <v>WED</v>
      </c>
      <c r="E703" s="73">
        <v>0</v>
      </c>
      <c r="F703" s="73">
        <v>0</v>
      </c>
      <c r="G703" s="73">
        <v>0</v>
      </c>
      <c r="H703" s="73">
        <f t="shared" si="178"/>
        <v>0</v>
      </c>
      <c r="I703" s="73">
        <f t="shared" si="172"/>
        <v>0</v>
      </c>
      <c r="J703" s="73">
        <v>0</v>
      </c>
      <c r="K703" s="73">
        <f t="shared" si="173"/>
        <v>0</v>
      </c>
      <c r="L703" s="74">
        <v>0</v>
      </c>
      <c r="M703" s="74">
        <v>0</v>
      </c>
      <c r="N703" s="75">
        <f t="shared" si="168"/>
        <v>0</v>
      </c>
      <c r="O703" s="73">
        <f t="shared" si="177"/>
        <v>0</v>
      </c>
      <c r="P703" s="73">
        <f t="shared" si="169"/>
        <v>0</v>
      </c>
      <c r="Q703" s="76">
        <f t="shared" si="174"/>
        <v>0</v>
      </c>
      <c r="R703" s="30">
        <f>COUNTIF(RAW_DATA[[#This Row],[CONVERTED]],"&gt;0")</f>
        <v>0</v>
      </c>
      <c r="S703" s="30">
        <f>COUNTIFS(RAW_DATA[[#This Row],[AM/PM]],"AM",RAW_DATA[[#This Row],[CONVERTED]],"&gt;0")</f>
        <v>0</v>
      </c>
      <c r="T703" s="19">
        <f t="shared" si="175"/>
        <v>0</v>
      </c>
      <c r="U703" s="20" t="str">
        <f t="shared" si="179"/>
        <v>SINGLE</v>
      </c>
    </row>
    <row r="704" spans="1:21" x14ac:dyDescent="0.35">
      <c r="A704" s="70">
        <f t="shared" ref="A704:A767" si="180">IF(B703 = "AM",A703,A703+1)</f>
        <v>45442</v>
      </c>
      <c r="B704" s="71" t="str">
        <f t="shared" ref="B704:B767" si="181">IF(B703="AM","PM","AM")</f>
        <v>AM</v>
      </c>
      <c r="C704" s="72" t="str">
        <f t="shared" ref="C704:C767" si="182">TEXT(A704,"mmmm")</f>
        <v>May</v>
      </c>
      <c r="D704" s="13" t="str">
        <f t="shared" si="170"/>
        <v>THU</v>
      </c>
      <c r="E704" s="73">
        <v>0</v>
      </c>
      <c r="F704" s="73">
        <v>0</v>
      </c>
      <c r="G704" s="73">
        <v>0</v>
      </c>
      <c r="H704" s="73">
        <f t="shared" si="178"/>
        <v>0</v>
      </c>
      <c r="I704" s="73">
        <f t="shared" si="172"/>
        <v>0</v>
      </c>
      <c r="J704" s="73">
        <v>0</v>
      </c>
      <c r="K704" s="73">
        <f t="shared" si="173"/>
        <v>0</v>
      </c>
      <c r="L704" s="74">
        <v>0</v>
      </c>
      <c r="M704" s="74">
        <v>0</v>
      </c>
      <c r="N704" s="75">
        <f t="shared" ref="N704:N767" si="183">((L704*60)+M704)/60</f>
        <v>0</v>
      </c>
      <c r="O704" s="73">
        <f t="shared" si="177"/>
        <v>0</v>
      </c>
      <c r="P704" s="73">
        <f t="shared" ref="P704:P767" si="184">K704+J704+O704</f>
        <v>0</v>
      </c>
      <c r="Q704" s="76">
        <f t="shared" si="174"/>
        <v>0</v>
      </c>
      <c r="R704" s="30">
        <f>COUNTIF(RAW_DATA[[#This Row],[CONVERTED]],"&gt;0")</f>
        <v>0</v>
      </c>
      <c r="S704" s="30">
        <f>COUNTIFS(RAW_DATA[[#This Row],[AM/PM]],"AM",RAW_DATA[[#This Row],[CONVERTED]],"&gt;0")</f>
        <v>0</v>
      </c>
      <c r="T704" s="19">
        <f t="shared" si="175"/>
        <v>0</v>
      </c>
      <c r="U704" s="20" t="str">
        <f t="shared" si="179"/>
        <v>SINGLE</v>
      </c>
    </row>
    <row r="705" spans="1:21" x14ac:dyDescent="0.35">
      <c r="A705" s="70">
        <f t="shared" si="180"/>
        <v>45442</v>
      </c>
      <c r="B705" s="71" t="str">
        <f t="shared" si="181"/>
        <v>PM</v>
      </c>
      <c r="C705" s="72" t="str">
        <f t="shared" si="182"/>
        <v>May</v>
      </c>
      <c r="D705" s="13" t="str">
        <f t="shared" si="170"/>
        <v>THU</v>
      </c>
      <c r="E705" s="73">
        <v>0</v>
      </c>
      <c r="F705" s="73">
        <v>0</v>
      </c>
      <c r="G705" s="73">
        <v>0</v>
      </c>
      <c r="H705" s="73">
        <f t="shared" si="178"/>
        <v>0</v>
      </c>
      <c r="I705" s="73">
        <f t="shared" si="172"/>
        <v>0</v>
      </c>
      <c r="J705" s="73">
        <v>0</v>
      </c>
      <c r="K705" s="73">
        <f t="shared" si="173"/>
        <v>0</v>
      </c>
      <c r="L705" s="74">
        <v>0</v>
      </c>
      <c r="M705" s="74">
        <v>0</v>
      </c>
      <c r="N705" s="75">
        <f t="shared" si="183"/>
        <v>0</v>
      </c>
      <c r="O705" s="73">
        <f t="shared" si="177"/>
        <v>0</v>
      </c>
      <c r="P705" s="73">
        <f t="shared" si="184"/>
        <v>0</v>
      </c>
      <c r="Q705" s="76">
        <f t="shared" si="174"/>
        <v>0</v>
      </c>
      <c r="R705" s="30">
        <f>COUNTIF(RAW_DATA[[#This Row],[CONVERTED]],"&gt;0")</f>
        <v>0</v>
      </c>
      <c r="S705" s="30">
        <f>COUNTIFS(RAW_DATA[[#This Row],[AM/PM]],"AM",RAW_DATA[[#This Row],[CONVERTED]],"&gt;0")</f>
        <v>0</v>
      </c>
      <c r="T705" s="19">
        <f t="shared" si="175"/>
        <v>0</v>
      </c>
      <c r="U705" s="20" t="str">
        <f t="shared" si="179"/>
        <v>SINGLE</v>
      </c>
    </row>
    <row r="706" spans="1:21" x14ac:dyDescent="0.35">
      <c r="A706" s="70">
        <f t="shared" si="180"/>
        <v>45443</v>
      </c>
      <c r="B706" s="71" t="str">
        <f t="shared" si="181"/>
        <v>AM</v>
      </c>
      <c r="C706" s="72" t="str">
        <f t="shared" si="182"/>
        <v>May</v>
      </c>
      <c r="D706" s="13" t="str">
        <f t="shared" ref="D706:D769" si="185">CHOOSE(WEEKDAY(A706),"SUN","MON","TUE","WED","THU","FRI","SAT")</f>
        <v>FRI</v>
      </c>
      <c r="E706" s="73">
        <v>0</v>
      </c>
      <c r="F706" s="73">
        <v>0</v>
      </c>
      <c r="G706" s="73">
        <v>0</v>
      </c>
      <c r="H706" s="73">
        <f t="shared" si="178"/>
        <v>0</v>
      </c>
      <c r="I706" s="73">
        <f t="shared" ref="I706:I769" si="186">F706*0.0168</f>
        <v>0</v>
      </c>
      <c r="J706" s="73">
        <v>0</v>
      </c>
      <c r="K706" s="73">
        <f t="shared" ref="K706:K769" si="187">F706-(H706+I706)</f>
        <v>0</v>
      </c>
      <c r="L706" s="74">
        <v>0</v>
      </c>
      <c r="M706" s="74">
        <v>0</v>
      </c>
      <c r="N706" s="75">
        <f t="shared" si="183"/>
        <v>0</v>
      </c>
      <c r="O706" s="73">
        <f t="shared" si="177"/>
        <v>0</v>
      </c>
      <c r="P706" s="73">
        <f t="shared" si="184"/>
        <v>0</v>
      </c>
      <c r="Q706" s="76">
        <f t="shared" ref="Q706:Q769" si="188">G706+K706+O706</f>
        <v>0</v>
      </c>
      <c r="R706" s="30">
        <f>COUNTIF(RAW_DATA[[#This Row],[CONVERTED]],"&gt;0")</f>
        <v>0</v>
      </c>
      <c r="S706" s="30">
        <f>COUNTIFS(RAW_DATA[[#This Row],[AM/PM]],"AM",RAW_DATA[[#This Row],[CONVERTED]],"&gt;0")</f>
        <v>0</v>
      </c>
      <c r="T706" s="19">
        <f t="shared" si="175"/>
        <v>0</v>
      </c>
      <c r="U706" s="20" t="str">
        <f t="shared" si="179"/>
        <v>SINGLE</v>
      </c>
    </row>
    <row r="707" spans="1:21" x14ac:dyDescent="0.35">
      <c r="A707" s="70">
        <f t="shared" si="180"/>
        <v>45443</v>
      </c>
      <c r="B707" s="71" t="str">
        <f t="shared" si="181"/>
        <v>PM</v>
      </c>
      <c r="C707" s="72" t="str">
        <f t="shared" si="182"/>
        <v>May</v>
      </c>
      <c r="D707" s="13" t="str">
        <f t="shared" si="185"/>
        <v>FRI</v>
      </c>
      <c r="E707" s="73">
        <v>0</v>
      </c>
      <c r="F707" s="73">
        <v>0</v>
      </c>
      <c r="G707" s="73">
        <v>0</v>
      </c>
      <c r="H707" s="73">
        <f t="shared" si="178"/>
        <v>0</v>
      </c>
      <c r="I707" s="73">
        <f t="shared" si="186"/>
        <v>0</v>
      </c>
      <c r="J707" s="73">
        <v>0</v>
      </c>
      <c r="K707" s="73">
        <f t="shared" si="187"/>
        <v>0</v>
      </c>
      <c r="L707" s="74">
        <v>0</v>
      </c>
      <c r="M707" s="74">
        <v>0</v>
      </c>
      <c r="N707" s="75">
        <f t="shared" si="183"/>
        <v>0</v>
      </c>
      <c r="O707" s="73">
        <f t="shared" si="177"/>
        <v>0</v>
      </c>
      <c r="P707" s="73">
        <f t="shared" si="184"/>
        <v>0</v>
      </c>
      <c r="Q707" s="76">
        <f t="shared" si="188"/>
        <v>0</v>
      </c>
      <c r="R707" s="30">
        <f>COUNTIF(RAW_DATA[[#This Row],[CONVERTED]],"&gt;0")</f>
        <v>0</v>
      </c>
      <c r="S707" s="30">
        <f>COUNTIFS(RAW_DATA[[#This Row],[AM/PM]],"AM",RAW_DATA[[#This Row],[CONVERTED]],"&gt;0")</f>
        <v>0</v>
      </c>
      <c r="T707" s="19">
        <f t="shared" ref="T707:T767" si="189">IF(AND($S706=1,$N707&gt;0),1,0)</f>
        <v>0</v>
      </c>
      <c r="U707" s="20" t="str">
        <f t="shared" si="179"/>
        <v>SINGLE</v>
      </c>
    </row>
    <row r="708" spans="1:21" x14ac:dyDescent="0.35">
      <c r="A708" s="70">
        <f t="shared" si="180"/>
        <v>45444</v>
      </c>
      <c r="B708" s="71" t="str">
        <f t="shared" si="181"/>
        <v>AM</v>
      </c>
      <c r="C708" s="72" t="str">
        <f t="shared" si="182"/>
        <v>June</v>
      </c>
      <c r="D708" s="13" t="str">
        <f t="shared" si="185"/>
        <v>SAT</v>
      </c>
      <c r="E708" s="73">
        <v>872</v>
      </c>
      <c r="F708" s="73">
        <v>131.94</v>
      </c>
      <c r="G708" s="73">
        <v>52</v>
      </c>
      <c r="H708" s="73">
        <f t="shared" si="178"/>
        <v>34.880000000000003</v>
      </c>
      <c r="I708" s="73">
        <f t="shared" si="186"/>
        <v>2.2165919999999999</v>
      </c>
      <c r="J708" s="73">
        <v>0</v>
      </c>
      <c r="K708" s="73">
        <f t="shared" si="187"/>
        <v>94.843407999999997</v>
      </c>
      <c r="L708" s="74">
        <v>5</v>
      </c>
      <c r="M708" s="74">
        <v>29</v>
      </c>
      <c r="N708" s="75">
        <f t="shared" si="183"/>
        <v>5.4833333333333334</v>
      </c>
      <c r="O708" s="73">
        <f t="shared" si="177"/>
        <v>11.679499999999999</v>
      </c>
      <c r="P708" s="73">
        <f t="shared" si="184"/>
        <v>106.522908</v>
      </c>
      <c r="Q708" s="76">
        <f t="shared" si="188"/>
        <v>158.522908</v>
      </c>
      <c r="R708" s="30">
        <f>COUNTIF(RAW_DATA[[#This Row],[CONVERTED]],"&gt;0")</f>
        <v>1</v>
      </c>
      <c r="S708" s="30">
        <f>COUNTIFS(RAW_DATA[[#This Row],[AM/PM]],"AM",RAW_DATA[[#This Row],[CONVERTED]],"&gt;0")</f>
        <v>1</v>
      </c>
      <c r="T708" s="19">
        <f t="shared" si="189"/>
        <v>0</v>
      </c>
      <c r="U708" s="20" t="str">
        <f t="shared" si="179"/>
        <v>SINGLE</v>
      </c>
    </row>
    <row r="709" spans="1:21" x14ac:dyDescent="0.35">
      <c r="A709" s="70">
        <f t="shared" si="180"/>
        <v>45444</v>
      </c>
      <c r="B709" s="71" t="str">
        <f t="shared" si="181"/>
        <v>PM</v>
      </c>
      <c r="C709" s="72" t="str">
        <f t="shared" si="182"/>
        <v>June</v>
      </c>
      <c r="D709" s="13" t="str">
        <f t="shared" si="185"/>
        <v>SAT</v>
      </c>
      <c r="E709" s="73">
        <v>0</v>
      </c>
      <c r="F709" s="73">
        <v>0</v>
      </c>
      <c r="G709" s="73">
        <v>0</v>
      </c>
      <c r="H709" s="73">
        <f t="shared" si="178"/>
        <v>0</v>
      </c>
      <c r="I709" s="73">
        <f t="shared" si="186"/>
        <v>0</v>
      </c>
      <c r="J709" s="73">
        <v>0</v>
      </c>
      <c r="K709" s="73">
        <f t="shared" si="187"/>
        <v>0</v>
      </c>
      <c r="L709" s="74">
        <v>0</v>
      </c>
      <c r="M709" s="74">
        <v>0</v>
      </c>
      <c r="N709" s="75">
        <f t="shared" si="183"/>
        <v>0</v>
      </c>
      <c r="O709" s="73">
        <f t="shared" si="177"/>
        <v>0</v>
      </c>
      <c r="P709" s="73">
        <f t="shared" si="184"/>
        <v>0</v>
      </c>
      <c r="Q709" s="76">
        <f t="shared" si="188"/>
        <v>0</v>
      </c>
      <c r="R709" s="30">
        <f>COUNTIF(RAW_DATA[[#This Row],[CONVERTED]],"&gt;0")</f>
        <v>0</v>
      </c>
      <c r="S709" s="30">
        <f>COUNTIFS(RAW_DATA[[#This Row],[AM/PM]],"AM",RAW_DATA[[#This Row],[CONVERTED]],"&gt;0")</f>
        <v>0</v>
      </c>
      <c r="T709" s="19">
        <f t="shared" si="189"/>
        <v>0</v>
      </c>
      <c r="U709" s="20" t="str">
        <f t="shared" si="179"/>
        <v>SINGLE</v>
      </c>
    </row>
    <row r="710" spans="1:21" x14ac:dyDescent="0.35">
      <c r="A710" s="70">
        <f t="shared" si="180"/>
        <v>45445</v>
      </c>
      <c r="B710" s="71" t="str">
        <f t="shared" si="181"/>
        <v>AM</v>
      </c>
      <c r="C710" s="72" t="str">
        <f t="shared" si="182"/>
        <v>June</v>
      </c>
      <c r="D710" s="13" t="str">
        <f t="shared" si="185"/>
        <v>SUN</v>
      </c>
      <c r="E710" s="73">
        <v>782</v>
      </c>
      <c r="F710" s="73">
        <v>129.34</v>
      </c>
      <c r="G710" s="73">
        <v>26</v>
      </c>
      <c r="H710" s="73">
        <f t="shared" si="178"/>
        <v>31.28</v>
      </c>
      <c r="I710" s="73">
        <f t="shared" si="186"/>
        <v>2.1729119999999997</v>
      </c>
      <c r="J710" s="73">
        <v>6.96</v>
      </c>
      <c r="K710" s="73">
        <f t="shared" si="187"/>
        <v>95.887088000000006</v>
      </c>
      <c r="L710" s="74">
        <v>5</v>
      </c>
      <c r="M710" s="74">
        <v>10</v>
      </c>
      <c r="N710" s="75">
        <f t="shared" si="183"/>
        <v>5.166666666666667</v>
      </c>
      <c r="O710" s="73">
        <f t="shared" si="177"/>
        <v>11.005000000000001</v>
      </c>
      <c r="P710" s="73">
        <f t="shared" si="184"/>
        <v>113.85208799999999</v>
      </c>
      <c r="Q710" s="76">
        <f t="shared" si="188"/>
        <v>132.892088</v>
      </c>
      <c r="R710" s="30">
        <f>COUNTIF(RAW_DATA[[#This Row],[CONVERTED]],"&gt;0")</f>
        <v>1</v>
      </c>
      <c r="S710" s="30">
        <f>COUNTIFS(RAW_DATA[[#This Row],[AM/PM]],"AM",RAW_DATA[[#This Row],[CONVERTED]],"&gt;0")</f>
        <v>1</v>
      </c>
      <c r="T710" s="19">
        <f t="shared" si="189"/>
        <v>0</v>
      </c>
      <c r="U710" s="20" t="str">
        <f t="shared" si="179"/>
        <v>SINGLE</v>
      </c>
    </row>
    <row r="711" spans="1:21" x14ac:dyDescent="0.35">
      <c r="A711" s="70">
        <f t="shared" si="180"/>
        <v>45445</v>
      </c>
      <c r="B711" s="71" t="str">
        <f t="shared" si="181"/>
        <v>PM</v>
      </c>
      <c r="C711" s="72" t="str">
        <f t="shared" si="182"/>
        <v>June</v>
      </c>
      <c r="D711" s="13" t="str">
        <f t="shared" si="185"/>
        <v>SUN</v>
      </c>
      <c r="E711" s="73">
        <v>0</v>
      </c>
      <c r="F711" s="73">
        <v>0</v>
      </c>
      <c r="G711" s="73">
        <v>0</v>
      </c>
      <c r="H711" s="73">
        <f t="shared" si="178"/>
        <v>0</v>
      </c>
      <c r="I711" s="73">
        <f t="shared" si="186"/>
        <v>0</v>
      </c>
      <c r="J711" s="73">
        <v>0</v>
      </c>
      <c r="K711" s="73">
        <f t="shared" si="187"/>
        <v>0</v>
      </c>
      <c r="L711" s="74">
        <v>0</v>
      </c>
      <c r="M711" s="74">
        <v>0</v>
      </c>
      <c r="N711" s="75">
        <f t="shared" si="183"/>
        <v>0</v>
      </c>
      <c r="O711" s="73">
        <f t="shared" si="177"/>
        <v>0</v>
      </c>
      <c r="P711" s="73">
        <f t="shared" si="184"/>
        <v>0</v>
      </c>
      <c r="Q711" s="76">
        <f t="shared" si="188"/>
        <v>0</v>
      </c>
      <c r="R711" s="30">
        <f>COUNTIF(RAW_DATA[[#This Row],[CONVERTED]],"&gt;0")</f>
        <v>0</v>
      </c>
      <c r="S711" s="30">
        <f>COUNTIFS(RAW_DATA[[#This Row],[AM/PM]],"AM",RAW_DATA[[#This Row],[CONVERTED]],"&gt;0")</f>
        <v>0</v>
      </c>
      <c r="T711" s="19">
        <f t="shared" si="189"/>
        <v>0</v>
      </c>
      <c r="U711" s="20" t="str">
        <f t="shared" si="179"/>
        <v>SINGLE</v>
      </c>
    </row>
    <row r="712" spans="1:21" x14ac:dyDescent="0.35">
      <c r="A712" s="70">
        <f t="shared" si="180"/>
        <v>45446</v>
      </c>
      <c r="B712" s="71" t="str">
        <f t="shared" si="181"/>
        <v>AM</v>
      </c>
      <c r="C712" s="72" t="str">
        <f t="shared" si="182"/>
        <v>June</v>
      </c>
      <c r="D712" s="13" t="str">
        <f t="shared" si="185"/>
        <v>MON</v>
      </c>
      <c r="E712" s="73">
        <v>0</v>
      </c>
      <c r="F712" s="73">
        <v>0</v>
      </c>
      <c r="G712" s="73">
        <v>0</v>
      </c>
      <c r="H712" s="73">
        <f t="shared" si="178"/>
        <v>0</v>
      </c>
      <c r="I712" s="73">
        <f t="shared" si="186"/>
        <v>0</v>
      </c>
      <c r="J712" s="73">
        <v>0</v>
      </c>
      <c r="K712" s="73">
        <f t="shared" si="187"/>
        <v>0</v>
      </c>
      <c r="L712" s="74">
        <v>0</v>
      </c>
      <c r="M712" s="74">
        <v>0</v>
      </c>
      <c r="N712" s="75">
        <f t="shared" si="183"/>
        <v>0</v>
      </c>
      <c r="O712" s="73">
        <f t="shared" si="177"/>
        <v>0</v>
      </c>
      <c r="P712" s="73">
        <f t="shared" si="184"/>
        <v>0</v>
      </c>
      <c r="Q712" s="76">
        <f t="shared" si="188"/>
        <v>0</v>
      </c>
      <c r="R712" s="30">
        <f>COUNTIF(RAW_DATA[[#This Row],[CONVERTED]],"&gt;0")</f>
        <v>0</v>
      </c>
      <c r="S712" s="30">
        <f>COUNTIFS(RAW_DATA[[#This Row],[AM/PM]],"AM",RAW_DATA[[#This Row],[CONVERTED]],"&gt;0")</f>
        <v>0</v>
      </c>
      <c r="T712" s="19">
        <f t="shared" si="189"/>
        <v>0</v>
      </c>
      <c r="U712" s="20" t="str">
        <f t="shared" si="179"/>
        <v>SINGLE</v>
      </c>
    </row>
    <row r="713" spans="1:21" x14ac:dyDescent="0.35">
      <c r="A713" s="70">
        <f t="shared" si="180"/>
        <v>45446</v>
      </c>
      <c r="B713" s="71" t="str">
        <f t="shared" si="181"/>
        <v>PM</v>
      </c>
      <c r="C713" s="72" t="str">
        <f t="shared" si="182"/>
        <v>June</v>
      </c>
      <c r="D713" s="13" t="str">
        <f t="shared" si="185"/>
        <v>MON</v>
      </c>
      <c r="E713" s="73">
        <v>586</v>
      </c>
      <c r="F713" s="73">
        <v>115.65</v>
      </c>
      <c r="G713" s="73">
        <v>0</v>
      </c>
      <c r="H713" s="73">
        <f t="shared" si="178"/>
        <v>23.44</v>
      </c>
      <c r="I713" s="73">
        <f t="shared" si="186"/>
        <v>1.94292</v>
      </c>
      <c r="J713" s="73">
        <v>0</v>
      </c>
      <c r="K713" s="73">
        <f t="shared" si="187"/>
        <v>90.267080000000007</v>
      </c>
      <c r="L713" s="74">
        <v>4</v>
      </c>
      <c r="M713" s="74">
        <v>22</v>
      </c>
      <c r="N713" s="75">
        <f t="shared" si="183"/>
        <v>4.3666666666666663</v>
      </c>
      <c r="O713" s="73">
        <f t="shared" si="177"/>
        <v>9.3009999999999984</v>
      </c>
      <c r="P713" s="73">
        <f t="shared" si="184"/>
        <v>99.568080000000009</v>
      </c>
      <c r="Q713" s="76">
        <f t="shared" si="188"/>
        <v>99.568080000000009</v>
      </c>
      <c r="R713" s="30">
        <f>COUNTIF(RAW_DATA[[#This Row],[CONVERTED]],"&gt;0")</f>
        <v>1</v>
      </c>
      <c r="S713" s="30">
        <f>COUNTIFS(RAW_DATA[[#This Row],[AM/PM]],"AM",RAW_DATA[[#This Row],[CONVERTED]],"&gt;0")</f>
        <v>0</v>
      </c>
      <c r="T713" s="19">
        <f t="shared" si="189"/>
        <v>0</v>
      </c>
      <c r="U713" s="20" t="str">
        <f t="shared" si="179"/>
        <v>SINGLE</v>
      </c>
    </row>
    <row r="714" spans="1:21" x14ac:dyDescent="0.35">
      <c r="A714" s="70">
        <f t="shared" si="180"/>
        <v>45447</v>
      </c>
      <c r="B714" s="71" t="str">
        <f t="shared" si="181"/>
        <v>AM</v>
      </c>
      <c r="C714" s="72" t="str">
        <f t="shared" si="182"/>
        <v>June</v>
      </c>
      <c r="D714" s="13" t="str">
        <f t="shared" si="185"/>
        <v>TUE</v>
      </c>
      <c r="E714" s="73">
        <v>0</v>
      </c>
      <c r="F714" s="73">
        <v>0</v>
      </c>
      <c r="G714" s="73">
        <v>0</v>
      </c>
      <c r="H714" s="73">
        <f t="shared" si="178"/>
        <v>0</v>
      </c>
      <c r="I714" s="73">
        <f t="shared" si="186"/>
        <v>0</v>
      </c>
      <c r="J714" s="73">
        <v>0</v>
      </c>
      <c r="K714" s="73">
        <f t="shared" si="187"/>
        <v>0</v>
      </c>
      <c r="L714" s="74">
        <v>0</v>
      </c>
      <c r="M714" s="74">
        <v>0</v>
      </c>
      <c r="N714" s="75">
        <f t="shared" si="183"/>
        <v>0</v>
      </c>
      <c r="O714" s="73">
        <f t="shared" si="177"/>
        <v>0</v>
      </c>
      <c r="P714" s="73">
        <f t="shared" si="184"/>
        <v>0</v>
      </c>
      <c r="Q714" s="76">
        <f t="shared" si="188"/>
        <v>0</v>
      </c>
      <c r="R714" s="30">
        <f>COUNTIF(RAW_DATA[[#This Row],[CONVERTED]],"&gt;0")</f>
        <v>0</v>
      </c>
      <c r="S714" s="30">
        <f>COUNTIFS(RAW_DATA[[#This Row],[AM/PM]],"AM",RAW_DATA[[#This Row],[CONVERTED]],"&gt;0")</f>
        <v>0</v>
      </c>
      <c r="T714" s="19">
        <f t="shared" si="189"/>
        <v>0</v>
      </c>
      <c r="U714" s="20" t="str">
        <f t="shared" si="179"/>
        <v>SINGLE</v>
      </c>
    </row>
    <row r="715" spans="1:21" x14ac:dyDescent="0.35">
      <c r="A715" s="70">
        <f t="shared" si="180"/>
        <v>45447</v>
      </c>
      <c r="B715" s="71" t="str">
        <f t="shared" si="181"/>
        <v>PM</v>
      </c>
      <c r="C715" s="72" t="str">
        <f t="shared" si="182"/>
        <v>June</v>
      </c>
      <c r="D715" s="13" t="str">
        <f t="shared" si="185"/>
        <v>TUE</v>
      </c>
      <c r="E715" s="73">
        <v>0</v>
      </c>
      <c r="F715" s="73">
        <v>0</v>
      </c>
      <c r="G715" s="73">
        <v>0</v>
      </c>
      <c r="H715" s="73">
        <f t="shared" si="178"/>
        <v>0</v>
      </c>
      <c r="I715" s="73">
        <f t="shared" si="186"/>
        <v>0</v>
      </c>
      <c r="J715" s="73">
        <v>0</v>
      </c>
      <c r="K715" s="73">
        <f t="shared" si="187"/>
        <v>0</v>
      </c>
      <c r="L715" s="74">
        <v>0</v>
      </c>
      <c r="M715" s="74">
        <v>0</v>
      </c>
      <c r="N715" s="75">
        <f t="shared" si="183"/>
        <v>0</v>
      </c>
      <c r="O715" s="73">
        <f t="shared" si="177"/>
        <v>0</v>
      </c>
      <c r="P715" s="73">
        <f t="shared" si="184"/>
        <v>0</v>
      </c>
      <c r="Q715" s="76">
        <f t="shared" si="188"/>
        <v>0</v>
      </c>
      <c r="R715" s="30">
        <f>COUNTIF(RAW_DATA[[#This Row],[CONVERTED]],"&gt;0")</f>
        <v>0</v>
      </c>
      <c r="S715" s="30">
        <f>COUNTIFS(RAW_DATA[[#This Row],[AM/PM]],"AM",RAW_DATA[[#This Row],[CONVERTED]],"&gt;0")</f>
        <v>0</v>
      </c>
      <c r="T715" s="19">
        <f t="shared" si="189"/>
        <v>0</v>
      </c>
      <c r="U715" s="20" t="str">
        <f t="shared" si="179"/>
        <v>SINGLE</v>
      </c>
    </row>
    <row r="716" spans="1:21" x14ac:dyDescent="0.35">
      <c r="A716" s="92">
        <f t="shared" si="180"/>
        <v>45448</v>
      </c>
      <c r="B716" s="93" t="str">
        <f t="shared" si="181"/>
        <v>AM</v>
      </c>
      <c r="C716" s="94" t="str">
        <f t="shared" si="182"/>
        <v>June</v>
      </c>
      <c r="D716" s="95" t="str">
        <f t="shared" si="185"/>
        <v>WED</v>
      </c>
      <c r="E716" s="96">
        <v>0</v>
      </c>
      <c r="F716" s="96">
        <v>0</v>
      </c>
      <c r="G716" s="96">
        <v>0</v>
      </c>
      <c r="H716" s="96">
        <f t="shared" si="178"/>
        <v>0</v>
      </c>
      <c r="I716" s="96">
        <f t="shared" si="186"/>
        <v>0</v>
      </c>
      <c r="J716" s="96">
        <v>0</v>
      </c>
      <c r="K716" s="96">
        <f t="shared" si="187"/>
        <v>0</v>
      </c>
      <c r="L716" s="97">
        <v>0</v>
      </c>
      <c r="M716" s="97">
        <v>0</v>
      </c>
      <c r="N716" s="98">
        <f t="shared" si="183"/>
        <v>0</v>
      </c>
      <c r="O716" s="96">
        <f t="shared" si="177"/>
        <v>0</v>
      </c>
      <c r="P716" s="96">
        <f t="shared" si="184"/>
        <v>0</v>
      </c>
      <c r="Q716" s="99">
        <f t="shared" si="188"/>
        <v>0</v>
      </c>
      <c r="R716" s="100">
        <f>COUNTIF(RAW_DATA[[#This Row],[CONVERTED]],"&gt;0")</f>
        <v>0</v>
      </c>
      <c r="S716" s="100">
        <f>COUNTIFS(RAW_DATA[[#This Row],[AM/PM]],"AM",RAW_DATA[[#This Row],[CONVERTED]],"&gt;0")</f>
        <v>0</v>
      </c>
      <c r="T716" s="101">
        <f t="shared" si="189"/>
        <v>0</v>
      </c>
      <c r="U716" s="102" t="str">
        <f t="shared" si="179"/>
        <v>SINGLE</v>
      </c>
    </row>
    <row r="717" spans="1:21" x14ac:dyDescent="0.35">
      <c r="A717" s="70">
        <f t="shared" si="180"/>
        <v>45448</v>
      </c>
      <c r="B717" s="71" t="str">
        <f t="shared" si="181"/>
        <v>PM</v>
      </c>
      <c r="C717" s="72" t="str">
        <f t="shared" si="182"/>
        <v>June</v>
      </c>
      <c r="D717" s="13" t="str">
        <f t="shared" si="185"/>
        <v>WED</v>
      </c>
      <c r="E717" s="73">
        <v>1027</v>
      </c>
      <c r="F717" s="73">
        <v>198.58</v>
      </c>
      <c r="G717" s="73">
        <v>13</v>
      </c>
      <c r="H717" s="73">
        <f t="shared" si="178"/>
        <v>41.08</v>
      </c>
      <c r="I717" s="73">
        <f t="shared" si="186"/>
        <v>3.336144</v>
      </c>
      <c r="J717" s="73">
        <v>5.68</v>
      </c>
      <c r="K717" s="73">
        <f t="shared" si="187"/>
        <v>154.16385600000001</v>
      </c>
      <c r="L717" s="74">
        <v>5</v>
      </c>
      <c r="M717" s="74">
        <v>49</v>
      </c>
      <c r="N717" s="75">
        <f t="shared" si="183"/>
        <v>5.8166666666666664</v>
      </c>
      <c r="O717" s="73">
        <f t="shared" si="177"/>
        <v>12.389499999999998</v>
      </c>
      <c r="P717" s="73">
        <f t="shared" si="184"/>
        <v>172.23335600000001</v>
      </c>
      <c r="Q717" s="76">
        <f t="shared" si="188"/>
        <v>179.55335600000001</v>
      </c>
      <c r="R717" s="30">
        <f>COUNTIF(RAW_DATA[[#This Row],[CONVERTED]],"&gt;0")</f>
        <v>1</v>
      </c>
      <c r="S717" s="30">
        <f>COUNTIFS(RAW_DATA[[#This Row],[AM/PM]],"AM",RAW_DATA[[#This Row],[CONVERTED]],"&gt;0")</f>
        <v>0</v>
      </c>
      <c r="T717" s="19">
        <f t="shared" si="189"/>
        <v>0</v>
      </c>
      <c r="U717" s="20" t="str">
        <f t="shared" si="179"/>
        <v>SINGLE</v>
      </c>
    </row>
    <row r="718" spans="1:21" x14ac:dyDescent="0.35">
      <c r="A718" s="70">
        <f t="shared" si="180"/>
        <v>45449</v>
      </c>
      <c r="B718" s="71" t="str">
        <f t="shared" si="181"/>
        <v>AM</v>
      </c>
      <c r="C718" s="72" t="str">
        <f t="shared" si="182"/>
        <v>June</v>
      </c>
      <c r="D718" s="13" t="str">
        <f t="shared" si="185"/>
        <v>THU</v>
      </c>
      <c r="E718" s="73">
        <v>0</v>
      </c>
      <c r="F718" s="73">
        <v>0</v>
      </c>
      <c r="G718" s="73">
        <v>0</v>
      </c>
      <c r="H718" s="73">
        <f t="shared" si="178"/>
        <v>0</v>
      </c>
      <c r="I718" s="73">
        <f t="shared" si="186"/>
        <v>0</v>
      </c>
      <c r="J718" s="73">
        <v>0</v>
      </c>
      <c r="K718" s="73">
        <f t="shared" si="187"/>
        <v>0</v>
      </c>
      <c r="L718" s="74">
        <v>0</v>
      </c>
      <c r="M718" s="74">
        <v>0</v>
      </c>
      <c r="N718" s="75">
        <f t="shared" si="183"/>
        <v>0</v>
      </c>
      <c r="O718" s="73">
        <f t="shared" si="177"/>
        <v>0</v>
      </c>
      <c r="P718" s="73">
        <f t="shared" si="184"/>
        <v>0</v>
      </c>
      <c r="Q718" s="76">
        <f t="shared" si="188"/>
        <v>0</v>
      </c>
      <c r="R718" s="30">
        <f>COUNTIF(RAW_DATA[[#This Row],[CONVERTED]],"&gt;0")</f>
        <v>0</v>
      </c>
      <c r="S718" s="30">
        <f>COUNTIFS(RAW_DATA[[#This Row],[AM/PM]],"AM",RAW_DATA[[#This Row],[CONVERTED]],"&gt;0")</f>
        <v>0</v>
      </c>
      <c r="T718" s="19">
        <f t="shared" si="189"/>
        <v>0</v>
      </c>
      <c r="U718" s="20" t="str">
        <f t="shared" si="179"/>
        <v>SINGLE</v>
      </c>
    </row>
    <row r="719" spans="1:21" x14ac:dyDescent="0.35">
      <c r="A719" s="70">
        <f t="shared" si="180"/>
        <v>45449</v>
      </c>
      <c r="B719" s="71" t="str">
        <f t="shared" si="181"/>
        <v>PM</v>
      </c>
      <c r="C719" s="72" t="str">
        <f t="shared" si="182"/>
        <v>June</v>
      </c>
      <c r="D719" s="13" t="str">
        <f t="shared" si="185"/>
        <v>THU</v>
      </c>
      <c r="E719" s="73">
        <v>1121</v>
      </c>
      <c r="F719" s="73">
        <v>248.92</v>
      </c>
      <c r="G719" s="73">
        <v>0</v>
      </c>
      <c r="H719" s="73">
        <f t="shared" si="178"/>
        <v>44.84</v>
      </c>
      <c r="I719" s="73">
        <f t="shared" si="186"/>
        <v>4.1818559999999998</v>
      </c>
      <c r="J719" s="73">
        <v>0</v>
      </c>
      <c r="K719" s="73">
        <f t="shared" si="187"/>
        <v>199.898144</v>
      </c>
      <c r="L719" s="74">
        <v>5</v>
      </c>
      <c r="M719" s="74">
        <v>16</v>
      </c>
      <c r="N719" s="75">
        <f t="shared" si="183"/>
        <v>5.2666666666666666</v>
      </c>
      <c r="O719" s="73">
        <f t="shared" si="177"/>
        <v>11.218</v>
      </c>
      <c r="P719" s="73">
        <f t="shared" si="184"/>
        <v>211.11614399999999</v>
      </c>
      <c r="Q719" s="76">
        <f t="shared" si="188"/>
        <v>211.11614399999999</v>
      </c>
      <c r="R719" s="30">
        <f>COUNTIF(RAW_DATA[[#This Row],[CONVERTED]],"&gt;0")</f>
        <v>1</v>
      </c>
      <c r="S719" s="30">
        <f>COUNTIFS(RAW_DATA[[#This Row],[AM/PM]],"AM",RAW_DATA[[#This Row],[CONVERTED]],"&gt;0")</f>
        <v>0</v>
      </c>
      <c r="T719" s="19">
        <f t="shared" si="189"/>
        <v>0</v>
      </c>
      <c r="U719" s="20" t="str">
        <f t="shared" si="179"/>
        <v>SINGLE</v>
      </c>
    </row>
    <row r="720" spans="1:21" x14ac:dyDescent="0.35">
      <c r="A720" s="70">
        <f t="shared" si="180"/>
        <v>45450</v>
      </c>
      <c r="B720" s="71" t="str">
        <f t="shared" si="181"/>
        <v>AM</v>
      </c>
      <c r="C720" s="72" t="str">
        <f t="shared" si="182"/>
        <v>June</v>
      </c>
      <c r="D720" s="13" t="str">
        <f t="shared" si="185"/>
        <v>FRI</v>
      </c>
      <c r="E720" s="73">
        <v>0</v>
      </c>
      <c r="F720" s="73">
        <v>0</v>
      </c>
      <c r="G720" s="73">
        <v>0</v>
      </c>
      <c r="H720" s="73">
        <f t="shared" si="178"/>
        <v>0</v>
      </c>
      <c r="I720" s="73">
        <f t="shared" si="186"/>
        <v>0</v>
      </c>
      <c r="J720" s="73">
        <v>0</v>
      </c>
      <c r="K720" s="73">
        <f t="shared" si="187"/>
        <v>0</v>
      </c>
      <c r="L720" s="74">
        <v>0</v>
      </c>
      <c r="M720" s="74">
        <v>0</v>
      </c>
      <c r="N720" s="75">
        <f t="shared" si="183"/>
        <v>0</v>
      </c>
      <c r="O720" s="73">
        <f t="shared" si="177"/>
        <v>0</v>
      </c>
      <c r="P720" s="73">
        <f t="shared" si="184"/>
        <v>0</v>
      </c>
      <c r="Q720" s="76">
        <f t="shared" si="188"/>
        <v>0</v>
      </c>
      <c r="R720" s="30">
        <f>COUNTIF(RAW_DATA[[#This Row],[CONVERTED]],"&gt;0")</f>
        <v>0</v>
      </c>
      <c r="S720" s="30">
        <f>COUNTIFS(RAW_DATA[[#This Row],[AM/PM]],"AM",RAW_DATA[[#This Row],[CONVERTED]],"&gt;0")</f>
        <v>0</v>
      </c>
      <c r="T720" s="19">
        <f t="shared" si="189"/>
        <v>0</v>
      </c>
      <c r="U720" s="20" t="str">
        <f t="shared" si="179"/>
        <v>SINGLE</v>
      </c>
    </row>
    <row r="721" spans="1:21" x14ac:dyDescent="0.35">
      <c r="A721" s="70">
        <f t="shared" si="180"/>
        <v>45450</v>
      </c>
      <c r="B721" s="71" t="str">
        <f t="shared" si="181"/>
        <v>PM</v>
      </c>
      <c r="C721" s="72" t="str">
        <f t="shared" si="182"/>
        <v>June</v>
      </c>
      <c r="D721" s="13" t="str">
        <f t="shared" si="185"/>
        <v>FRI</v>
      </c>
      <c r="E721" s="73">
        <v>0</v>
      </c>
      <c r="F721" s="73">
        <v>0</v>
      </c>
      <c r="G721" s="73">
        <v>0</v>
      </c>
      <c r="H721" s="73">
        <f t="shared" si="178"/>
        <v>0</v>
      </c>
      <c r="I721" s="73">
        <f t="shared" si="186"/>
        <v>0</v>
      </c>
      <c r="J721" s="73">
        <v>0</v>
      </c>
      <c r="K721" s="73">
        <f t="shared" si="187"/>
        <v>0</v>
      </c>
      <c r="L721" s="74">
        <v>0</v>
      </c>
      <c r="M721" s="74">
        <v>0</v>
      </c>
      <c r="N721" s="75">
        <f t="shared" si="183"/>
        <v>0</v>
      </c>
      <c r="O721" s="73">
        <f t="shared" ref="O721:O784" si="190">N721*2.13</f>
        <v>0</v>
      </c>
      <c r="P721" s="73">
        <f t="shared" si="184"/>
        <v>0</v>
      </c>
      <c r="Q721" s="76">
        <f t="shared" si="188"/>
        <v>0</v>
      </c>
      <c r="R721" s="30">
        <f>COUNTIF(RAW_DATA[[#This Row],[CONVERTED]],"&gt;0")</f>
        <v>0</v>
      </c>
      <c r="S721" s="30">
        <f>COUNTIFS(RAW_DATA[[#This Row],[AM/PM]],"AM",RAW_DATA[[#This Row],[CONVERTED]],"&gt;0")</f>
        <v>0</v>
      </c>
      <c r="T721" s="19">
        <f t="shared" si="189"/>
        <v>0</v>
      </c>
      <c r="U721" s="20" t="str">
        <f t="shared" si="179"/>
        <v>SINGLE</v>
      </c>
    </row>
    <row r="722" spans="1:21" x14ac:dyDescent="0.35">
      <c r="A722" s="70">
        <f t="shared" si="180"/>
        <v>45451</v>
      </c>
      <c r="B722" s="71" t="str">
        <f t="shared" si="181"/>
        <v>AM</v>
      </c>
      <c r="C722" s="72" t="str">
        <f t="shared" si="182"/>
        <v>June</v>
      </c>
      <c r="D722" s="13" t="str">
        <f t="shared" si="185"/>
        <v>SAT</v>
      </c>
      <c r="E722" s="73">
        <v>1216</v>
      </c>
      <c r="F722" s="73">
        <v>223</v>
      </c>
      <c r="G722" s="73">
        <v>41</v>
      </c>
      <c r="H722" s="73">
        <f t="shared" si="178"/>
        <v>48.64</v>
      </c>
      <c r="I722" s="73">
        <f t="shared" si="186"/>
        <v>3.7464</v>
      </c>
      <c r="J722" s="73">
        <v>6.24</v>
      </c>
      <c r="K722" s="73">
        <f t="shared" si="187"/>
        <v>170.61359999999999</v>
      </c>
      <c r="L722" s="74">
        <v>5</v>
      </c>
      <c r="M722" s="74">
        <v>7</v>
      </c>
      <c r="N722" s="75">
        <f t="shared" si="183"/>
        <v>5.1166666666666663</v>
      </c>
      <c r="O722" s="73">
        <f t="shared" si="190"/>
        <v>10.898499999999999</v>
      </c>
      <c r="P722" s="73">
        <f t="shared" si="184"/>
        <v>187.75209999999998</v>
      </c>
      <c r="Q722" s="76">
        <f t="shared" si="188"/>
        <v>222.51209999999998</v>
      </c>
      <c r="R722" s="30">
        <f>COUNTIF(RAW_DATA[[#This Row],[CONVERTED]],"&gt;0")</f>
        <v>1</v>
      </c>
      <c r="S722" s="30">
        <f>COUNTIFS(RAW_DATA[[#This Row],[AM/PM]],"AM",RAW_DATA[[#This Row],[CONVERTED]],"&gt;0")</f>
        <v>1</v>
      </c>
      <c r="T722" s="19">
        <f t="shared" si="189"/>
        <v>0</v>
      </c>
      <c r="U722" s="20" t="str">
        <f t="shared" si="179"/>
        <v>DOUBLE</v>
      </c>
    </row>
    <row r="723" spans="1:21" x14ac:dyDescent="0.35">
      <c r="A723" s="70">
        <f t="shared" si="180"/>
        <v>45451</v>
      </c>
      <c r="B723" s="71" t="str">
        <f t="shared" si="181"/>
        <v>PM</v>
      </c>
      <c r="C723" s="72" t="str">
        <f t="shared" si="182"/>
        <v>June</v>
      </c>
      <c r="D723" s="13" t="str">
        <f t="shared" si="185"/>
        <v>SAT</v>
      </c>
      <c r="E723" s="73">
        <v>1351</v>
      </c>
      <c r="F723" s="73">
        <v>191.72</v>
      </c>
      <c r="G723" s="73">
        <v>94</v>
      </c>
      <c r="H723" s="73">
        <f t="shared" si="178"/>
        <v>54.04</v>
      </c>
      <c r="I723" s="73">
        <f t="shared" si="186"/>
        <v>3.2208959999999998</v>
      </c>
      <c r="J723" s="73">
        <v>11.84</v>
      </c>
      <c r="K723" s="73">
        <f t="shared" si="187"/>
        <v>134.459104</v>
      </c>
      <c r="L723" s="74">
        <v>4</v>
      </c>
      <c r="M723" s="74">
        <v>2</v>
      </c>
      <c r="N723" s="75">
        <f t="shared" si="183"/>
        <v>4.0333333333333332</v>
      </c>
      <c r="O723" s="73">
        <f t="shared" si="190"/>
        <v>8.5909999999999993</v>
      </c>
      <c r="P723" s="73">
        <f t="shared" si="184"/>
        <v>154.89010400000001</v>
      </c>
      <c r="Q723" s="76">
        <f t="shared" si="188"/>
        <v>237.050104</v>
      </c>
      <c r="R723" s="30">
        <f>COUNTIF(RAW_DATA[[#This Row],[CONVERTED]],"&gt;0")</f>
        <v>1</v>
      </c>
      <c r="S723" s="30">
        <f>COUNTIFS(RAW_DATA[[#This Row],[AM/PM]],"AM",RAW_DATA[[#This Row],[CONVERTED]],"&gt;0")</f>
        <v>0</v>
      </c>
      <c r="T723" s="19">
        <f t="shared" si="189"/>
        <v>1</v>
      </c>
      <c r="U723" s="20" t="str">
        <f t="shared" si="179"/>
        <v>DOUBLE</v>
      </c>
    </row>
    <row r="724" spans="1:21" x14ac:dyDescent="0.35">
      <c r="A724" s="70">
        <f t="shared" si="180"/>
        <v>45452</v>
      </c>
      <c r="B724" s="71" t="str">
        <f t="shared" si="181"/>
        <v>AM</v>
      </c>
      <c r="C724" s="72" t="str">
        <f t="shared" si="182"/>
        <v>June</v>
      </c>
      <c r="D724" s="13" t="str">
        <f t="shared" si="185"/>
        <v>SUN</v>
      </c>
      <c r="E724" s="73">
        <f>1231/2</f>
        <v>615.5</v>
      </c>
      <c r="F724" s="73">
        <f>220.11/2</f>
        <v>110.05500000000001</v>
      </c>
      <c r="G724" s="73">
        <f>38/2</f>
        <v>19</v>
      </c>
      <c r="H724" s="73">
        <f t="shared" si="178"/>
        <v>24.62</v>
      </c>
      <c r="I724" s="73">
        <f t="shared" si="186"/>
        <v>1.848924</v>
      </c>
      <c r="J724" s="73">
        <v>0</v>
      </c>
      <c r="K724" s="73">
        <f t="shared" si="187"/>
        <v>83.586076000000006</v>
      </c>
      <c r="L724" s="74">
        <f>8/2</f>
        <v>4</v>
      </c>
      <c r="M724" s="74">
        <f>2/2</f>
        <v>1</v>
      </c>
      <c r="N724" s="75">
        <f t="shared" si="183"/>
        <v>4.0166666666666666</v>
      </c>
      <c r="O724" s="73">
        <f t="shared" si="190"/>
        <v>8.5555000000000003</v>
      </c>
      <c r="P724" s="73">
        <f t="shared" si="184"/>
        <v>92.141576000000001</v>
      </c>
      <c r="Q724" s="76">
        <f t="shared" si="188"/>
        <v>111.141576</v>
      </c>
      <c r="R724" s="30">
        <f>COUNTIF(RAW_DATA[[#This Row],[CONVERTED]],"&gt;0")</f>
        <v>1</v>
      </c>
      <c r="S724" s="30">
        <f>COUNTIFS(RAW_DATA[[#This Row],[AM/PM]],"AM",RAW_DATA[[#This Row],[CONVERTED]],"&gt;0")</f>
        <v>1</v>
      </c>
      <c r="T724" s="19">
        <f t="shared" si="189"/>
        <v>0</v>
      </c>
      <c r="U724" s="20" t="str">
        <f t="shared" si="179"/>
        <v>DOUBLE</v>
      </c>
    </row>
    <row r="725" spans="1:21" x14ac:dyDescent="0.35">
      <c r="A725" s="70">
        <f t="shared" si="180"/>
        <v>45452</v>
      </c>
      <c r="B725" s="71" t="str">
        <f t="shared" si="181"/>
        <v>PM</v>
      </c>
      <c r="C725" s="72" t="str">
        <f t="shared" si="182"/>
        <v>June</v>
      </c>
      <c r="D725" s="13" t="str">
        <f t="shared" si="185"/>
        <v>SUN</v>
      </c>
      <c r="E725" s="73">
        <f>1231/2</f>
        <v>615.5</v>
      </c>
      <c r="F725" s="73">
        <f>220.11/2</f>
        <v>110.05500000000001</v>
      </c>
      <c r="G725" s="73">
        <f>38/2</f>
        <v>19</v>
      </c>
      <c r="H725" s="73">
        <f t="shared" ref="H725:H788" si="191">E725*0.04</f>
        <v>24.62</v>
      </c>
      <c r="I725" s="73">
        <f t="shared" si="186"/>
        <v>1.848924</v>
      </c>
      <c r="J725" s="73">
        <v>0</v>
      </c>
      <c r="K725" s="73">
        <f t="shared" si="187"/>
        <v>83.586076000000006</v>
      </c>
      <c r="L725" s="74">
        <f>8/2</f>
        <v>4</v>
      </c>
      <c r="M725" s="74">
        <f>2/2</f>
        <v>1</v>
      </c>
      <c r="N725" s="75">
        <f t="shared" si="183"/>
        <v>4.0166666666666666</v>
      </c>
      <c r="O725" s="73">
        <f t="shared" si="190"/>
        <v>8.5555000000000003</v>
      </c>
      <c r="P725" s="73">
        <f t="shared" si="184"/>
        <v>92.141576000000001</v>
      </c>
      <c r="Q725" s="76">
        <f t="shared" si="188"/>
        <v>111.141576</v>
      </c>
      <c r="R725" s="30">
        <f>COUNTIF(RAW_DATA[[#This Row],[CONVERTED]],"&gt;0")</f>
        <v>1</v>
      </c>
      <c r="S725" s="30">
        <f>COUNTIFS(RAW_DATA[[#This Row],[AM/PM]],"AM",RAW_DATA[[#This Row],[CONVERTED]],"&gt;0")</f>
        <v>0</v>
      </c>
      <c r="T725" s="19">
        <f t="shared" si="189"/>
        <v>1</v>
      </c>
      <c r="U725" s="20" t="str">
        <f t="shared" si="179"/>
        <v>DOUBLE</v>
      </c>
    </row>
    <row r="726" spans="1:21" x14ac:dyDescent="0.35">
      <c r="A726" s="70">
        <f t="shared" si="180"/>
        <v>45453</v>
      </c>
      <c r="B726" s="71" t="str">
        <f t="shared" si="181"/>
        <v>AM</v>
      </c>
      <c r="C726" s="72" t="str">
        <f t="shared" si="182"/>
        <v>June</v>
      </c>
      <c r="D726" s="13" t="str">
        <f t="shared" si="185"/>
        <v>MON</v>
      </c>
      <c r="E726" s="73">
        <v>0</v>
      </c>
      <c r="F726" s="73">
        <v>0</v>
      </c>
      <c r="G726" s="73">
        <v>0</v>
      </c>
      <c r="H726" s="73">
        <f t="shared" si="191"/>
        <v>0</v>
      </c>
      <c r="I726" s="73">
        <f t="shared" si="186"/>
        <v>0</v>
      </c>
      <c r="J726" s="73">
        <v>0</v>
      </c>
      <c r="K726" s="73">
        <f t="shared" si="187"/>
        <v>0</v>
      </c>
      <c r="L726" s="74">
        <v>0</v>
      </c>
      <c r="M726" s="74">
        <v>0</v>
      </c>
      <c r="N726" s="75">
        <f t="shared" si="183"/>
        <v>0</v>
      </c>
      <c r="O726" s="73">
        <f t="shared" si="190"/>
        <v>0</v>
      </c>
      <c r="P726" s="73">
        <f t="shared" si="184"/>
        <v>0</v>
      </c>
      <c r="Q726" s="76">
        <f t="shared" si="188"/>
        <v>0</v>
      </c>
      <c r="R726" s="30">
        <f>COUNTIF(RAW_DATA[[#This Row],[CONVERTED]],"&gt;0")</f>
        <v>0</v>
      </c>
      <c r="S726" s="30">
        <f>COUNTIFS(RAW_DATA[[#This Row],[AM/PM]],"AM",RAW_DATA[[#This Row],[CONVERTED]],"&gt;0")</f>
        <v>0</v>
      </c>
      <c r="T726" s="19">
        <f t="shared" si="189"/>
        <v>0</v>
      </c>
      <c r="U726" s="20" t="str">
        <f t="shared" ref="U726:U789" si="192">IF(AND(S726=1,T727=1,B726="AM"),"DOUBLE",IF(AND(S725=1,N726&gt;0),"DOUBLE","SINGLE"))</f>
        <v>SINGLE</v>
      </c>
    </row>
    <row r="727" spans="1:21" x14ac:dyDescent="0.35">
      <c r="A727" s="70">
        <f t="shared" si="180"/>
        <v>45453</v>
      </c>
      <c r="B727" s="71" t="str">
        <f t="shared" si="181"/>
        <v>PM</v>
      </c>
      <c r="C727" s="72" t="str">
        <f t="shared" si="182"/>
        <v>June</v>
      </c>
      <c r="D727" s="13" t="str">
        <f t="shared" si="185"/>
        <v>MON</v>
      </c>
      <c r="E727" s="73">
        <v>0</v>
      </c>
      <c r="F727" s="73">
        <v>0</v>
      </c>
      <c r="G727" s="73">
        <v>0</v>
      </c>
      <c r="H727" s="73">
        <f t="shared" si="191"/>
        <v>0</v>
      </c>
      <c r="I727" s="73">
        <f t="shared" si="186"/>
        <v>0</v>
      </c>
      <c r="J727" s="73">
        <v>0</v>
      </c>
      <c r="K727" s="73">
        <f t="shared" si="187"/>
        <v>0</v>
      </c>
      <c r="L727" s="74">
        <v>0</v>
      </c>
      <c r="M727" s="74">
        <v>0</v>
      </c>
      <c r="N727" s="75">
        <f t="shared" si="183"/>
        <v>0</v>
      </c>
      <c r="O727" s="73">
        <f t="shared" si="190"/>
        <v>0</v>
      </c>
      <c r="P727" s="73">
        <f t="shared" si="184"/>
        <v>0</v>
      </c>
      <c r="Q727" s="76">
        <f t="shared" si="188"/>
        <v>0</v>
      </c>
      <c r="R727" s="30">
        <f>COUNTIF(RAW_DATA[[#This Row],[CONVERTED]],"&gt;0")</f>
        <v>0</v>
      </c>
      <c r="S727" s="30">
        <f>COUNTIFS(RAW_DATA[[#This Row],[AM/PM]],"AM",RAW_DATA[[#This Row],[CONVERTED]],"&gt;0")</f>
        <v>0</v>
      </c>
      <c r="T727" s="19">
        <f t="shared" si="189"/>
        <v>0</v>
      </c>
      <c r="U727" s="20" t="str">
        <f t="shared" si="192"/>
        <v>SINGLE</v>
      </c>
    </row>
    <row r="728" spans="1:21" x14ac:dyDescent="0.35">
      <c r="A728" s="70">
        <f t="shared" si="180"/>
        <v>45454</v>
      </c>
      <c r="B728" s="71" t="str">
        <f t="shared" si="181"/>
        <v>AM</v>
      </c>
      <c r="C728" s="72" t="str">
        <f t="shared" si="182"/>
        <v>June</v>
      </c>
      <c r="D728" s="13" t="str">
        <f t="shared" si="185"/>
        <v>TUE</v>
      </c>
      <c r="E728" s="73">
        <v>0</v>
      </c>
      <c r="F728" s="73">
        <v>0</v>
      </c>
      <c r="G728" s="73">
        <v>0</v>
      </c>
      <c r="H728" s="73">
        <f t="shared" si="191"/>
        <v>0</v>
      </c>
      <c r="I728" s="73">
        <f t="shared" si="186"/>
        <v>0</v>
      </c>
      <c r="J728" s="73">
        <v>0</v>
      </c>
      <c r="K728" s="73">
        <f t="shared" si="187"/>
        <v>0</v>
      </c>
      <c r="L728" s="74">
        <v>0</v>
      </c>
      <c r="M728" s="74">
        <v>0</v>
      </c>
      <c r="N728" s="75">
        <f t="shared" si="183"/>
        <v>0</v>
      </c>
      <c r="O728" s="73">
        <f t="shared" si="190"/>
        <v>0</v>
      </c>
      <c r="P728" s="73">
        <f t="shared" si="184"/>
        <v>0</v>
      </c>
      <c r="Q728" s="76">
        <f t="shared" si="188"/>
        <v>0</v>
      </c>
      <c r="R728" s="30">
        <f>COUNTIF(RAW_DATA[[#This Row],[CONVERTED]],"&gt;0")</f>
        <v>0</v>
      </c>
      <c r="S728" s="30">
        <f>COUNTIFS(RAW_DATA[[#This Row],[AM/PM]],"AM",RAW_DATA[[#This Row],[CONVERTED]],"&gt;0")</f>
        <v>0</v>
      </c>
      <c r="T728" s="19">
        <f t="shared" si="189"/>
        <v>0</v>
      </c>
      <c r="U728" s="20" t="str">
        <f t="shared" si="192"/>
        <v>SINGLE</v>
      </c>
    </row>
    <row r="729" spans="1:21" x14ac:dyDescent="0.35">
      <c r="A729" s="70">
        <f t="shared" si="180"/>
        <v>45454</v>
      </c>
      <c r="B729" s="71" t="str">
        <f t="shared" si="181"/>
        <v>PM</v>
      </c>
      <c r="C729" s="72" t="str">
        <f t="shared" si="182"/>
        <v>June</v>
      </c>
      <c r="D729" s="13" t="str">
        <f t="shared" si="185"/>
        <v>TUE</v>
      </c>
      <c r="E729" s="73">
        <v>0</v>
      </c>
      <c r="F729" s="73">
        <v>0</v>
      </c>
      <c r="G729" s="73">
        <v>0</v>
      </c>
      <c r="H729" s="73">
        <f t="shared" si="191"/>
        <v>0</v>
      </c>
      <c r="I729" s="73">
        <f t="shared" si="186"/>
        <v>0</v>
      </c>
      <c r="J729" s="73">
        <v>0</v>
      </c>
      <c r="K729" s="73">
        <f t="shared" si="187"/>
        <v>0</v>
      </c>
      <c r="L729" s="74">
        <v>0</v>
      </c>
      <c r="M729" s="74">
        <v>0</v>
      </c>
      <c r="N729" s="75">
        <f t="shared" si="183"/>
        <v>0</v>
      </c>
      <c r="O729" s="73">
        <f t="shared" si="190"/>
        <v>0</v>
      </c>
      <c r="P729" s="73">
        <f t="shared" si="184"/>
        <v>0</v>
      </c>
      <c r="Q729" s="76">
        <f t="shared" si="188"/>
        <v>0</v>
      </c>
      <c r="R729" s="30">
        <f>COUNTIF(RAW_DATA[[#This Row],[CONVERTED]],"&gt;0")</f>
        <v>0</v>
      </c>
      <c r="S729" s="30">
        <f>COUNTIFS(RAW_DATA[[#This Row],[AM/PM]],"AM",RAW_DATA[[#This Row],[CONVERTED]],"&gt;0")</f>
        <v>0</v>
      </c>
      <c r="T729" s="19">
        <f t="shared" si="189"/>
        <v>0</v>
      </c>
      <c r="U729" s="20" t="str">
        <f t="shared" si="192"/>
        <v>SINGLE</v>
      </c>
    </row>
    <row r="730" spans="1:21" x14ac:dyDescent="0.35">
      <c r="A730" s="92">
        <f t="shared" si="180"/>
        <v>45455</v>
      </c>
      <c r="B730" s="93" t="str">
        <f t="shared" si="181"/>
        <v>AM</v>
      </c>
      <c r="C730" s="94" t="str">
        <f t="shared" si="182"/>
        <v>June</v>
      </c>
      <c r="D730" s="95" t="str">
        <f t="shared" si="185"/>
        <v>WED</v>
      </c>
      <c r="E730" s="96">
        <v>0</v>
      </c>
      <c r="F730" s="96">
        <v>0</v>
      </c>
      <c r="G730" s="96">
        <v>0</v>
      </c>
      <c r="H730" s="96">
        <f t="shared" si="191"/>
        <v>0</v>
      </c>
      <c r="I730" s="96">
        <f t="shared" si="186"/>
        <v>0</v>
      </c>
      <c r="J730" s="96">
        <v>0</v>
      </c>
      <c r="K730" s="96">
        <f t="shared" si="187"/>
        <v>0</v>
      </c>
      <c r="L730" s="97">
        <v>0</v>
      </c>
      <c r="M730" s="97">
        <v>0</v>
      </c>
      <c r="N730" s="98">
        <f t="shared" si="183"/>
        <v>0</v>
      </c>
      <c r="O730" s="96">
        <f t="shared" si="190"/>
        <v>0</v>
      </c>
      <c r="P730" s="96">
        <f t="shared" si="184"/>
        <v>0</v>
      </c>
      <c r="Q730" s="99">
        <f t="shared" si="188"/>
        <v>0</v>
      </c>
      <c r="R730" s="30">
        <f>COUNTIF(RAW_DATA[[#This Row],[CONVERTED]],"&gt;0")</f>
        <v>0</v>
      </c>
      <c r="S730" s="30">
        <f>COUNTIFS(RAW_DATA[[#This Row],[AM/PM]],"AM",RAW_DATA[[#This Row],[CONVERTED]],"&gt;0")</f>
        <v>0</v>
      </c>
      <c r="T730" s="19">
        <f t="shared" si="189"/>
        <v>0</v>
      </c>
      <c r="U730" s="20" t="str">
        <f t="shared" si="192"/>
        <v>SINGLE</v>
      </c>
    </row>
    <row r="731" spans="1:21" x14ac:dyDescent="0.35">
      <c r="A731" s="70">
        <f t="shared" si="180"/>
        <v>45455</v>
      </c>
      <c r="B731" s="71" t="str">
        <f t="shared" si="181"/>
        <v>PM</v>
      </c>
      <c r="C731" s="72" t="str">
        <f t="shared" si="182"/>
        <v>June</v>
      </c>
      <c r="D731" s="13" t="str">
        <f t="shared" si="185"/>
        <v>WED</v>
      </c>
      <c r="E731" s="73">
        <v>966.5</v>
      </c>
      <c r="F731" s="73">
        <v>141.13999999999999</v>
      </c>
      <c r="G731" s="73">
        <v>101</v>
      </c>
      <c r="H731" s="73">
        <f t="shared" si="191"/>
        <v>38.660000000000004</v>
      </c>
      <c r="I731" s="73">
        <f t="shared" si="186"/>
        <v>2.3711519999999995</v>
      </c>
      <c r="J731" s="73">
        <v>0</v>
      </c>
      <c r="K731" s="73">
        <f t="shared" si="187"/>
        <v>100.10884799999998</v>
      </c>
      <c r="L731" s="74">
        <v>6</v>
      </c>
      <c r="M731" s="74">
        <v>30</v>
      </c>
      <c r="N731" s="75">
        <f t="shared" si="183"/>
        <v>6.5</v>
      </c>
      <c r="O731" s="73">
        <f t="shared" si="190"/>
        <v>13.844999999999999</v>
      </c>
      <c r="P731" s="73">
        <f t="shared" si="184"/>
        <v>113.95384799999998</v>
      </c>
      <c r="Q731" s="76">
        <f t="shared" si="188"/>
        <v>214.95384799999997</v>
      </c>
      <c r="R731" s="30">
        <f>COUNTIF(RAW_DATA[[#This Row],[CONVERTED]],"&gt;0")</f>
        <v>1</v>
      </c>
      <c r="S731" s="30">
        <f>COUNTIFS(RAW_DATA[[#This Row],[AM/PM]],"AM",RAW_DATA[[#This Row],[CONVERTED]],"&gt;0")</f>
        <v>0</v>
      </c>
      <c r="T731" s="19">
        <f t="shared" si="189"/>
        <v>0</v>
      </c>
      <c r="U731" s="20" t="str">
        <f t="shared" si="192"/>
        <v>SINGLE</v>
      </c>
    </row>
    <row r="732" spans="1:21" x14ac:dyDescent="0.35">
      <c r="A732" s="70">
        <f t="shared" si="180"/>
        <v>45456</v>
      </c>
      <c r="B732" s="71" t="str">
        <f t="shared" si="181"/>
        <v>AM</v>
      </c>
      <c r="C732" s="72" t="str">
        <f t="shared" si="182"/>
        <v>June</v>
      </c>
      <c r="D732" s="13" t="str">
        <f t="shared" si="185"/>
        <v>THU</v>
      </c>
      <c r="E732" s="73">
        <v>0</v>
      </c>
      <c r="F732" s="73">
        <v>0</v>
      </c>
      <c r="G732" s="73">
        <v>0</v>
      </c>
      <c r="H732" s="73">
        <f t="shared" si="191"/>
        <v>0</v>
      </c>
      <c r="I732" s="73">
        <f t="shared" si="186"/>
        <v>0</v>
      </c>
      <c r="J732" s="73">
        <v>0</v>
      </c>
      <c r="K732" s="73">
        <f t="shared" si="187"/>
        <v>0</v>
      </c>
      <c r="L732" s="74">
        <v>0</v>
      </c>
      <c r="M732" s="74">
        <v>0</v>
      </c>
      <c r="N732" s="75">
        <f t="shared" si="183"/>
        <v>0</v>
      </c>
      <c r="O732" s="73">
        <f t="shared" si="190"/>
        <v>0</v>
      </c>
      <c r="P732" s="73">
        <f t="shared" si="184"/>
        <v>0</v>
      </c>
      <c r="Q732" s="76">
        <f t="shared" si="188"/>
        <v>0</v>
      </c>
      <c r="R732" s="30">
        <f>COUNTIF(RAW_DATA[[#This Row],[CONVERTED]],"&gt;0")</f>
        <v>0</v>
      </c>
      <c r="S732" s="30">
        <f>COUNTIFS(RAW_DATA[[#This Row],[AM/PM]],"AM",RAW_DATA[[#This Row],[CONVERTED]],"&gt;0")</f>
        <v>0</v>
      </c>
      <c r="T732" s="19">
        <f t="shared" si="189"/>
        <v>0</v>
      </c>
      <c r="U732" s="20" t="str">
        <f t="shared" si="192"/>
        <v>SINGLE</v>
      </c>
    </row>
    <row r="733" spans="1:21" x14ac:dyDescent="0.35">
      <c r="A733" s="70">
        <f t="shared" si="180"/>
        <v>45456</v>
      </c>
      <c r="B733" s="71" t="str">
        <f t="shared" si="181"/>
        <v>PM</v>
      </c>
      <c r="C733" s="72" t="str">
        <f t="shared" si="182"/>
        <v>June</v>
      </c>
      <c r="D733" s="13" t="str">
        <f t="shared" si="185"/>
        <v>THU</v>
      </c>
      <c r="E733" s="73">
        <v>0</v>
      </c>
      <c r="F733" s="73">
        <v>0</v>
      </c>
      <c r="G733" s="73">
        <v>0</v>
      </c>
      <c r="H733" s="73">
        <f t="shared" si="191"/>
        <v>0</v>
      </c>
      <c r="I733" s="73">
        <f t="shared" si="186"/>
        <v>0</v>
      </c>
      <c r="J733" s="73">
        <v>0</v>
      </c>
      <c r="K733" s="73">
        <f t="shared" si="187"/>
        <v>0</v>
      </c>
      <c r="L733" s="74">
        <v>0</v>
      </c>
      <c r="M733" s="74">
        <v>0</v>
      </c>
      <c r="N733" s="75">
        <f t="shared" si="183"/>
        <v>0</v>
      </c>
      <c r="O733" s="73">
        <f t="shared" si="190"/>
        <v>0</v>
      </c>
      <c r="P733" s="73">
        <f t="shared" si="184"/>
        <v>0</v>
      </c>
      <c r="Q733" s="76">
        <f t="shared" si="188"/>
        <v>0</v>
      </c>
      <c r="R733" s="30">
        <f>COUNTIF(RAW_DATA[[#This Row],[CONVERTED]],"&gt;0")</f>
        <v>0</v>
      </c>
      <c r="S733" s="30">
        <f>COUNTIFS(RAW_DATA[[#This Row],[AM/PM]],"AM",RAW_DATA[[#This Row],[CONVERTED]],"&gt;0")</f>
        <v>0</v>
      </c>
      <c r="T733" s="19">
        <f t="shared" si="189"/>
        <v>0</v>
      </c>
      <c r="U733" s="20" t="str">
        <f t="shared" si="192"/>
        <v>SINGLE</v>
      </c>
    </row>
    <row r="734" spans="1:21" x14ac:dyDescent="0.35">
      <c r="A734" s="70">
        <f t="shared" si="180"/>
        <v>45457</v>
      </c>
      <c r="B734" s="71" t="str">
        <f t="shared" si="181"/>
        <v>AM</v>
      </c>
      <c r="C734" s="72" t="str">
        <f t="shared" si="182"/>
        <v>June</v>
      </c>
      <c r="D734" s="13" t="str">
        <f t="shared" si="185"/>
        <v>FRI</v>
      </c>
      <c r="E734" s="73">
        <v>761</v>
      </c>
      <c r="F734" s="73">
        <v>149.22</v>
      </c>
      <c r="G734" s="73">
        <v>0</v>
      </c>
      <c r="H734" s="73">
        <f t="shared" si="191"/>
        <v>30.44</v>
      </c>
      <c r="I734" s="73">
        <f t="shared" si="186"/>
        <v>2.5068959999999998</v>
      </c>
      <c r="J734" s="73">
        <v>0</v>
      </c>
      <c r="K734" s="73">
        <f t="shared" si="187"/>
        <v>116.27310399999999</v>
      </c>
      <c r="L734" s="74">
        <v>4</v>
      </c>
      <c r="M734" s="74">
        <v>55</v>
      </c>
      <c r="N734" s="75">
        <f t="shared" si="183"/>
        <v>4.916666666666667</v>
      </c>
      <c r="O734" s="73">
        <f t="shared" si="190"/>
        <v>10.4725</v>
      </c>
      <c r="P734" s="73">
        <f t="shared" si="184"/>
        <v>126.74560399999999</v>
      </c>
      <c r="Q734" s="76">
        <f t="shared" si="188"/>
        <v>126.74560399999999</v>
      </c>
      <c r="R734" s="30">
        <f>COUNTIF(RAW_DATA[[#This Row],[CONVERTED]],"&gt;0")</f>
        <v>1</v>
      </c>
      <c r="S734" s="30">
        <f>COUNTIFS(RAW_DATA[[#This Row],[AM/PM]],"AM",RAW_DATA[[#This Row],[CONVERTED]],"&gt;0")</f>
        <v>1</v>
      </c>
      <c r="T734" s="19">
        <f t="shared" si="189"/>
        <v>0</v>
      </c>
      <c r="U734" s="20" t="str">
        <f t="shared" si="192"/>
        <v>SINGLE</v>
      </c>
    </row>
    <row r="735" spans="1:21" x14ac:dyDescent="0.35">
      <c r="A735" s="70">
        <f t="shared" si="180"/>
        <v>45457</v>
      </c>
      <c r="B735" s="71" t="str">
        <f t="shared" si="181"/>
        <v>PM</v>
      </c>
      <c r="C735" s="72" t="str">
        <f t="shared" si="182"/>
        <v>June</v>
      </c>
      <c r="D735" s="13" t="str">
        <f t="shared" si="185"/>
        <v>FRI</v>
      </c>
      <c r="E735" s="73">
        <v>0</v>
      </c>
      <c r="F735" s="73">
        <v>0</v>
      </c>
      <c r="G735" s="73">
        <v>0</v>
      </c>
      <c r="H735" s="73">
        <f t="shared" si="191"/>
        <v>0</v>
      </c>
      <c r="I735" s="73">
        <f t="shared" si="186"/>
        <v>0</v>
      </c>
      <c r="J735" s="73">
        <v>0</v>
      </c>
      <c r="K735" s="73">
        <f t="shared" si="187"/>
        <v>0</v>
      </c>
      <c r="L735" s="74">
        <v>0</v>
      </c>
      <c r="M735" s="74">
        <v>0</v>
      </c>
      <c r="N735" s="75">
        <f t="shared" si="183"/>
        <v>0</v>
      </c>
      <c r="O735" s="73">
        <f t="shared" si="190"/>
        <v>0</v>
      </c>
      <c r="P735" s="73">
        <f t="shared" si="184"/>
        <v>0</v>
      </c>
      <c r="Q735" s="76">
        <f t="shared" si="188"/>
        <v>0</v>
      </c>
      <c r="R735" s="30">
        <f>COUNTIF(RAW_DATA[[#This Row],[CONVERTED]],"&gt;0")</f>
        <v>0</v>
      </c>
      <c r="S735" s="30">
        <f>COUNTIFS(RAW_DATA[[#This Row],[AM/PM]],"AM",RAW_DATA[[#This Row],[CONVERTED]],"&gt;0")</f>
        <v>0</v>
      </c>
      <c r="T735" s="19">
        <f t="shared" si="189"/>
        <v>0</v>
      </c>
      <c r="U735" s="20" t="str">
        <f t="shared" si="192"/>
        <v>SINGLE</v>
      </c>
    </row>
    <row r="736" spans="1:21" x14ac:dyDescent="0.35">
      <c r="A736" s="70">
        <f t="shared" si="180"/>
        <v>45458</v>
      </c>
      <c r="B736" s="71" t="str">
        <f t="shared" si="181"/>
        <v>AM</v>
      </c>
      <c r="C736" s="72" t="str">
        <f t="shared" si="182"/>
        <v>June</v>
      </c>
      <c r="D736" s="13" t="str">
        <f t="shared" si="185"/>
        <v>SAT</v>
      </c>
      <c r="E736" s="73">
        <v>460</v>
      </c>
      <c r="F736" s="73">
        <v>92.42</v>
      </c>
      <c r="G736" s="73">
        <v>0</v>
      </c>
      <c r="H736" s="73">
        <f t="shared" si="191"/>
        <v>18.400000000000002</v>
      </c>
      <c r="I736" s="73">
        <f t="shared" si="186"/>
        <v>1.552656</v>
      </c>
      <c r="J736" s="73">
        <v>0</v>
      </c>
      <c r="K736" s="73">
        <f t="shared" si="187"/>
        <v>72.467343999999997</v>
      </c>
      <c r="L736" s="74">
        <v>4</v>
      </c>
      <c r="M736" s="74">
        <v>50</v>
      </c>
      <c r="N736" s="75">
        <f t="shared" si="183"/>
        <v>4.833333333333333</v>
      </c>
      <c r="O736" s="73">
        <f t="shared" si="190"/>
        <v>10.294999999999998</v>
      </c>
      <c r="P736" s="73">
        <f t="shared" si="184"/>
        <v>82.762343999999999</v>
      </c>
      <c r="Q736" s="76">
        <f t="shared" si="188"/>
        <v>82.762343999999999</v>
      </c>
      <c r="R736" s="30">
        <f>COUNTIF(RAW_DATA[[#This Row],[CONVERTED]],"&gt;0")</f>
        <v>1</v>
      </c>
      <c r="S736" s="30">
        <f>COUNTIFS(RAW_DATA[[#This Row],[AM/PM]],"AM",RAW_DATA[[#This Row],[CONVERTED]],"&gt;0")</f>
        <v>1</v>
      </c>
      <c r="T736" s="19">
        <f t="shared" si="189"/>
        <v>0</v>
      </c>
      <c r="U736" s="20" t="str">
        <f t="shared" si="192"/>
        <v>DOUBLE</v>
      </c>
    </row>
    <row r="737" spans="1:21" x14ac:dyDescent="0.35">
      <c r="A737" s="70">
        <f t="shared" si="180"/>
        <v>45458</v>
      </c>
      <c r="B737" s="71" t="str">
        <f t="shared" si="181"/>
        <v>PM</v>
      </c>
      <c r="C737" s="72" t="str">
        <f t="shared" si="182"/>
        <v>June</v>
      </c>
      <c r="D737" s="13" t="str">
        <f t="shared" si="185"/>
        <v>SAT</v>
      </c>
      <c r="E737" s="73">
        <v>1515</v>
      </c>
      <c r="F737" s="73">
        <v>267.08999999999997</v>
      </c>
      <c r="G737" s="73">
        <v>25</v>
      </c>
      <c r="H737" s="73">
        <f t="shared" si="191"/>
        <v>60.6</v>
      </c>
      <c r="I737" s="73">
        <f t="shared" si="186"/>
        <v>4.4871119999999989</v>
      </c>
      <c r="J737" s="73">
        <v>5.36</v>
      </c>
      <c r="K737" s="73">
        <f t="shared" si="187"/>
        <v>202.00288799999998</v>
      </c>
      <c r="L737" s="74">
        <v>4</v>
      </c>
      <c r="M737" s="74">
        <v>57</v>
      </c>
      <c r="N737" s="75">
        <f t="shared" si="183"/>
        <v>4.95</v>
      </c>
      <c r="O737" s="73">
        <f t="shared" si="190"/>
        <v>10.5435</v>
      </c>
      <c r="P737" s="73">
        <f t="shared" si="184"/>
        <v>217.90638799999999</v>
      </c>
      <c r="Q737" s="76">
        <f t="shared" si="188"/>
        <v>237.54638799999998</v>
      </c>
      <c r="R737" s="30">
        <f>COUNTIF(RAW_DATA[[#This Row],[CONVERTED]],"&gt;0")</f>
        <v>1</v>
      </c>
      <c r="S737" s="30">
        <f>COUNTIFS(RAW_DATA[[#This Row],[AM/PM]],"AM",RAW_DATA[[#This Row],[CONVERTED]],"&gt;0")</f>
        <v>0</v>
      </c>
      <c r="T737" s="19">
        <f t="shared" si="189"/>
        <v>1</v>
      </c>
      <c r="U737" s="20" t="str">
        <f t="shared" si="192"/>
        <v>DOUBLE</v>
      </c>
    </row>
    <row r="738" spans="1:21" x14ac:dyDescent="0.35">
      <c r="A738" s="70">
        <f t="shared" si="180"/>
        <v>45459</v>
      </c>
      <c r="B738" s="71" t="str">
        <f t="shared" si="181"/>
        <v>AM</v>
      </c>
      <c r="C738" s="72" t="str">
        <f t="shared" si="182"/>
        <v>June</v>
      </c>
      <c r="D738" s="13" t="str">
        <f t="shared" si="185"/>
        <v>SUN</v>
      </c>
      <c r="E738" s="73">
        <f>2590.5/2</f>
        <v>1295.25</v>
      </c>
      <c r="F738" s="73">
        <f>456.06/2</f>
        <v>228.03</v>
      </c>
      <c r="G738" s="73">
        <f>53/2</f>
        <v>26.5</v>
      </c>
      <c r="H738" s="73">
        <f t="shared" si="191"/>
        <v>51.81</v>
      </c>
      <c r="I738" s="73">
        <f t="shared" si="186"/>
        <v>3.8309039999999999</v>
      </c>
      <c r="J738" s="73">
        <f>11.12/2</f>
        <v>5.56</v>
      </c>
      <c r="K738" s="73">
        <f t="shared" si="187"/>
        <v>172.389096</v>
      </c>
      <c r="L738" s="74">
        <f>9/2</f>
        <v>4.5</v>
      </c>
      <c r="M738" s="74">
        <f>54/2</f>
        <v>27</v>
      </c>
      <c r="N738" s="75">
        <f t="shared" si="183"/>
        <v>4.95</v>
      </c>
      <c r="O738" s="73">
        <f t="shared" si="190"/>
        <v>10.5435</v>
      </c>
      <c r="P738" s="73">
        <f t="shared" si="184"/>
        <v>188.49259599999999</v>
      </c>
      <c r="Q738" s="76">
        <f t="shared" si="188"/>
        <v>209.43259599999999</v>
      </c>
      <c r="R738" s="30">
        <f>COUNTIF(RAW_DATA[[#This Row],[CONVERTED]],"&gt;0")</f>
        <v>1</v>
      </c>
      <c r="S738" s="30">
        <f>COUNTIFS(RAW_DATA[[#This Row],[AM/PM]],"AM",RAW_DATA[[#This Row],[CONVERTED]],"&gt;0")</f>
        <v>1</v>
      </c>
      <c r="T738" s="19">
        <f t="shared" si="189"/>
        <v>0</v>
      </c>
      <c r="U738" s="20" t="str">
        <f t="shared" si="192"/>
        <v>DOUBLE</v>
      </c>
    </row>
    <row r="739" spans="1:21" x14ac:dyDescent="0.35">
      <c r="A739" s="70">
        <f t="shared" si="180"/>
        <v>45459</v>
      </c>
      <c r="B739" s="71" t="str">
        <f t="shared" si="181"/>
        <v>PM</v>
      </c>
      <c r="C739" s="72" t="str">
        <f t="shared" si="182"/>
        <v>June</v>
      </c>
      <c r="D739" s="13" t="str">
        <f t="shared" si="185"/>
        <v>SUN</v>
      </c>
      <c r="E739" s="73">
        <f>2590.5/2</f>
        <v>1295.25</v>
      </c>
      <c r="F739" s="73">
        <f>456.06/2</f>
        <v>228.03</v>
      </c>
      <c r="G739" s="73">
        <f>53/2</f>
        <v>26.5</v>
      </c>
      <c r="H739" s="73">
        <f t="shared" si="191"/>
        <v>51.81</v>
      </c>
      <c r="I739" s="73">
        <f t="shared" si="186"/>
        <v>3.8309039999999999</v>
      </c>
      <c r="J739" s="73">
        <f>11.12/2</f>
        <v>5.56</v>
      </c>
      <c r="K739" s="73">
        <f t="shared" si="187"/>
        <v>172.389096</v>
      </c>
      <c r="L739" s="74">
        <f>9/2</f>
        <v>4.5</v>
      </c>
      <c r="M739" s="74">
        <f>54/2</f>
        <v>27</v>
      </c>
      <c r="N739" s="75">
        <f t="shared" si="183"/>
        <v>4.95</v>
      </c>
      <c r="O739" s="73">
        <f t="shared" si="190"/>
        <v>10.5435</v>
      </c>
      <c r="P739" s="73">
        <f t="shared" si="184"/>
        <v>188.49259599999999</v>
      </c>
      <c r="Q739" s="76">
        <f t="shared" si="188"/>
        <v>209.43259599999999</v>
      </c>
      <c r="R739" s="30">
        <f>COUNTIF(RAW_DATA[[#This Row],[CONVERTED]],"&gt;0")</f>
        <v>1</v>
      </c>
      <c r="S739" s="30">
        <f>COUNTIFS(RAW_DATA[[#This Row],[AM/PM]],"AM",RAW_DATA[[#This Row],[CONVERTED]],"&gt;0")</f>
        <v>0</v>
      </c>
      <c r="T739" s="19">
        <f t="shared" si="189"/>
        <v>1</v>
      </c>
      <c r="U739" s="20" t="str">
        <f t="shared" si="192"/>
        <v>DOUBLE</v>
      </c>
    </row>
    <row r="740" spans="1:21" x14ac:dyDescent="0.35">
      <c r="A740" s="70">
        <f t="shared" si="180"/>
        <v>45460</v>
      </c>
      <c r="B740" s="71" t="str">
        <f t="shared" si="181"/>
        <v>AM</v>
      </c>
      <c r="C740" s="72" t="str">
        <f t="shared" si="182"/>
        <v>June</v>
      </c>
      <c r="D740" s="13" t="str">
        <f t="shared" si="185"/>
        <v>MON</v>
      </c>
      <c r="E740" s="73">
        <v>0</v>
      </c>
      <c r="F740" s="73">
        <v>0</v>
      </c>
      <c r="G740" s="73">
        <v>0</v>
      </c>
      <c r="H740" s="73">
        <f t="shared" si="191"/>
        <v>0</v>
      </c>
      <c r="I740" s="73">
        <f t="shared" si="186"/>
        <v>0</v>
      </c>
      <c r="J740" s="73">
        <v>0</v>
      </c>
      <c r="K740" s="73">
        <f t="shared" si="187"/>
        <v>0</v>
      </c>
      <c r="L740" s="74">
        <v>0</v>
      </c>
      <c r="M740" s="74">
        <v>0</v>
      </c>
      <c r="N740" s="75">
        <f t="shared" si="183"/>
        <v>0</v>
      </c>
      <c r="O740" s="73">
        <f t="shared" si="190"/>
        <v>0</v>
      </c>
      <c r="P740" s="73">
        <f t="shared" si="184"/>
        <v>0</v>
      </c>
      <c r="Q740" s="76">
        <f t="shared" si="188"/>
        <v>0</v>
      </c>
      <c r="R740" s="30">
        <f>COUNTIF(RAW_DATA[[#This Row],[CONVERTED]],"&gt;0")</f>
        <v>0</v>
      </c>
      <c r="S740" s="30">
        <f>COUNTIFS(RAW_DATA[[#This Row],[AM/PM]],"AM",RAW_DATA[[#This Row],[CONVERTED]],"&gt;0")</f>
        <v>0</v>
      </c>
      <c r="T740" s="19">
        <f t="shared" si="189"/>
        <v>0</v>
      </c>
      <c r="U740" s="20" t="str">
        <f t="shared" si="192"/>
        <v>SINGLE</v>
      </c>
    </row>
    <row r="741" spans="1:21" x14ac:dyDescent="0.35">
      <c r="A741" s="70">
        <f t="shared" si="180"/>
        <v>45460</v>
      </c>
      <c r="B741" s="71" t="str">
        <f t="shared" si="181"/>
        <v>PM</v>
      </c>
      <c r="C741" s="72" t="str">
        <f t="shared" si="182"/>
        <v>June</v>
      </c>
      <c r="D741" s="13" t="str">
        <f t="shared" si="185"/>
        <v>MON</v>
      </c>
      <c r="E741" s="73">
        <v>0</v>
      </c>
      <c r="F741" s="73">
        <v>0</v>
      </c>
      <c r="G741" s="73">
        <v>0</v>
      </c>
      <c r="H741" s="73">
        <f t="shared" si="191"/>
        <v>0</v>
      </c>
      <c r="I741" s="73">
        <f t="shared" si="186"/>
        <v>0</v>
      </c>
      <c r="J741" s="73">
        <v>0</v>
      </c>
      <c r="K741" s="73">
        <f t="shared" si="187"/>
        <v>0</v>
      </c>
      <c r="L741" s="74">
        <v>0</v>
      </c>
      <c r="M741" s="74">
        <v>0</v>
      </c>
      <c r="N741" s="75">
        <f t="shared" si="183"/>
        <v>0</v>
      </c>
      <c r="O741" s="73">
        <f t="shared" si="190"/>
        <v>0</v>
      </c>
      <c r="P741" s="73">
        <f t="shared" si="184"/>
        <v>0</v>
      </c>
      <c r="Q741" s="76">
        <f t="shared" si="188"/>
        <v>0</v>
      </c>
      <c r="R741" s="30">
        <f>COUNTIF(RAW_DATA[[#This Row],[CONVERTED]],"&gt;0")</f>
        <v>0</v>
      </c>
      <c r="S741" s="30">
        <f>COUNTIFS(RAW_DATA[[#This Row],[AM/PM]],"AM",RAW_DATA[[#This Row],[CONVERTED]],"&gt;0")</f>
        <v>0</v>
      </c>
      <c r="T741" s="19">
        <f t="shared" si="189"/>
        <v>0</v>
      </c>
      <c r="U741" s="20" t="str">
        <f t="shared" si="192"/>
        <v>SINGLE</v>
      </c>
    </row>
    <row r="742" spans="1:21" x14ac:dyDescent="0.35">
      <c r="A742" s="70">
        <f t="shared" si="180"/>
        <v>45461</v>
      </c>
      <c r="B742" s="71" t="str">
        <f t="shared" si="181"/>
        <v>AM</v>
      </c>
      <c r="C742" s="72" t="str">
        <f t="shared" si="182"/>
        <v>June</v>
      </c>
      <c r="D742" s="13" t="str">
        <f t="shared" si="185"/>
        <v>TUE</v>
      </c>
      <c r="E742" s="73">
        <v>0</v>
      </c>
      <c r="F742" s="73">
        <v>0</v>
      </c>
      <c r="G742" s="73">
        <v>0</v>
      </c>
      <c r="H742" s="73">
        <f t="shared" si="191"/>
        <v>0</v>
      </c>
      <c r="I742" s="73">
        <f t="shared" si="186"/>
        <v>0</v>
      </c>
      <c r="J742" s="73">
        <v>0</v>
      </c>
      <c r="K742" s="73">
        <f t="shared" si="187"/>
        <v>0</v>
      </c>
      <c r="L742" s="74">
        <v>0</v>
      </c>
      <c r="M742" s="74">
        <v>0</v>
      </c>
      <c r="N742" s="75">
        <f t="shared" si="183"/>
        <v>0</v>
      </c>
      <c r="O742" s="73">
        <f t="shared" si="190"/>
        <v>0</v>
      </c>
      <c r="P742" s="73">
        <f t="shared" si="184"/>
        <v>0</v>
      </c>
      <c r="Q742" s="76">
        <f t="shared" si="188"/>
        <v>0</v>
      </c>
      <c r="R742" s="30">
        <f>COUNTIF(RAW_DATA[[#This Row],[CONVERTED]],"&gt;0")</f>
        <v>0</v>
      </c>
      <c r="S742" s="30">
        <f>COUNTIFS(RAW_DATA[[#This Row],[AM/PM]],"AM",RAW_DATA[[#This Row],[CONVERTED]],"&gt;0")</f>
        <v>0</v>
      </c>
      <c r="T742" s="19">
        <f t="shared" si="189"/>
        <v>0</v>
      </c>
      <c r="U742" s="20" t="str">
        <f t="shared" si="192"/>
        <v>SINGLE</v>
      </c>
    </row>
    <row r="743" spans="1:21" x14ac:dyDescent="0.35">
      <c r="A743" s="70">
        <f t="shared" si="180"/>
        <v>45461</v>
      </c>
      <c r="B743" s="71" t="str">
        <f t="shared" si="181"/>
        <v>PM</v>
      </c>
      <c r="C743" s="72" t="str">
        <f t="shared" si="182"/>
        <v>June</v>
      </c>
      <c r="D743" s="13" t="str">
        <f t="shared" si="185"/>
        <v>TUE</v>
      </c>
      <c r="E743" s="73">
        <v>0</v>
      </c>
      <c r="F743" s="73">
        <v>0</v>
      </c>
      <c r="G743" s="73">
        <v>0</v>
      </c>
      <c r="H743" s="73">
        <f t="shared" si="191"/>
        <v>0</v>
      </c>
      <c r="I743" s="73">
        <f t="shared" si="186"/>
        <v>0</v>
      </c>
      <c r="J743" s="73">
        <v>0</v>
      </c>
      <c r="K743" s="73">
        <f t="shared" si="187"/>
        <v>0</v>
      </c>
      <c r="L743" s="74">
        <v>0</v>
      </c>
      <c r="M743" s="74">
        <v>0</v>
      </c>
      <c r="N743" s="75">
        <f t="shared" si="183"/>
        <v>0</v>
      </c>
      <c r="O743" s="73">
        <f t="shared" si="190"/>
        <v>0</v>
      </c>
      <c r="P743" s="73">
        <f t="shared" si="184"/>
        <v>0</v>
      </c>
      <c r="Q743" s="76">
        <f t="shared" si="188"/>
        <v>0</v>
      </c>
      <c r="R743" s="30">
        <f>COUNTIF(RAW_DATA[[#This Row],[CONVERTED]],"&gt;0")</f>
        <v>0</v>
      </c>
      <c r="S743" s="30">
        <f>COUNTIFS(RAW_DATA[[#This Row],[AM/PM]],"AM",RAW_DATA[[#This Row],[CONVERTED]],"&gt;0")</f>
        <v>0</v>
      </c>
      <c r="T743" s="19">
        <f t="shared" si="189"/>
        <v>0</v>
      </c>
      <c r="U743" s="20" t="str">
        <f t="shared" si="192"/>
        <v>SINGLE</v>
      </c>
    </row>
    <row r="744" spans="1:21" x14ac:dyDescent="0.35">
      <c r="A744" s="77">
        <f t="shared" si="180"/>
        <v>45462</v>
      </c>
      <c r="B744" s="78" t="str">
        <f t="shared" si="181"/>
        <v>AM</v>
      </c>
      <c r="C744" s="79" t="str">
        <f t="shared" si="182"/>
        <v>June</v>
      </c>
      <c r="D744" s="57" t="str">
        <f t="shared" si="185"/>
        <v>WED</v>
      </c>
      <c r="E744" s="80">
        <v>0</v>
      </c>
      <c r="F744" s="80">
        <v>0</v>
      </c>
      <c r="G744" s="80">
        <v>0</v>
      </c>
      <c r="H744" s="80">
        <f t="shared" si="191"/>
        <v>0</v>
      </c>
      <c r="I744" s="80">
        <f t="shared" si="186"/>
        <v>0</v>
      </c>
      <c r="J744" s="80">
        <v>0</v>
      </c>
      <c r="K744" s="80">
        <f t="shared" si="187"/>
        <v>0</v>
      </c>
      <c r="L744" s="81">
        <v>0</v>
      </c>
      <c r="M744" s="81">
        <v>0</v>
      </c>
      <c r="N744" s="82">
        <f t="shared" si="183"/>
        <v>0</v>
      </c>
      <c r="O744" s="80">
        <f t="shared" si="190"/>
        <v>0</v>
      </c>
      <c r="P744" s="80">
        <f t="shared" si="184"/>
        <v>0</v>
      </c>
      <c r="Q744" s="83">
        <f t="shared" si="188"/>
        <v>0</v>
      </c>
      <c r="R744" s="62">
        <f>COUNTIF(RAW_DATA[[#This Row],[CONVERTED]],"&gt;0")</f>
        <v>0</v>
      </c>
      <c r="S744" s="62">
        <f>COUNTIFS(RAW_DATA[[#This Row],[AM/PM]],"AM",RAW_DATA[[#This Row],[CONVERTED]],"&gt;0")</f>
        <v>0</v>
      </c>
      <c r="T744" s="63">
        <f t="shared" si="189"/>
        <v>0</v>
      </c>
      <c r="U744" s="64" t="str">
        <f t="shared" si="192"/>
        <v>SINGLE</v>
      </c>
    </row>
    <row r="745" spans="1:21" x14ac:dyDescent="0.35">
      <c r="A745" s="70">
        <f t="shared" si="180"/>
        <v>45462</v>
      </c>
      <c r="B745" s="71" t="str">
        <f t="shared" si="181"/>
        <v>PM</v>
      </c>
      <c r="C745" s="72" t="str">
        <f t="shared" si="182"/>
        <v>June</v>
      </c>
      <c r="D745" s="13" t="str">
        <f t="shared" si="185"/>
        <v>WED</v>
      </c>
      <c r="E745" s="73">
        <v>753</v>
      </c>
      <c r="F745" s="73">
        <v>144.78</v>
      </c>
      <c r="G745" s="73">
        <v>0</v>
      </c>
      <c r="H745" s="73">
        <f t="shared" si="191"/>
        <v>30.12</v>
      </c>
      <c r="I745" s="73">
        <f t="shared" si="186"/>
        <v>2.4323039999999998</v>
      </c>
      <c r="J745" s="73">
        <v>0</v>
      </c>
      <c r="K745" s="73">
        <f t="shared" si="187"/>
        <v>112.22769600000001</v>
      </c>
      <c r="L745" s="74">
        <v>5</v>
      </c>
      <c r="M745" s="74">
        <v>24</v>
      </c>
      <c r="N745" s="75">
        <f t="shared" si="183"/>
        <v>5.4</v>
      </c>
      <c r="O745" s="73">
        <f t="shared" si="190"/>
        <v>11.502000000000001</v>
      </c>
      <c r="P745" s="73">
        <f t="shared" si="184"/>
        <v>123.729696</v>
      </c>
      <c r="Q745" s="76">
        <f t="shared" si="188"/>
        <v>123.729696</v>
      </c>
      <c r="R745" s="30">
        <f>COUNTIF(RAW_DATA[[#This Row],[CONVERTED]],"&gt;0")</f>
        <v>1</v>
      </c>
      <c r="S745" s="30">
        <f>COUNTIFS(RAW_DATA[[#This Row],[AM/PM]],"AM",RAW_DATA[[#This Row],[CONVERTED]],"&gt;0")</f>
        <v>0</v>
      </c>
      <c r="T745" s="19">
        <f t="shared" si="189"/>
        <v>0</v>
      </c>
      <c r="U745" s="20" t="str">
        <f t="shared" si="192"/>
        <v>SINGLE</v>
      </c>
    </row>
    <row r="746" spans="1:21" x14ac:dyDescent="0.35">
      <c r="A746" s="70">
        <f t="shared" si="180"/>
        <v>45463</v>
      </c>
      <c r="B746" s="71" t="str">
        <f t="shared" si="181"/>
        <v>AM</v>
      </c>
      <c r="C746" s="72" t="str">
        <f t="shared" si="182"/>
        <v>June</v>
      </c>
      <c r="D746" s="13" t="str">
        <f t="shared" si="185"/>
        <v>THU</v>
      </c>
      <c r="E746" s="73">
        <v>0</v>
      </c>
      <c r="F746" s="73">
        <v>0</v>
      </c>
      <c r="G746" s="73">
        <v>0</v>
      </c>
      <c r="H746" s="73">
        <f t="shared" si="191"/>
        <v>0</v>
      </c>
      <c r="I746" s="73">
        <f t="shared" si="186"/>
        <v>0</v>
      </c>
      <c r="J746" s="73">
        <v>0</v>
      </c>
      <c r="K746" s="73">
        <f t="shared" si="187"/>
        <v>0</v>
      </c>
      <c r="L746" s="74">
        <v>0</v>
      </c>
      <c r="M746" s="74">
        <v>0</v>
      </c>
      <c r="N746" s="75">
        <f t="shared" si="183"/>
        <v>0</v>
      </c>
      <c r="O746" s="73">
        <f t="shared" si="190"/>
        <v>0</v>
      </c>
      <c r="P746" s="73">
        <f t="shared" si="184"/>
        <v>0</v>
      </c>
      <c r="Q746" s="76">
        <f t="shared" si="188"/>
        <v>0</v>
      </c>
      <c r="R746" s="30">
        <f>COUNTIF(RAW_DATA[[#This Row],[CONVERTED]],"&gt;0")</f>
        <v>0</v>
      </c>
      <c r="S746" s="30">
        <f>COUNTIFS(RAW_DATA[[#This Row],[AM/PM]],"AM",RAW_DATA[[#This Row],[CONVERTED]],"&gt;0")</f>
        <v>0</v>
      </c>
      <c r="T746" s="19">
        <f t="shared" si="189"/>
        <v>0</v>
      </c>
      <c r="U746" s="20" t="str">
        <f t="shared" si="192"/>
        <v>SINGLE</v>
      </c>
    </row>
    <row r="747" spans="1:21" x14ac:dyDescent="0.35">
      <c r="A747" s="70">
        <f t="shared" si="180"/>
        <v>45463</v>
      </c>
      <c r="B747" s="71" t="str">
        <f t="shared" si="181"/>
        <v>PM</v>
      </c>
      <c r="C747" s="72" t="str">
        <f t="shared" si="182"/>
        <v>June</v>
      </c>
      <c r="D747" s="13" t="str">
        <f t="shared" si="185"/>
        <v>THU</v>
      </c>
      <c r="E747" s="73">
        <v>0</v>
      </c>
      <c r="F747" s="73">
        <v>0</v>
      </c>
      <c r="G747" s="73">
        <v>0</v>
      </c>
      <c r="H747" s="73">
        <f t="shared" si="191"/>
        <v>0</v>
      </c>
      <c r="I747" s="73">
        <f t="shared" si="186"/>
        <v>0</v>
      </c>
      <c r="J747" s="73">
        <v>0</v>
      </c>
      <c r="K747" s="73">
        <f t="shared" si="187"/>
        <v>0</v>
      </c>
      <c r="L747" s="74">
        <v>0</v>
      </c>
      <c r="M747" s="74">
        <v>0</v>
      </c>
      <c r="N747" s="75">
        <f t="shared" si="183"/>
        <v>0</v>
      </c>
      <c r="O747" s="73">
        <f t="shared" si="190"/>
        <v>0</v>
      </c>
      <c r="P747" s="73">
        <f t="shared" si="184"/>
        <v>0</v>
      </c>
      <c r="Q747" s="76">
        <f t="shared" si="188"/>
        <v>0</v>
      </c>
      <c r="R747" s="30">
        <f>COUNTIF(RAW_DATA[[#This Row],[CONVERTED]],"&gt;0")</f>
        <v>0</v>
      </c>
      <c r="S747" s="30">
        <f>COUNTIFS(RAW_DATA[[#This Row],[AM/PM]],"AM",RAW_DATA[[#This Row],[CONVERTED]],"&gt;0")</f>
        <v>0</v>
      </c>
      <c r="T747" s="19">
        <f t="shared" si="189"/>
        <v>0</v>
      </c>
      <c r="U747" s="20" t="str">
        <f t="shared" si="192"/>
        <v>SINGLE</v>
      </c>
    </row>
    <row r="748" spans="1:21" x14ac:dyDescent="0.35">
      <c r="A748" s="70">
        <f t="shared" si="180"/>
        <v>45464</v>
      </c>
      <c r="B748" s="71" t="str">
        <f t="shared" si="181"/>
        <v>AM</v>
      </c>
      <c r="C748" s="72" t="str">
        <f t="shared" si="182"/>
        <v>June</v>
      </c>
      <c r="D748" s="13" t="str">
        <f t="shared" si="185"/>
        <v>FRI</v>
      </c>
      <c r="E748" s="73">
        <v>323.5</v>
      </c>
      <c r="F748" s="73">
        <v>64.099999999999994</v>
      </c>
      <c r="G748" s="73">
        <v>0</v>
      </c>
      <c r="H748" s="73">
        <f t="shared" si="191"/>
        <v>12.94</v>
      </c>
      <c r="I748" s="73">
        <f t="shared" si="186"/>
        <v>1.0768799999999998</v>
      </c>
      <c r="J748" s="73">
        <v>0</v>
      </c>
      <c r="K748" s="73">
        <f t="shared" si="187"/>
        <v>50.083119999999994</v>
      </c>
      <c r="L748" s="74">
        <v>3</v>
      </c>
      <c r="M748" s="74">
        <v>19</v>
      </c>
      <c r="N748" s="75">
        <f t="shared" si="183"/>
        <v>3.3166666666666669</v>
      </c>
      <c r="O748" s="73">
        <f t="shared" si="190"/>
        <v>7.0644999999999998</v>
      </c>
      <c r="P748" s="73">
        <f t="shared" si="184"/>
        <v>57.147619999999996</v>
      </c>
      <c r="Q748" s="76">
        <f t="shared" si="188"/>
        <v>57.147619999999996</v>
      </c>
      <c r="R748" s="30">
        <f>COUNTIF(RAW_DATA[[#This Row],[CONVERTED]],"&gt;0")</f>
        <v>1</v>
      </c>
      <c r="S748" s="30">
        <f>COUNTIFS(RAW_DATA[[#This Row],[AM/PM]],"AM",RAW_DATA[[#This Row],[CONVERTED]],"&gt;0")</f>
        <v>1</v>
      </c>
      <c r="T748" s="19">
        <f t="shared" si="189"/>
        <v>0</v>
      </c>
      <c r="U748" s="20" t="str">
        <f t="shared" si="192"/>
        <v>SINGLE</v>
      </c>
    </row>
    <row r="749" spans="1:21" x14ac:dyDescent="0.35">
      <c r="A749" s="70">
        <f t="shared" si="180"/>
        <v>45464</v>
      </c>
      <c r="B749" s="71" t="str">
        <f t="shared" si="181"/>
        <v>PM</v>
      </c>
      <c r="C749" s="72" t="str">
        <f t="shared" si="182"/>
        <v>June</v>
      </c>
      <c r="D749" s="13" t="str">
        <f t="shared" si="185"/>
        <v>FRI</v>
      </c>
      <c r="E749" s="73">
        <v>0</v>
      </c>
      <c r="F749" s="73">
        <v>0</v>
      </c>
      <c r="G749" s="73">
        <v>0</v>
      </c>
      <c r="H749" s="73">
        <f t="shared" si="191"/>
        <v>0</v>
      </c>
      <c r="I749" s="73">
        <f t="shared" si="186"/>
        <v>0</v>
      </c>
      <c r="J749" s="73">
        <v>0</v>
      </c>
      <c r="K749" s="73">
        <f t="shared" si="187"/>
        <v>0</v>
      </c>
      <c r="L749" s="74">
        <v>0</v>
      </c>
      <c r="M749" s="74">
        <v>0</v>
      </c>
      <c r="N749" s="75">
        <f t="shared" si="183"/>
        <v>0</v>
      </c>
      <c r="O749" s="73">
        <f t="shared" si="190"/>
        <v>0</v>
      </c>
      <c r="P749" s="73">
        <f t="shared" si="184"/>
        <v>0</v>
      </c>
      <c r="Q749" s="76">
        <f t="shared" si="188"/>
        <v>0</v>
      </c>
      <c r="R749" s="30">
        <f>COUNTIF(RAW_DATA[[#This Row],[CONVERTED]],"&gt;0")</f>
        <v>0</v>
      </c>
      <c r="S749" s="30">
        <f>COUNTIFS(RAW_DATA[[#This Row],[AM/PM]],"AM",RAW_DATA[[#This Row],[CONVERTED]],"&gt;0")</f>
        <v>0</v>
      </c>
      <c r="T749" s="19">
        <f t="shared" si="189"/>
        <v>0</v>
      </c>
      <c r="U749" s="20" t="str">
        <f t="shared" si="192"/>
        <v>SINGLE</v>
      </c>
    </row>
    <row r="750" spans="1:21" x14ac:dyDescent="0.35">
      <c r="A750" s="70">
        <f t="shared" si="180"/>
        <v>45465</v>
      </c>
      <c r="B750" s="71" t="str">
        <f t="shared" si="181"/>
        <v>AM</v>
      </c>
      <c r="C750" s="72" t="str">
        <f t="shared" si="182"/>
        <v>June</v>
      </c>
      <c r="D750" s="13" t="str">
        <f t="shared" si="185"/>
        <v>SAT</v>
      </c>
      <c r="E750" s="73">
        <v>1123.5</v>
      </c>
      <c r="F750" s="73">
        <v>159.52000000000001</v>
      </c>
      <c r="G750" s="73">
        <v>63</v>
      </c>
      <c r="H750" s="73">
        <f t="shared" si="191"/>
        <v>44.94</v>
      </c>
      <c r="I750" s="73">
        <f t="shared" si="186"/>
        <v>2.6799360000000001</v>
      </c>
      <c r="J750" s="73">
        <v>10.96</v>
      </c>
      <c r="K750" s="73">
        <f t="shared" si="187"/>
        <v>111.90006400000001</v>
      </c>
      <c r="L750" s="74">
        <v>4</v>
      </c>
      <c r="M750" s="74">
        <v>19</v>
      </c>
      <c r="N750" s="75">
        <f t="shared" si="183"/>
        <v>4.3166666666666664</v>
      </c>
      <c r="O750" s="73">
        <f t="shared" si="190"/>
        <v>9.1944999999999997</v>
      </c>
      <c r="P750" s="73">
        <f t="shared" si="184"/>
        <v>132.05456400000003</v>
      </c>
      <c r="Q750" s="76">
        <f t="shared" si="188"/>
        <v>184.09456400000002</v>
      </c>
      <c r="R750" s="30">
        <f>COUNTIF(RAW_DATA[[#This Row],[CONVERTED]],"&gt;0")</f>
        <v>1</v>
      </c>
      <c r="S750" s="30">
        <f>COUNTIFS(RAW_DATA[[#This Row],[AM/PM]],"AM",RAW_DATA[[#This Row],[CONVERTED]],"&gt;0")</f>
        <v>1</v>
      </c>
      <c r="T750" s="19">
        <f t="shared" si="189"/>
        <v>0</v>
      </c>
      <c r="U750" s="20" t="str">
        <f t="shared" si="192"/>
        <v>SINGLE</v>
      </c>
    </row>
    <row r="751" spans="1:21" x14ac:dyDescent="0.35">
      <c r="A751" s="70">
        <f t="shared" si="180"/>
        <v>45465</v>
      </c>
      <c r="B751" s="71" t="str">
        <f t="shared" si="181"/>
        <v>PM</v>
      </c>
      <c r="C751" s="72" t="str">
        <f t="shared" si="182"/>
        <v>June</v>
      </c>
      <c r="D751" s="13" t="str">
        <f t="shared" si="185"/>
        <v>SAT</v>
      </c>
      <c r="E751" s="73">
        <v>0</v>
      </c>
      <c r="F751" s="73">
        <v>0</v>
      </c>
      <c r="G751" s="73">
        <v>0</v>
      </c>
      <c r="H751" s="73">
        <f t="shared" si="191"/>
        <v>0</v>
      </c>
      <c r="I751" s="73">
        <f t="shared" si="186"/>
        <v>0</v>
      </c>
      <c r="J751" s="73">
        <v>0</v>
      </c>
      <c r="K751" s="73">
        <f t="shared" si="187"/>
        <v>0</v>
      </c>
      <c r="L751" s="74">
        <v>0</v>
      </c>
      <c r="M751" s="74">
        <v>0</v>
      </c>
      <c r="N751" s="75">
        <f t="shared" si="183"/>
        <v>0</v>
      </c>
      <c r="O751" s="73">
        <f t="shared" si="190"/>
        <v>0</v>
      </c>
      <c r="P751" s="73">
        <f t="shared" si="184"/>
        <v>0</v>
      </c>
      <c r="Q751" s="76">
        <f t="shared" si="188"/>
        <v>0</v>
      </c>
      <c r="R751" s="30">
        <f>COUNTIF(RAW_DATA[[#This Row],[CONVERTED]],"&gt;0")</f>
        <v>0</v>
      </c>
      <c r="S751" s="30">
        <f>COUNTIFS(RAW_DATA[[#This Row],[AM/PM]],"AM",RAW_DATA[[#This Row],[CONVERTED]],"&gt;0")</f>
        <v>0</v>
      </c>
      <c r="T751" s="19">
        <f t="shared" si="189"/>
        <v>0</v>
      </c>
      <c r="U751" s="20" t="str">
        <f t="shared" si="192"/>
        <v>SINGLE</v>
      </c>
    </row>
    <row r="752" spans="1:21" x14ac:dyDescent="0.35">
      <c r="A752" s="70">
        <f t="shared" si="180"/>
        <v>45466</v>
      </c>
      <c r="B752" s="71" t="str">
        <f t="shared" si="181"/>
        <v>AM</v>
      </c>
      <c r="C752" s="72" t="str">
        <f t="shared" si="182"/>
        <v>June</v>
      </c>
      <c r="D752" s="13" t="str">
        <f t="shared" si="185"/>
        <v>SUN</v>
      </c>
      <c r="E752" s="73">
        <v>621</v>
      </c>
      <c r="F752" s="73">
        <v>107.15</v>
      </c>
      <c r="G752" s="73">
        <v>23</v>
      </c>
      <c r="H752" s="73">
        <f t="shared" si="191"/>
        <v>24.84</v>
      </c>
      <c r="I752" s="73">
        <f t="shared" si="186"/>
        <v>1.8001199999999999</v>
      </c>
      <c r="J752" s="73">
        <v>6.8</v>
      </c>
      <c r="K752" s="73">
        <f t="shared" si="187"/>
        <v>80.50988000000001</v>
      </c>
      <c r="L752" s="74">
        <v>3</v>
      </c>
      <c r="M752" s="74">
        <v>46</v>
      </c>
      <c r="N752" s="75">
        <f t="shared" si="183"/>
        <v>3.7666666666666666</v>
      </c>
      <c r="O752" s="73">
        <f t="shared" si="190"/>
        <v>8.0229999999999997</v>
      </c>
      <c r="P752" s="73">
        <f t="shared" si="184"/>
        <v>95.332880000000003</v>
      </c>
      <c r="Q752" s="76">
        <f t="shared" si="188"/>
        <v>111.53288000000001</v>
      </c>
      <c r="R752" s="30">
        <f>COUNTIF(RAW_DATA[[#This Row],[CONVERTED]],"&gt;0")</f>
        <v>1</v>
      </c>
      <c r="S752" s="30">
        <f>COUNTIFS(RAW_DATA[[#This Row],[AM/PM]],"AM",RAW_DATA[[#This Row],[CONVERTED]],"&gt;0")</f>
        <v>1</v>
      </c>
      <c r="T752" s="19">
        <f t="shared" si="189"/>
        <v>0</v>
      </c>
      <c r="U752" s="20" t="str">
        <f t="shared" si="192"/>
        <v>DOUBLE</v>
      </c>
    </row>
    <row r="753" spans="1:21" x14ac:dyDescent="0.35">
      <c r="A753" s="70">
        <f t="shared" si="180"/>
        <v>45466</v>
      </c>
      <c r="B753" s="71" t="str">
        <f t="shared" si="181"/>
        <v>PM</v>
      </c>
      <c r="C753" s="72" t="str">
        <f t="shared" si="182"/>
        <v>June</v>
      </c>
      <c r="D753" s="13" t="str">
        <f t="shared" si="185"/>
        <v>SUN</v>
      </c>
      <c r="E753" s="73">
        <v>1017.5</v>
      </c>
      <c r="F753" s="73">
        <v>192.45</v>
      </c>
      <c r="G753" s="73">
        <v>25</v>
      </c>
      <c r="H753" s="73">
        <f t="shared" si="191"/>
        <v>40.700000000000003</v>
      </c>
      <c r="I753" s="73">
        <f t="shared" si="186"/>
        <v>3.2331599999999998</v>
      </c>
      <c r="J753" s="73">
        <v>3.6</v>
      </c>
      <c r="K753" s="73">
        <f t="shared" si="187"/>
        <v>148.51684</v>
      </c>
      <c r="L753" s="74">
        <v>4</v>
      </c>
      <c r="M753" s="74">
        <v>5</v>
      </c>
      <c r="N753" s="75">
        <f t="shared" si="183"/>
        <v>4.083333333333333</v>
      </c>
      <c r="O753" s="73">
        <f t="shared" si="190"/>
        <v>8.6974999999999998</v>
      </c>
      <c r="P753" s="73">
        <f t="shared" si="184"/>
        <v>160.81433999999999</v>
      </c>
      <c r="Q753" s="76">
        <f t="shared" si="188"/>
        <v>182.21433999999999</v>
      </c>
      <c r="R753" s="30">
        <f>COUNTIF(RAW_DATA[[#This Row],[CONVERTED]],"&gt;0")</f>
        <v>1</v>
      </c>
      <c r="S753" s="30">
        <f>COUNTIFS(RAW_DATA[[#This Row],[AM/PM]],"AM",RAW_DATA[[#This Row],[CONVERTED]],"&gt;0")</f>
        <v>0</v>
      </c>
      <c r="T753" s="19">
        <f t="shared" si="189"/>
        <v>1</v>
      </c>
      <c r="U753" s="20" t="str">
        <f t="shared" si="192"/>
        <v>DOUBLE</v>
      </c>
    </row>
    <row r="754" spans="1:21" x14ac:dyDescent="0.35">
      <c r="A754" s="70">
        <f t="shared" si="180"/>
        <v>45467</v>
      </c>
      <c r="B754" s="71" t="str">
        <f t="shared" si="181"/>
        <v>AM</v>
      </c>
      <c r="C754" s="72" t="str">
        <f t="shared" si="182"/>
        <v>June</v>
      </c>
      <c r="D754" s="13" t="str">
        <f t="shared" si="185"/>
        <v>MON</v>
      </c>
      <c r="E754" s="73">
        <v>0</v>
      </c>
      <c r="F754" s="73">
        <v>0</v>
      </c>
      <c r="G754" s="73">
        <v>0</v>
      </c>
      <c r="H754" s="73">
        <f t="shared" si="191"/>
        <v>0</v>
      </c>
      <c r="I754" s="73">
        <f t="shared" si="186"/>
        <v>0</v>
      </c>
      <c r="J754" s="73">
        <v>0</v>
      </c>
      <c r="K754" s="73">
        <f t="shared" si="187"/>
        <v>0</v>
      </c>
      <c r="L754" s="74">
        <v>0</v>
      </c>
      <c r="M754" s="74">
        <v>0</v>
      </c>
      <c r="N754" s="75">
        <f t="shared" si="183"/>
        <v>0</v>
      </c>
      <c r="O754" s="73">
        <f t="shared" si="190"/>
        <v>0</v>
      </c>
      <c r="P754" s="73">
        <f t="shared" si="184"/>
        <v>0</v>
      </c>
      <c r="Q754" s="76">
        <f t="shared" si="188"/>
        <v>0</v>
      </c>
      <c r="R754" s="30">
        <f>COUNTIF(RAW_DATA[[#This Row],[CONVERTED]],"&gt;0")</f>
        <v>0</v>
      </c>
      <c r="S754" s="30">
        <f>COUNTIFS(RAW_DATA[[#This Row],[AM/PM]],"AM",RAW_DATA[[#This Row],[CONVERTED]],"&gt;0")</f>
        <v>0</v>
      </c>
      <c r="T754" s="19">
        <f t="shared" si="189"/>
        <v>0</v>
      </c>
      <c r="U754" s="20" t="str">
        <f t="shared" si="192"/>
        <v>SINGLE</v>
      </c>
    </row>
    <row r="755" spans="1:21" x14ac:dyDescent="0.35">
      <c r="A755" s="70">
        <f t="shared" si="180"/>
        <v>45467</v>
      </c>
      <c r="B755" s="71" t="str">
        <f t="shared" si="181"/>
        <v>PM</v>
      </c>
      <c r="C755" s="72" t="str">
        <f t="shared" si="182"/>
        <v>June</v>
      </c>
      <c r="D755" s="13" t="str">
        <f t="shared" si="185"/>
        <v>MON</v>
      </c>
      <c r="E755" s="73">
        <v>508</v>
      </c>
      <c r="F755" s="73">
        <v>75.7</v>
      </c>
      <c r="G755" s="73">
        <v>30</v>
      </c>
      <c r="H755" s="73">
        <f t="shared" si="191"/>
        <v>20.32</v>
      </c>
      <c r="I755" s="73">
        <f t="shared" si="186"/>
        <v>1.27176</v>
      </c>
      <c r="J755" s="73">
        <v>0</v>
      </c>
      <c r="K755" s="73">
        <f t="shared" si="187"/>
        <v>54.108240000000002</v>
      </c>
      <c r="L755" s="74">
        <v>4</v>
      </c>
      <c r="M755" s="74">
        <v>27</v>
      </c>
      <c r="N755" s="75">
        <f t="shared" si="183"/>
        <v>4.45</v>
      </c>
      <c r="O755" s="73">
        <f t="shared" si="190"/>
        <v>9.4785000000000004</v>
      </c>
      <c r="P755" s="73">
        <f t="shared" si="184"/>
        <v>63.586740000000006</v>
      </c>
      <c r="Q755" s="76">
        <f t="shared" si="188"/>
        <v>93.586739999999992</v>
      </c>
      <c r="R755" s="30">
        <f>COUNTIF(RAW_DATA[[#This Row],[CONVERTED]],"&gt;0")</f>
        <v>1</v>
      </c>
      <c r="S755" s="30">
        <f>COUNTIFS(RAW_DATA[[#This Row],[AM/PM]],"AM",RAW_DATA[[#This Row],[CONVERTED]],"&gt;0")</f>
        <v>0</v>
      </c>
      <c r="T755" s="19">
        <f t="shared" si="189"/>
        <v>0</v>
      </c>
      <c r="U755" s="20" t="str">
        <f t="shared" si="192"/>
        <v>SINGLE</v>
      </c>
    </row>
    <row r="756" spans="1:21" x14ac:dyDescent="0.35">
      <c r="A756" s="70">
        <f t="shared" si="180"/>
        <v>45468</v>
      </c>
      <c r="B756" s="71" t="str">
        <f t="shared" si="181"/>
        <v>AM</v>
      </c>
      <c r="C756" s="72" t="str">
        <f t="shared" si="182"/>
        <v>June</v>
      </c>
      <c r="D756" s="13" t="str">
        <f t="shared" si="185"/>
        <v>TUE</v>
      </c>
      <c r="E756" s="73">
        <v>0</v>
      </c>
      <c r="F756" s="73">
        <v>0</v>
      </c>
      <c r="G756" s="73">
        <v>0</v>
      </c>
      <c r="H756" s="73">
        <f t="shared" si="191"/>
        <v>0</v>
      </c>
      <c r="I756" s="73">
        <f t="shared" si="186"/>
        <v>0</v>
      </c>
      <c r="J756" s="73">
        <v>0</v>
      </c>
      <c r="K756" s="73">
        <f t="shared" si="187"/>
        <v>0</v>
      </c>
      <c r="L756" s="74">
        <v>0</v>
      </c>
      <c r="M756" s="74">
        <v>0</v>
      </c>
      <c r="N756" s="75">
        <f t="shared" si="183"/>
        <v>0</v>
      </c>
      <c r="O756" s="73">
        <f t="shared" si="190"/>
        <v>0</v>
      </c>
      <c r="P756" s="73">
        <f t="shared" si="184"/>
        <v>0</v>
      </c>
      <c r="Q756" s="76">
        <f t="shared" si="188"/>
        <v>0</v>
      </c>
      <c r="R756" s="30">
        <f>COUNTIF(RAW_DATA[[#This Row],[CONVERTED]],"&gt;0")</f>
        <v>0</v>
      </c>
      <c r="S756" s="30">
        <f>COUNTIFS(RAW_DATA[[#This Row],[AM/PM]],"AM",RAW_DATA[[#This Row],[CONVERTED]],"&gt;0")</f>
        <v>0</v>
      </c>
      <c r="T756" s="19">
        <f t="shared" si="189"/>
        <v>0</v>
      </c>
      <c r="U756" s="20" t="str">
        <f t="shared" si="192"/>
        <v>SINGLE</v>
      </c>
    </row>
    <row r="757" spans="1:21" x14ac:dyDescent="0.35">
      <c r="A757" s="70">
        <f t="shared" si="180"/>
        <v>45468</v>
      </c>
      <c r="B757" s="71" t="str">
        <f t="shared" si="181"/>
        <v>PM</v>
      </c>
      <c r="C757" s="72" t="str">
        <f t="shared" si="182"/>
        <v>June</v>
      </c>
      <c r="D757" s="13" t="str">
        <f t="shared" si="185"/>
        <v>TUE</v>
      </c>
      <c r="E757" s="73">
        <v>0</v>
      </c>
      <c r="F757" s="73">
        <v>0</v>
      </c>
      <c r="G757" s="73">
        <v>0</v>
      </c>
      <c r="H757" s="73">
        <f t="shared" si="191"/>
        <v>0</v>
      </c>
      <c r="I757" s="73">
        <f t="shared" si="186"/>
        <v>0</v>
      </c>
      <c r="J757" s="73">
        <v>0</v>
      </c>
      <c r="K757" s="73">
        <f t="shared" si="187"/>
        <v>0</v>
      </c>
      <c r="L757" s="74">
        <v>0</v>
      </c>
      <c r="M757" s="74">
        <v>0</v>
      </c>
      <c r="N757" s="75">
        <f t="shared" si="183"/>
        <v>0</v>
      </c>
      <c r="O757" s="73">
        <f t="shared" si="190"/>
        <v>0</v>
      </c>
      <c r="P757" s="73">
        <f t="shared" si="184"/>
        <v>0</v>
      </c>
      <c r="Q757" s="76">
        <f t="shared" si="188"/>
        <v>0</v>
      </c>
      <c r="R757" s="30">
        <f>COUNTIF(RAW_DATA[[#This Row],[CONVERTED]],"&gt;0")</f>
        <v>0</v>
      </c>
      <c r="S757" s="30">
        <f>COUNTIFS(RAW_DATA[[#This Row],[AM/PM]],"AM",RAW_DATA[[#This Row],[CONVERTED]],"&gt;0")</f>
        <v>0</v>
      </c>
      <c r="T757" s="19">
        <f t="shared" si="189"/>
        <v>0</v>
      </c>
      <c r="U757" s="20" t="str">
        <f t="shared" si="192"/>
        <v>SINGLE</v>
      </c>
    </row>
    <row r="758" spans="1:21" x14ac:dyDescent="0.35">
      <c r="A758" s="77">
        <f t="shared" si="180"/>
        <v>45469</v>
      </c>
      <c r="B758" s="78" t="str">
        <f t="shared" si="181"/>
        <v>AM</v>
      </c>
      <c r="C758" s="79" t="str">
        <f t="shared" si="182"/>
        <v>June</v>
      </c>
      <c r="D758" s="57" t="str">
        <f t="shared" si="185"/>
        <v>WED</v>
      </c>
      <c r="E758" s="80">
        <v>0</v>
      </c>
      <c r="F758" s="80">
        <v>0</v>
      </c>
      <c r="G758" s="80">
        <v>0</v>
      </c>
      <c r="H758" s="80">
        <f t="shared" si="191"/>
        <v>0</v>
      </c>
      <c r="I758" s="80">
        <f t="shared" si="186"/>
        <v>0</v>
      </c>
      <c r="J758" s="80">
        <v>0</v>
      </c>
      <c r="K758" s="80">
        <f t="shared" si="187"/>
        <v>0</v>
      </c>
      <c r="L758" s="81">
        <v>0</v>
      </c>
      <c r="M758" s="81">
        <v>0</v>
      </c>
      <c r="N758" s="82">
        <f t="shared" si="183"/>
        <v>0</v>
      </c>
      <c r="O758" s="80">
        <f t="shared" si="190"/>
        <v>0</v>
      </c>
      <c r="P758" s="80">
        <f t="shared" si="184"/>
        <v>0</v>
      </c>
      <c r="Q758" s="83">
        <f t="shared" si="188"/>
        <v>0</v>
      </c>
      <c r="R758" s="30">
        <f>COUNTIF(RAW_DATA[[#This Row],[CONVERTED]],"&gt;0")</f>
        <v>0</v>
      </c>
      <c r="S758" s="30">
        <f>COUNTIFS(RAW_DATA[[#This Row],[AM/PM]],"AM",RAW_DATA[[#This Row],[CONVERTED]],"&gt;0")</f>
        <v>0</v>
      </c>
      <c r="T758" s="19">
        <f t="shared" si="189"/>
        <v>0</v>
      </c>
      <c r="U758" s="20" t="str">
        <f t="shared" si="192"/>
        <v>SINGLE</v>
      </c>
    </row>
    <row r="759" spans="1:21" x14ac:dyDescent="0.35">
      <c r="A759" s="70">
        <f t="shared" si="180"/>
        <v>45469</v>
      </c>
      <c r="B759" s="71" t="str">
        <f t="shared" si="181"/>
        <v>PM</v>
      </c>
      <c r="C759" s="72" t="str">
        <f t="shared" si="182"/>
        <v>June</v>
      </c>
      <c r="D759" s="13" t="str">
        <f t="shared" si="185"/>
        <v>WED</v>
      </c>
      <c r="E759" s="73">
        <v>997</v>
      </c>
      <c r="F759" s="73">
        <v>156.77000000000001</v>
      </c>
      <c r="G759" s="73">
        <v>13</v>
      </c>
      <c r="H759" s="73">
        <f t="shared" si="191"/>
        <v>39.880000000000003</v>
      </c>
      <c r="I759" s="73">
        <f t="shared" si="186"/>
        <v>2.6337359999999999</v>
      </c>
      <c r="J759" s="73">
        <v>0</v>
      </c>
      <c r="K759" s="73">
        <f t="shared" si="187"/>
        <v>114.25626400000002</v>
      </c>
      <c r="L759" s="74">
        <v>5</v>
      </c>
      <c r="M759" s="74">
        <v>47</v>
      </c>
      <c r="N759" s="75">
        <f t="shared" si="183"/>
        <v>5.7833333333333332</v>
      </c>
      <c r="O759" s="73">
        <f t="shared" si="190"/>
        <v>12.318499999999998</v>
      </c>
      <c r="P759" s="73">
        <f t="shared" si="184"/>
        <v>126.57476400000002</v>
      </c>
      <c r="Q759" s="76">
        <f t="shared" si="188"/>
        <v>139.57476400000002</v>
      </c>
      <c r="R759" s="30">
        <f>COUNTIF(RAW_DATA[[#This Row],[CONVERTED]],"&gt;0")</f>
        <v>1</v>
      </c>
      <c r="S759" s="30">
        <f>COUNTIFS(RAW_DATA[[#This Row],[AM/PM]],"AM",RAW_DATA[[#This Row],[CONVERTED]],"&gt;0")</f>
        <v>0</v>
      </c>
      <c r="T759" s="19">
        <f t="shared" si="189"/>
        <v>0</v>
      </c>
      <c r="U759" s="20" t="str">
        <f t="shared" si="192"/>
        <v>SINGLE</v>
      </c>
    </row>
    <row r="760" spans="1:21" x14ac:dyDescent="0.35">
      <c r="A760" s="70">
        <f t="shared" si="180"/>
        <v>45470</v>
      </c>
      <c r="B760" s="71" t="str">
        <f t="shared" si="181"/>
        <v>AM</v>
      </c>
      <c r="C760" s="72" t="str">
        <f t="shared" si="182"/>
        <v>June</v>
      </c>
      <c r="D760" s="13" t="str">
        <f t="shared" si="185"/>
        <v>THU</v>
      </c>
      <c r="E760" s="73">
        <v>0</v>
      </c>
      <c r="F760" s="73">
        <v>0</v>
      </c>
      <c r="G760" s="73">
        <v>0</v>
      </c>
      <c r="H760" s="73">
        <f t="shared" si="191"/>
        <v>0</v>
      </c>
      <c r="I760" s="73">
        <f t="shared" si="186"/>
        <v>0</v>
      </c>
      <c r="J760" s="73">
        <v>0</v>
      </c>
      <c r="K760" s="73">
        <f t="shared" si="187"/>
        <v>0</v>
      </c>
      <c r="L760" s="74">
        <v>0</v>
      </c>
      <c r="M760" s="74">
        <v>0</v>
      </c>
      <c r="N760" s="75">
        <f t="shared" si="183"/>
        <v>0</v>
      </c>
      <c r="O760" s="73">
        <f t="shared" si="190"/>
        <v>0</v>
      </c>
      <c r="P760" s="73">
        <f t="shared" si="184"/>
        <v>0</v>
      </c>
      <c r="Q760" s="76">
        <f t="shared" si="188"/>
        <v>0</v>
      </c>
      <c r="R760" s="30">
        <f>COUNTIF(RAW_DATA[[#This Row],[CONVERTED]],"&gt;0")</f>
        <v>0</v>
      </c>
      <c r="S760" s="30">
        <f>COUNTIFS(RAW_DATA[[#This Row],[AM/PM]],"AM",RAW_DATA[[#This Row],[CONVERTED]],"&gt;0")</f>
        <v>0</v>
      </c>
      <c r="T760" s="19">
        <f t="shared" si="189"/>
        <v>0</v>
      </c>
      <c r="U760" s="20" t="str">
        <f t="shared" si="192"/>
        <v>SINGLE</v>
      </c>
    </row>
    <row r="761" spans="1:21" x14ac:dyDescent="0.35">
      <c r="A761" s="70">
        <f t="shared" si="180"/>
        <v>45470</v>
      </c>
      <c r="B761" s="71" t="str">
        <f t="shared" si="181"/>
        <v>PM</v>
      </c>
      <c r="C761" s="72" t="str">
        <f t="shared" si="182"/>
        <v>June</v>
      </c>
      <c r="D761" s="13" t="str">
        <f t="shared" si="185"/>
        <v>THU</v>
      </c>
      <c r="E761" s="73">
        <v>0</v>
      </c>
      <c r="F761" s="73">
        <v>0</v>
      </c>
      <c r="G761" s="73">
        <v>0</v>
      </c>
      <c r="H761" s="73">
        <f t="shared" si="191"/>
        <v>0</v>
      </c>
      <c r="I761" s="73">
        <f t="shared" si="186"/>
        <v>0</v>
      </c>
      <c r="J761" s="73">
        <v>0</v>
      </c>
      <c r="K761" s="73">
        <f t="shared" si="187"/>
        <v>0</v>
      </c>
      <c r="L761" s="74">
        <v>0</v>
      </c>
      <c r="M761" s="74">
        <v>0</v>
      </c>
      <c r="N761" s="75">
        <f t="shared" si="183"/>
        <v>0</v>
      </c>
      <c r="O761" s="73">
        <f t="shared" si="190"/>
        <v>0</v>
      </c>
      <c r="P761" s="73">
        <f t="shared" si="184"/>
        <v>0</v>
      </c>
      <c r="Q761" s="76">
        <f t="shared" si="188"/>
        <v>0</v>
      </c>
      <c r="R761" s="30">
        <f>COUNTIF(RAW_DATA[[#This Row],[CONVERTED]],"&gt;0")</f>
        <v>0</v>
      </c>
      <c r="S761" s="30">
        <f>COUNTIFS(RAW_DATA[[#This Row],[AM/PM]],"AM",RAW_DATA[[#This Row],[CONVERTED]],"&gt;0")</f>
        <v>0</v>
      </c>
      <c r="T761" s="19">
        <f t="shared" si="189"/>
        <v>0</v>
      </c>
      <c r="U761" s="20" t="str">
        <f t="shared" si="192"/>
        <v>SINGLE</v>
      </c>
    </row>
    <row r="762" spans="1:21" x14ac:dyDescent="0.35">
      <c r="A762" s="70">
        <f t="shared" si="180"/>
        <v>45471</v>
      </c>
      <c r="B762" s="71" t="str">
        <f t="shared" si="181"/>
        <v>AM</v>
      </c>
      <c r="C762" s="72" t="str">
        <f t="shared" si="182"/>
        <v>June</v>
      </c>
      <c r="D762" s="13" t="str">
        <f t="shared" si="185"/>
        <v>FRI</v>
      </c>
      <c r="E762" s="73">
        <v>468</v>
      </c>
      <c r="F762" s="73">
        <v>65.239999999999995</v>
      </c>
      <c r="G762" s="73">
        <v>20</v>
      </c>
      <c r="H762" s="73">
        <f t="shared" si="191"/>
        <v>18.72</v>
      </c>
      <c r="I762" s="73">
        <f t="shared" si="186"/>
        <v>1.0960319999999999</v>
      </c>
      <c r="J762" s="73">
        <v>0</v>
      </c>
      <c r="K762" s="73">
        <f t="shared" si="187"/>
        <v>45.423967999999995</v>
      </c>
      <c r="L762" s="74">
        <v>4</v>
      </c>
      <c r="M762" s="74">
        <v>13</v>
      </c>
      <c r="N762" s="75">
        <f t="shared" si="183"/>
        <v>4.2166666666666668</v>
      </c>
      <c r="O762" s="73">
        <f t="shared" si="190"/>
        <v>8.9815000000000005</v>
      </c>
      <c r="P762" s="73">
        <f t="shared" si="184"/>
        <v>54.405467999999999</v>
      </c>
      <c r="Q762" s="76">
        <f t="shared" si="188"/>
        <v>74.405467999999999</v>
      </c>
      <c r="R762" s="30">
        <f>COUNTIF(RAW_DATA[[#This Row],[CONVERTED]],"&gt;0")</f>
        <v>1</v>
      </c>
      <c r="S762" s="30">
        <f>COUNTIFS(RAW_DATA[[#This Row],[AM/PM]],"AM",RAW_DATA[[#This Row],[CONVERTED]],"&gt;0")</f>
        <v>1</v>
      </c>
      <c r="T762" s="19">
        <f t="shared" si="189"/>
        <v>0</v>
      </c>
      <c r="U762" s="20" t="str">
        <f t="shared" si="192"/>
        <v>DOUBLE</v>
      </c>
    </row>
    <row r="763" spans="1:21" x14ac:dyDescent="0.35">
      <c r="A763" s="70">
        <f t="shared" si="180"/>
        <v>45471</v>
      </c>
      <c r="B763" s="71" t="str">
        <f t="shared" si="181"/>
        <v>PM</v>
      </c>
      <c r="C763" s="72" t="str">
        <f t="shared" si="182"/>
        <v>June</v>
      </c>
      <c r="D763" s="13" t="str">
        <f t="shared" si="185"/>
        <v>FRI</v>
      </c>
      <c r="E763" s="73">
        <v>1204.5</v>
      </c>
      <c r="F763" s="73">
        <v>241.73</v>
      </c>
      <c r="G763" s="73">
        <v>0</v>
      </c>
      <c r="H763" s="73">
        <f t="shared" si="191"/>
        <v>48.18</v>
      </c>
      <c r="I763" s="73">
        <f t="shared" si="186"/>
        <v>4.061064</v>
      </c>
      <c r="J763" s="73">
        <v>0</v>
      </c>
      <c r="K763" s="73">
        <f t="shared" si="187"/>
        <v>189.488936</v>
      </c>
      <c r="L763" s="74">
        <v>3</v>
      </c>
      <c r="M763" s="74">
        <v>50</v>
      </c>
      <c r="N763" s="75">
        <f t="shared" si="183"/>
        <v>3.8333333333333335</v>
      </c>
      <c r="O763" s="73">
        <f t="shared" si="190"/>
        <v>8.1649999999999991</v>
      </c>
      <c r="P763" s="73">
        <f t="shared" si="184"/>
        <v>197.65393599999999</v>
      </c>
      <c r="Q763" s="76">
        <f t="shared" si="188"/>
        <v>197.65393599999999</v>
      </c>
      <c r="R763" s="30">
        <f>COUNTIF(RAW_DATA[[#This Row],[CONVERTED]],"&gt;0")</f>
        <v>1</v>
      </c>
      <c r="S763" s="30">
        <f>COUNTIFS(RAW_DATA[[#This Row],[AM/PM]],"AM",RAW_DATA[[#This Row],[CONVERTED]],"&gt;0")</f>
        <v>0</v>
      </c>
      <c r="T763" s="19">
        <f t="shared" si="189"/>
        <v>1</v>
      </c>
      <c r="U763" s="20" t="str">
        <f t="shared" si="192"/>
        <v>DOUBLE</v>
      </c>
    </row>
    <row r="764" spans="1:21" x14ac:dyDescent="0.35">
      <c r="A764" s="70">
        <f t="shared" si="180"/>
        <v>45472</v>
      </c>
      <c r="B764" s="71" t="str">
        <f t="shared" si="181"/>
        <v>AM</v>
      </c>
      <c r="C764" s="72" t="str">
        <f t="shared" si="182"/>
        <v>June</v>
      </c>
      <c r="D764" s="13" t="str">
        <f t="shared" si="185"/>
        <v>SAT</v>
      </c>
      <c r="E764" s="73">
        <v>190</v>
      </c>
      <c r="F764" s="73">
        <v>15.84</v>
      </c>
      <c r="G764" s="73">
        <v>12</v>
      </c>
      <c r="H764" s="73">
        <f t="shared" si="191"/>
        <v>7.6000000000000005</v>
      </c>
      <c r="I764" s="73">
        <f t="shared" si="186"/>
        <v>0.26611199999999996</v>
      </c>
      <c r="J764" s="73">
        <v>2.72</v>
      </c>
      <c r="K764" s="73">
        <f t="shared" si="187"/>
        <v>7.9738879999999996</v>
      </c>
      <c r="L764" s="74">
        <v>3</v>
      </c>
      <c r="M764" s="74">
        <v>10</v>
      </c>
      <c r="N764" s="75">
        <f t="shared" si="183"/>
        <v>3.1666666666666665</v>
      </c>
      <c r="O764" s="73">
        <f t="shared" si="190"/>
        <v>6.7449999999999992</v>
      </c>
      <c r="P764" s="73">
        <f t="shared" si="184"/>
        <v>17.438887999999999</v>
      </c>
      <c r="Q764" s="76">
        <f t="shared" si="188"/>
        <v>26.718888</v>
      </c>
      <c r="R764" s="30">
        <f>COUNTIF(RAW_DATA[[#This Row],[CONVERTED]],"&gt;0")</f>
        <v>1</v>
      </c>
      <c r="S764" s="30">
        <f>COUNTIFS(RAW_DATA[[#This Row],[AM/PM]],"AM",RAW_DATA[[#This Row],[CONVERTED]],"&gt;0")</f>
        <v>1</v>
      </c>
      <c r="T764" s="19">
        <f t="shared" si="189"/>
        <v>0</v>
      </c>
      <c r="U764" s="20" t="str">
        <f t="shared" si="192"/>
        <v>DOUBLE</v>
      </c>
    </row>
    <row r="765" spans="1:21" x14ac:dyDescent="0.35">
      <c r="A765" s="70">
        <f t="shared" si="180"/>
        <v>45472</v>
      </c>
      <c r="B765" s="71" t="str">
        <f t="shared" si="181"/>
        <v>PM</v>
      </c>
      <c r="C765" s="72" t="str">
        <f t="shared" si="182"/>
        <v>June</v>
      </c>
      <c r="D765" s="13" t="str">
        <f t="shared" si="185"/>
        <v>SAT</v>
      </c>
      <c r="E765" s="73">
        <v>1205.5</v>
      </c>
      <c r="F765" s="73">
        <v>226.89</v>
      </c>
      <c r="G765" s="73">
        <v>10</v>
      </c>
      <c r="H765" s="73">
        <f t="shared" si="191"/>
        <v>48.22</v>
      </c>
      <c r="I765" s="73">
        <f t="shared" si="186"/>
        <v>3.8117519999999994</v>
      </c>
      <c r="J765" s="73">
        <v>0</v>
      </c>
      <c r="K765" s="73">
        <f t="shared" si="187"/>
        <v>174.858248</v>
      </c>
      <c r="L765" s="74">
        <v>4</v>
      </c>
      <c r="M765" s="74">
        <v>47</v>
      </c>
      <c r="N765" s="75">
        <f t="shared" si="183"/>
        <v>4.7833333333333332</v>
      </c>
      <c r="O765" s="73">
        <f t="shared" si="190"/>
        <v>10.188499999999999</v>
      </c>
      <c r="P765" s="73">
        <f t="shared" si="184"/>
        <v>185.04674800000001</v>
      </c>
      <c r="Q765" s="76">
        <f t="shared" si="188"/>
        <v>195.04674800000001</v>
      </c>
      <c r="R765" s="30">
        <f>COUNTIF(RAW_DATA[[#This Row],[CONVERTED]],"&gt;0")</f>
        <v>1</v>
      </c>
      <c r="S765" s="30">
        <f>COUNTIFS(RAW_DATA[[#This Row],[AM/PM]],"AM",RAW_DATA[[#This Row],[CONVERTED]],"&gt;0")</f>
        <v>0</v>
      </c>
      <c r="T765" s="19">
        <f t="shared" si="189"/>
        <v>1</v>
      </c>
      <c r="U765" s="20" t="str">
        <f t="shared" si="192"/>
        <v>DOUBLE</v>
      </c>
    </row>
    <row r="766" spans="1:21" x14ac:dyDescent="0.35">
      <c r="A766" s="70">
        <f t="shared" si="180"/>
        <v>45473</v>
      </c>
      <c r="B766" s="71" t="str">
        <f t="shared" si="181"/>
        <v>AM</v>
      </c>
      <c r="C766" s="72" t="str">
        <f t="shared" si="182"/>
        <v>June</v>
      </c>
      <c r="D766" s="13" t="str">
        <f t="shared" si="185"/>
        <v>SUN</v>
      </c>
      <c r="E766" s="73">
        <v>0</v>
      </c>
      <c r="F766" s="73">
        <v>0</v>
      </c>
      <c r="G766" s="73">
        <v>0</v>
      </c>
      <c r="H766" s="73">
        <f t="shared" si="191"/>
        <v>0</v>
      </c>
      <c r="I766" s="73">
        <f t="shared" si="186"/>
        <v>0</v>
      </c>
      <c r="J766" s="73">
        <v>0</v>
      </c>
      <c r="K766" s="73">
        <f t="shared" si="187"/>
        <v>0</v>
      </c>
      <c r="L766" s="74">
        <v>0</v>
      </c>
      <c r="M766" s="74">
        <v>0</v>
      </c>
      <c r="N766" s="75">
        <f t="shared" si="183"/>
        <v>0</v>
      </c>
      <c r="O766" s="73">
        <f t="shared" si="190"/>
        <v>0</v>
      </c>
      <c r="P766" s="73">
        <f t="shared" si="184"/>
        <v>0</v>
      </c>
      <c r="Q766" s="76">
        <f t="shared" si="188"/>
        <v>0</v>
      </c>
      <c r="R766" s="30">
        <f>COUNTIF(RAW_DATA[[#This Row],[CONVERTED]],"&gt;0")</f>
        <v>0</v>
      </c>
      <c r="S766" s="30">
        <f>COUNTIFS(RAW_DATA[[#This Row],[AM/PM]],"AM",RAW_DATA[[#This Row],[CONVERTED]],"&gt;0")</f>
        <v>0</v>
      </c>
      <c r="T766" s="19">
        <f t="shared" si="189"/>
        <v>0</v>
      </c>
      <c r="U766" s="20" t="str">
        <f t="shared" si="192"/>
        <v>SINGLE</v>
      </c>
    </row>
    <row r="767" spans="1:21" x14ac:dyDescent="0.35">
      <c r="A767" s="70">
        <f t="shared" si="180"/>
        <v>45473</v>
      </c>
      <c r="B767" s="71" t="str">
        <f t="shared" si="181"/>
        <v>PM</v>
      </c>
      <c r="C767" s="72" t="str">
        <f t="shared" si="182"/>
        <v>June</v>
      </c>
      <c r="D767" s="13" t="str">
        <f t="shared" si="185"/>
        <v>SUN</v>
      </c>
      <c r="E767" s="73">
        <v>1072.5</v>
      </c>
      <c r="F767" s="73">
        <v>152.51</v>
      </c>
      <c r="G767" s="73">
        <v>76</v>
      </c>
      <c r="H767" s="73">
        <f t="shared" si="191"/>
        <v>42.9</v>
      </c>
      <c r="I767" s="73">
        <f t="shared" si="186"/>
        <v>2.5621679999999998</v>
      </c>
      <c r="J767" s="73">
        <v>13.76</v>
      </c>
      <c r="K767" s="73">
        <f t="shared" si="187"/>
        <v>107.047832</v>
      </c>
      <c r="L767" s="74">
        <v>5</v>
      </c>
      <c r="M767" s="74">
        <v>46</v>
      </c>
      <c r="N767" s="75">
        <f t="shared" si="183"/>
        <v>5.7666666666666666</v>
      </c>
      <c r="O767" s="73">
        <f t="shared" si="190"/>
        <v>12.282999999999999</v>
      </c>
      <c r="P767" s="73">
        <f t="shared" si="184"/>
        <v>133.09083200000001</v>
      </c>
      <c r="Q767" s="76">
        <f t="shared" si="188"/>
        <v>195.33083199999999</v>
      </c>
      <c r="R767" s="30">
        <f>COUNTIF(RAW_DATA[[#This Row],[CONVERTED]],"&gt;0")</f>
        <v>1</v>
      </c>
      <c r="S767" s="30">
        <f>COUNTIFS(RAW_DATA[[#This Row],[AM/PM]],"AM",RAW_DATA[[#This Row],[CONVERTED]],"&gt;0")</f>
        <v>0</v>
      </c>
      <c r="T767" s="19">
        <f t="shared" si="189"/>
        <v>0</v>
      </c>
      <c r="U767" s="20" t="str">
        <f t="shared" si="192"/>
        <v>SINGLE</v>
      </c>
    </row>
    <row r="768" spans="1:21" x14ac:dyDescent="0.35">
      <c r="A768" s="70">
        <f t="shared" ref="A768:A831" si="193">IF(B767 = "AM",A767,A767+1)</f>
        <v>45474</v>
      </c>
      <c r="B768" s="71" t="str">
        <f t="shared" ref="B768:B831" si="194">IF(B767="AM","PM","AM")</f>
        <v>AM</v>
      </c>
      <c r="C768" s="72" t="str">
        <f t="shared" ref="C768:C831" si="195">TEXT(A768,"mmmm")</f>
        <v>July</v>
      </c>
      <c r="D768" s="13" t="str">
        <f t="shared" si="185"/>
        <v>MON</v>
      </c>
      <c r="E768" s="73">
        <v>0</v>
      </c>
      <c r="F768" s="73">
        <v>0</v>
      </c>
      <c r="G768" s="73">
        <v>0</v>
      </c>
      <c r="H768" s="73">
        <f t="shared" si="191"/>
        <v>0</v>
      </c>
      <c r="I768" s="73">
        <f t="shared" si="186"/>
        <v>0</v>
      </c>
      <c r="J768" s="73">
        <v>0</v>
      </c>
      <c r="K768" s="73">
        <f t="shared" si="187"/>
        <v>0</v>
      </c>
      <c r="L768" s="74">
        <v>0</v>
      </c>
      <c r="M768" s="74">
        <v>0</v>
      </c>
      <c r="N768" s="75">
        <f t="shared" ref="N768:N831" si="196">((L768*60)+M768)/60</f>
        <v>0</v>
      </c>
      <c r="O768" s="73">
        <f t="shared" si="190"/>
        <v>0</v>
      </c>
      <c r="P768" s="73">
        <f t="shared" ref="P768:P831" si="197">K768+J768+O768</f>
        <v>0</v>
      </c>
      <c r="Q768" s="76">
        <f t="shared" si="188"/>
        <v>0</v>
      </c>
      <c r="R768" s="30">
        <f>COUNTIF(RAW_DATA[[#This Row],[CONVERTED]],"&gt;0")</f>
        <v>0</v>
      </c>
      <c r="S768" s="30">
        <f>COUNTIFS(RAW_DATA[[#This Row],[AM/PM]],"AM",RAW_DATA[[#This Row],[CONVERTED]],"&gt;0")</f>
        <v>0</v>
      </c>
      <c r="T768" s="19"/>
      <c r="U768" s="20" t="str">
        <f t="shared" si="192"/>
        <v>SINGLE</v>
      </c>
    </row>
    <row r="769" spans="1:21" x14ac:dyDescent="0.35">
      <c r="A769" s="70">
        <f t="shared" si="193"/>
        <v>45474</v>
      </c>
      <c r="B769" s="71" t="str">
        <f t="shared" si="194"/>
        <v>PM</v>
      </c>
      <c r="C769" s="72" t="str">
        <f t="shared" si="195"/>
        <v>July</v>
      </c>
      <c r="D769" s="13" t="str">
        <f t="shared" si="185"/>
        <v>MON</v>
      </c>
      <c r="E769" s="73">
        <v>0</v>
      </c>
      <c r="F769" s="73">
        <v>0</v>
      </c>
      <c r="G769" s="73">
        <v>0</v>
      </c>
      <c r="H769" s="73">
        <f t="shared" si="191"/>
        <v>0</v>
      </c>
      <c r="I769" s="73">
        <f t="shared" si="186"/>
        <v>0</v>
      </c>
      <c r="J769" s="73">
        <v>0</v>
      </c>
      <c r="K769" s="73">
        <f t="shared" si="187"/>
        <v>0</v>
      </c>
      <c r="L769" s="74">
        <v>0</v>
      </c>
      <c r="M769" s="74">
        <v>0</v>
      </c>
      <c r="N769" s="75">
        <f t="shared" si="196"/>
        <v>0</v>
      </c>
      <c r="O769" s="73">
        <f t="shared" si="190"/>
        <v>0</v>
      </c>
      <c r="P769" s="73">
        <f t="shared" si="197"/>
        <v>0</v>
      </c>
      <c r="Q769" s="76">
        <f t="shared" si="188"/>
        <v>0</v>
      </c>
      <c r="R769" s="30">
        <f>COUNTIF(RAW_DATA[[#This Row],[CONVERTED]],"&gt;0")</f>
        <v>0</v>
      </c>
      <c r="S769" s="30">
        <f>COUNTIFS(RAW_DATA[[#This Row],[AM/PM]],"AM",RAW_DATA[[#This Row],[CONVERTED]],"&gt;0")</f>
        <v>0</v>
      </c>
      <c r="T769" s="19"/>
      <c r="U769" s="20" t="str">
        <f t="shared" si="192"/>
        <v>SINGLE</v>
      </c>
    </row>
    <row r="770" spans="1:21" x14ac:dyDescent="0.35">
      <c r="A770" s="70">
        <f t="shared" si="193"/>
        <v>45475</v>
      </c>
      <c r="B770" s="71" t="str">
        <f t="shared" si="194"/>
        <v>AM</v>
      </c>
      <c r="C770" s="72" t="str">
        <f t="shared" si="195"/>
        <v>July</v>
      </c>
      <c r="D770" s="13" t="str">
        <f t="shared" ref="D770:D833" si="198">CHOOSE(WEEKDAY(A770),"SUN","MON","TUE","WED","THU","FRI","SAT")</f>
        <v>TUE</v>
      </c>
      <c r="E770" s="73">
        <v>0</v>
      </c>
      <c r="F770" s="73">
        <v>0</v>
      </c>
      <c r="G770" s="73">
        <v>0</v>
      </c>
      <c r="H770" s="73">
        <f t="shared" si="191"/>
        <v>0</v>
      </c>
      <c r="I770" s="73">
        <f t="shared" ref="I770:I833" si="199">F770*0.0168</f>
        <v>0</v>
      </c>
      <c r="J770" s="73">
        <v>0</v>
      </c>
      <c r="K770" s="73">
        <f t="shared" ref="K770:K833" si="200">F770-(H770+I770)</f>
        <v>0</v>
      </c>
      <c r="L770" s="74">
        <v>0</v>
      </c>
      <c r="M770" s="74">
        <v>0</v>
      </c>
      <c r="N770" s="75">
        <f t="shared" si="196"/>
        <v>0</v>
      </c>
      <c r="O770" s="73">
        <f t="shared" si="190"/>
        <v>0</v>
      </c>
      <c r="P770" s="73">
        <f t="shared" si="197"/>
        <v>0</v>
      </c>
      <c r="Q770" s="76">
        <f t="shared" ref="Q770:Q833" si="201">G770+K770+O770</f>
        <v>0</v>
      </c>
      <c r="R770" s="30">
        <f>COUNTIF(RAW_DATA[[#This Row],[CONVERTED]],"&gt;0")</f>
        <v>0</v>
      </c>
      <c r="S770" s="30">
        <f>COUNTIFS(RAW_DATA[[#This Row],[AM/PM]],"AM",RAW_DATA[[#This Row],[CONVERTED]],"&gt;0")</f>
        <v>0</v>
      </c>
      <c r="T770" s="19"/>
      <c r="U770" s="20" t="str">
        <f t="shared" si="192"/>
        <v>SINGLE</v>
      </c>
    </row>
    <row r="771" spans="1:21" x14ac:dyDescent="0.35">
      <c r="A771" s="70">
        <f t="shared" si="193"/>
        <v>45475</v>
      </c>
      <c r="B771" s="71" t="str">
        <f t="shared" si="194"/>
        <v>PM</v>
      </c>
      <c r="C771" s="72" t="str">
        <f t="shared" si="195"/>
        <v>July</v>
      </c>
      <c r="D771" s="13" t="str">
        <f t="shared" si="198"/>
        <v>TUE</v>
      </c>
      <c r="E771" s="73">
        <v>0</v>
      </c>
      <c r="F771" s="73">
        <v>0</v>
      </c>
      <c r="G771" s="73">
        <v>0</v>
      </c>
      <c r="H771" s="73">
        <f t="shared" si="191"/>
        <v>0</v>
      </c>
      <c r="I771" s="73">
        <f t="shared" si="199"/>
        <v>0</v>
      </c>
      <c r="J771" s="73">
        <v>0</v>
      </c>
      <c r="K771" s="73">
        <f t="shared" si="200"/>
        <v>0</v>
      </c>
      <c r="L771" s="74">
        <v>0</v>
      </c>
      <c r="M771" s="74">
        <v>0</v>
      </c>
      <c r="N771" s="75">
        <f t="shared" si="196"/>
        <v>0</v>
      </c>
      <c r="O771" s="73">
        <f t="shared" si="190"/>
        <v>0</v>
      </c>
      <c r="P771" s="73">
        <f t="shared" si="197"/>
        <v>0</v>
      </c>
      <c r="Q771" s="76">
        <f t="shared" si="201"/>
        <v>0</v>
      </c>
      <c r="R771" s="30">
        <f>COUNTIF(RAW_DATA[[#This Row],[CONVERTED]],"&gt;0")</f>
        <v>0</v>
      </c>
      <c r="S771" s="30">
        <f>COUNTIFS(RAW_DATA[[#This Row],[AM/PM]],"AM",RAW_DATA[[#This Row],[CONVERTED]],"&gt;0")</f>
        <v>0</v>
      </c>
      <c r="T771" s="19">
        <f t="shared" ref="T771:T831" si="202">IF(AND($S770=1,$N771&gt;0),1,0)</f>
        <v>0</v>
      </c>
      <c r="U771" s="20" t="str">
        <f t="shared" si="192"/>
        <v>SINGLE</v>
      </c>
    </row>
    <row r="772" spans="1:21" x14ac:dyDescent="0.35">
      <c r="A772" s="70">
        <f t="shared" si="193"/>
        <v>45476</v>
      </c>
      <c r="B772" s="71" t="str">
        <f t="shared" si="194"/>
        <v>AM</v>
      </c>
      <c r="C772" s="72" t="str">
        <f t="shared" si="195"/>
        <v>July</v>
      </c>
      <c r="D772" s="13" t="str">
        <f t="shared" si="198"/>
        <v>WED</v>
      </c>
      <c r="E772" s="73">
        <v>0</v>
      </c>
      <c r="F772" s="73">
        <v>0</v>
      </c>
      <c r="G772" s="73">
        <v>0</v>
      </c>
      <c r="H772" s="73">
        <f t="shared" si="191"/>
        <v>0</v>
      </c>
      <c r="I772" s="73">
        <f t="shared" si="199"/>
        <v>0</v>
      </c>
      <c r="J772" s="73">
        <v>0</v>
      </c>
      <c r="K772" s="73">
        <f t="shared" si="200"/>
        <v>0</v>
      </c>
      <c r="L772" s="74">
        <v>0</v>
      </c>
      <c r="M772" s="74">
        <v>0</v>
      </c>
      <c r="N772" s="75">
        <f t="shared" si="196"/>
        <v>0</v>
      </c>
      <c r="O772" s="73">
        <f t="shared" si="190"/>
        <v>0</v>
      </c>
      <c r="P772" s="73">
        <f t="shared" si="197"/>
        <v>0</v>
      </c>
      <c r="Q772" s="76">
        <f t="shared" si="201"/>
        <v>0</v>
      </c>
      <c r="R772" s="30">
        <f>COUNTIF(RAW_DATA[[#This Row],[CONVERTED]],"&gt;0")</f>
        <v>0</v>
      </c>
      <c r="S772" s="30">
        <f>COUNTIFS(RAW_DATA[[#This Row],[AM/PM]],"AM",RAW_DATA[[#This Row],[CONVERTED]],"&gt;0")</f>
        <v>0</v>
      </c>
      <c r="T772" s="19">
        <f t="shared" si="202"/>
        <v>0</v>
      </c>
      <c r="U772" s="20" t="str">
        <f t="shared" si="192"/>
        <v>SINGLE</v>
      </c>
    </row>
    <row r="773" spans="1:21" x14ac:dyDescent="0.35">
      <c r="A773" s="70">
        <f t="shared" si="193"/>
        <v>45476</v>
      </c>
      <c r="B773" s="71" t="str">
        <f t="shared" si="194"/>
        <v>PM</v>
      </c>
      <c r="C773" s="72" t="str">
        <f t="shared" si="195"/>
        <v>July</v>
      </c>
      <c r="D773" s="13" t="str">
        <f t="shared" si="198"/>
        <v>WED</v>
      </c>
      <c r="E773" s="73">
        <v>1271</v>
      </c>
      <c r="F773" s="73">
        <v>146.27000000000001</v>
      </c>
      <c r="G773" s="73">
        <v>70</v>
      </c>
      <c r="H773" s="73">
        <f t="shared" si="191"/>
        <v>50.84</v>
      </c>
      <c r="I773" s="73">
        <f t="shared" si="199"/>
        <v>2.4573360000000002</v>
      </c>
      <c r="J773" s="73">
        <v>29.36</v>
      </c>
      <c r="K773" s="73">
        <f t="shared" si="200"/>
        <v>92.972664000000009</v>
      </c>
      <c r="L773" s="74">
        <v>6</v>
      </c>
      <c r="M773" s="74">
        <v>5</v>
      </c>
      <c r="N773" s="75">
        <f t="shared" si="196"/>
        <v>6.083333333333333</v>
      </c>
      <c r="O773" s="73">
        <f t="shared" si="190"/>
        <v>12.9575</v>
      </c>
      <c r="P773" s="73">
        <f t="shared" si="197"/>
        <v>135.290164</v>
      </c>
      <c r="Q773" s="76">
        <f t="shared" si="201"/>
        <v>175.93016400000002</v>
      </c>
      <c r="R773" s="30">
        <f>COUNTIF(RAW_DATA[[#This Row],[CONVERTED]],"&gt;0")</f>
        <v>1</v>
      </c>
      <c r="S773" s="30">
        <f>COUNTIFS(RAW_DATA[[#This Row],[AM/PM]],"AM",RAW_DATA[[#This Row],[CONVERTED]],"&gt;0")</f>
        <v>0</v>
      </c>
      <c r="T773" s="19">
        <f t="shared" si="202"/>
        <v>0</v>
      </c>
      <c r="U773" s="20" t="str">
        <f t="shared" si="192"/>
        <v>SINGLE</v>
      </c>
    </row>
    <row r="774" spans="1:21" x14ac:dyDescent="0.35">
      <c r="A774" s="70">
        <f t="shared" si="193"/>
        <v>45477</v>
      </c>
      <c r="B774" s="71" t="str">
        <f t="shared" si="194"/>
        <v>AM</v>
      </c>
      <c r="C774" s="72" t="str">
        <f t="shared" si="195"/>
        <v>July</v>
      </c>
      <c r="D774" s="13" t="str">
        <f t="shared" si="198"/>
        <v>THU</v>
      </c>
      <c r="E774" s="73">
        <v>0</v>
      </c>
      <c r="F774" s="73">
        <v>0</v>
      </c>
      <c r="G774" s="73">
        <v>0</v>
      </c>
      <c r="H774" s="73">
        <f t="shared" si="191"/>
        <v>0</v>
      </c>
      <c r="I774" s="73">
        <f t="shared" si="199"/>
        <v>0</v>
      </c>
      <c r="J774" s="73">
        <v>0</v>
      </c>
      <c r="K774" s="73">
        <f t="shared" si="200"/>
        <v>0</v>
      </c>
      <c r="L774" s="74">
        <v>0</v>
      </c>
      <c r="M774" s="74">
        <v>0</v>
      </c>
      <c r="N774" s="75">
        <f t="shared" si="196"/>
        <v>0</v>
      </c>
      <c r="O774" s="73">
        <f t="shared" si="190"/>
        <v>0</v>
      </c>
      <c r="P774" s="73">
        <f t="shared" si="197"/>
        <v>0</v>
      </c>
      <c r="Q774" s="76">
        <f t="shared" si="201"/>
        <v>0</v>
      </c>
      <c r="R774" s="30">
        <f>COUNTIF(RAW_DATA[[#This Row],[CONVERTED]],"&gt;0")</f>
        <v>0</v>
      </c>
      <c r="S774" s="30">
        <f>COUNTIFS(RAW_DATA[[#This Row],[AM/PM]],"AM",RAW_DATA[[#This Row],[CONVERTED]],"&gt;0")</f>
        <v>0</v>
      </c>
      <c r="T774" s="19">
        <f t="shared" si="202"/>
        <v>0</v>
      </c>
      <c r="U774" s="20" t="str">
        <f t="shared" si="192"/>
        <v>SINGLE</v>
      </c>
    </row>
    <row r="775" spans="1:21" x14ac:dyDescent="0.35">
      <c r="A775" s="70">
        <f t="shared" si="193"/>
        <v>45477</v>
      </c>
      <c r="B775" s="71" t="str">
        <f t="shared" si="194"/>
        <v>PM</v>
      </c>
      <c r="C775" s="72" t="str">
        <f t="shared" si="195"/>
        <v>July</v>
      </c>
      <c r="D775" s="13" t="str">
        <f t="shared" si="198"/>
        <v>THU</v>
      </c>
      <c r="E775" s="73">
        <v>987.5</v>
      </c>
      <c r="F775" s="73">
        <v>191.68</v>
      </c>
      <c r="G775" s="73">
        <v>0</v>
      </c>
      <c r="H775" s="73">
        <f t="shared" si="191"/>
        <v>39.5</v>
      </c>
      <c r="I775" s="73">
        <f t="shared" si="199"/>
        <v>3.220224</v>
      </c>
      <c r="J775" s="73">
        <v>0</v>
      </c>
      <c r="K775" s="73">
        <f t="shared" si="200"/>
        <v>148.95977600000001</v>
      </c>
      <c r="L775" s="74">
        <v>4</v>
      </c>
      <c r="M775" s="74">
        <v>37</v>
      </c>
      <c r="N775" s="75">
        <f t="shared" si="196"/>
        <v>4.6166666666666663</v>
      </c>
      <c r="O775" s="73">
        <f t="shared" si="190"/>
        <v>9.833499999999999</v>
      </c>
      <c r="P775" s="73">
        <f t="shared" si="197"/>
        <v>158.79327599999999</v>
      </c>
      <c r="Q775" s="76">
        <f t="shared" si="201"/>
        <v>158.79327599999999</v>
      </c>
      <c r="R775" s="30">
        <f>COUNTIF(RAW_DATA[[#This Row],[CONVERTED]],"&gt;0")</f>
        <v>1</v>
      </c>
      <c r="S775" s="30">
        <f>COUNTIFS(RAW_DATA[[#This Row],[AM/PM]],"AM",RAW_DATA[[#This Row],[CONVERTED]],"&gt;0")</f>
        <v>0</v>
      </c>
      <c r="T775" s="19">
        <f t="shared" si="202"/>
        <v>0</v>
      </c>
      <c r="U775" s="20" t="str">
        <f t="shared" si="192"/>
        <v>SINGLE</v>
      </c>
    </row>
    <row r="776" spans="1:21" x14ac:dyDescent="0.35">
      <c r="A776" s="70">
        <f t="shared" si="193"/>
        <v>45478</v>
      </c>
      <c r="B776" s="71" t="str">
        <f t="shared" si="194"/>
        <v>AM</v>
      </c>
      <c r="C776" s="72" t="str">
        <f t="shared" si="195"/>
        <v>July</v>
      </c>
      <c r="D776" s="13" t="str">
        <f t="shared" si="198"/>
        <v>FRI</v>
      </c>
      <c r="E776" s="73">
        <v>0</v>
      </c>
      <c r="F776" s="73">
        <v>0</v>
      </c>
      <c r="G776" s="73">
        <v>0</v>
      </c>
      <c r="H776" s="73">
        <f t="shared" si="191"/>
        <v>0</v>
      </c>
      <c r="I776" s="73">
        <f t="shared" si="199"/>
        <v>0</v>
      </c>
      <c r="J776" s="73">
        <v>0</v>
      </c>
      <c r="K776" s="73">
        <f t="shared" si="200"/>
        <v>0</v>
      </c>
      <c r="L776" s="74">
        <v>0</v>
      </c>
      <c r="M776" s="74">
        <v>0</v>
      </c>
      <c r="N776" s="75">
        <f t="shared" si="196"/>
        <v>0</v>
      </c>
      <c r="O776" s="73">
        <f t="shared" si="190"/>
        <v>0</v>
      </c>
      <c r="P776" s="73">
        <f t="shared" si="197"/>
        <v>0</v>
      </c>
      <c r="Q776" s="76">
        <f t="shared" si="201"/>
        <v>0</v>
      </c>
      <c r="R776" s="30">
        <f>COUNTIF(RAW_DATA[[#This Row],[CONVERTED]],"&gt;0")</f>
        <v>0</v>
      </c>
      <c r="S776" s="30">
        <f>COUNTIFS(RAW_DATA[[#This Row],[AM/PM]],"AM",RAW_DATA[[#This Row],[CONVERTED]],"&gt;0")</f>
        <v>0</v>
      </c>
      <c r="T776" s="19"/>
      <c r="U776" s="20" t="str">
        <f t="shared" si="192"/>
        <v>SINGLE</v>
      </c>
    </row>
    <row r="777" spans="1:21" x14ac:dyDescent="0.35">
      <c r="A777" s="70">
        <f t="shared" si="193"/>
        <v>45478</v>
      </c>
      <c r="B777" s="71" t="str">
        <f t="shared" si="194"/>
        <v>PM</v>
      </c>
      <c r="C777" s="72" t="str">
        <f t="shared" si="195"/>
        <v>July</v>
      </c>
      <c r="D777" s="13" t="str">
        <f t="shared" si="198"/>
        <v>FRI</v>
      </c>
      <c r="E777" s="73">
        <v>877</v>
      </c>
      <c r="F777" s="73">
        <v>172.84</v>
      </c>
      <c r="G777" s="73">
        <v>0</v>
      </c>
      <c r="H777" s="73">
        <f t="shared" si="191"/>
        <v>35.08</v>
      </c>
      <c r="I777" s="73">
        <f t="shared" si="199"/>
        <v>2.9037120000000001</v>
      </c>
      <c r="J777" s="73">
        <v>0</v>
      </c>
      <c r="K777" s="73">
        <f t="shared" si="200"/>
        <v>134.85628800000001</v>
      </c>
      <c r="L777" s="74">
        <v>4</v>
      </c>
      <c r="M777" s="74">
        <v>45</v>
      </c>
      <c r="N777" s="75">
        <f t="shared" si="196"/>
        <v>4.75</v>
      </c>
      <c r="O777" s="73">
        <f t="shared" si="190"/>
        <v>10.1175</v>
      </c>
      <c r="P777" s="73">
        <f t="shared" si="197"/>
        <v>144.97378800000001</v>
      </c>
      <c r="Q777" s="76">
        <f t="shared" si="201"/>
        <v>144.97378800000001</v>
      </c>
      <c r="R777" s="30">
        <f>COUNTIF(RAW_DATA[[#This Row],[CONVERTED]],"&gt;0")</f>
        <v>1</v>
      </c>
      <c r="S777" s="30">
        <f>COUNTIFS(RAW_DATA[[#This Row],[AM/PM]],"AM",RAW_DATA[[#This Row],[CONVERTED]],"&gt;0")</f>
        <v>0</v>
      </c>
      <c r="T777" s="19"/>
      <c r="U777" s="20" t="str">
        <f t="shared" si="192"/>
        <v>SINGLE</v>
      </c>
    </row>
    <row r="778" spans="1:21" x14ac:dyDescent="0.35">
      <c r="A778" s="70">
        <f t="shared" si="193"/>
        <v>45479</v>
      </c>
      <c r="B778" s="71" t="str">
        <f t="shared" si="194"/>
        <v>AM</v>
      </c>
      <c r="C778" s="72" t="str">
        <f t="shared" si="195"/>
        <v>July</v>
      </c>
      <c r="D778" s="13" t="str">
        <f t="shared" si="198"/>
        <v>SAT</v>
      </c>
      <c r="E778" s="73">
        <v>713</v>
      </c>
      <c r="F778" s="73">
        <v>144.62</v>
      </c>
      <c r="G778" s="73">
        <v>0</v>
      </c>
      <c r="H778" s="73">
        <f t="shared" si="191"/>
        <v>28.52</v>
      </c>
      <c r="I778" s="73">
        <f t="shared" si="199"/>
        <v>2.4296159999999998</v>
      </c>
      <c r="J778" s="73">
        <v>0</v>
      </c>
      <c r="K778" s="73">
        <f t="shared" si="200"/>
        <v>113.67038400000001</v>
      </c>
      <c r="L778" s="74">
        <v>5</v>
      </c>
      <c r="M778" s="74">
        <v>34</v>
      </c>
      <c r="N778" s="75">
        <f t="shared" si="196"/>
        <v>5.5666666666666664</v>
      </c>
      <c r="O778" s="73">
        <f t="shared" si="190"/>
        <v>11.856999999999999</v>
      </c>
      <c r="P778" s="73">
        <f t="shared" si="197"/>
        <v>125.52738400000001</v>
      </c>
      <c r="Q778" s="76">
        <f t="shared" si="201"/>
        <v>125.52738400000001</v>
      </c>
      <c r="R778" s="30">
        <f>COUNTIF(RAW_DATA[[#This Row],[CONVERTED]],"&gt;0")</f>
        <v>1</v>
      </c>
      <c r="S778" s="30">
        <f>COUNTIFS(RAW_DATA[[#This Row],[AM/PM]],"AM",RAW_DATA[[#This Row],[CONVERTED]],"&gt;0")</f>
        <v>1</v>
      </c>
      <c r="T778" s="19"/>
      <c r="U778" s="20" t="str">
        <f t="shared" si="192"/>
        <v>SINGLE</v>
      </c>
    </row>
    <row r="779" spans="1:21" x14ac:dyDescent="0.35">
      <c r="A779" s="70">
        <f t="shared" si="193"/>
        <v>45479</v>
      </c>
      <c r="B779" s="71" t="str">
        <f t="shared" si="194"/>
        <v>PM</v>
      </c>
      <c r="C779" s="72" t="str">
        <f t="shared" si="195"/>
        <v>July</v>
      </c>
      <c r="D779" s="13" t="str">
        <f t="shared" si="198"/>
        <v>SAT</v>
      </c>
      <c r="E779" s="73">
        <v>0</v>
      </c>
      <c r="F779" s="73">
        <v>0</v>
      </c>
      <c r="G779" s="73">
        <v>0</v>
      </c>
      <c r="H779" s="73">
        <f t="shared" si="191"/>
        <v>0</v>
      </c>
      <c r="I779" s="73">
        <f t="shared" si="199"/>
        <v>0</v>
      </c>
      <c r="J779" s="73">
        <v>0</v>
      </c>
      <c r="K779" s="73">
        <f t="shared" si="200"/>
        <v>0</v>
      </c>
      <c r="L779" s="74">
        <v>0</v>
      </c>
      <c r="M779" s="74">
        <v>0</v>
      </c>
      <c r="N779" s="75">
        <f t="shared" si="196"/>
        <v>0</v>
      </c>
      <c r="O779" s="73">
        <f t="shared" si="190"/>
        <v>0</v>
      </c>
      <c r="P779" s="73">
        <f t="shared" si="197"/>
        <v>0</v>
      </c>
      <c r="Q779" s="76">
        <f t="shared" si="201"/>
        <v>0</v>
      </c>
      <c r="R779" s="30">
        <f>COUNTIF(RAW_DATA[[#This Row],[CONVERTED]],"&gt;0")</f>
        <v>0</v>
      </c>
      <c r="S779" s="30">
        <f>COUNTIFS(RAW_DATA[[#This Row],[AM/PM]],"AM",RAW_DATA[[#This Row],[CONVERTED]],"&gt;0")</f>
        <v>0</v>
      </c>
      <c r="T779" s="19">
        <f t="shared" si="202"/>
        <v>0</v>
      </c>
      <c r="U779" s="20" t="str">
        <f t="shared" si="192"/>
        <v>SINGLE</v>
      </c>
    </row>
    <row r="780" spans="1:21" x14ac:dyDescent="0.35">
      <c r="A780" s="70">
        <f t="shared" si="193"/>
        <v>45480</v>
      </c>
      <c r="B780" s="71" t="str">
        <f t="shared" si="194"/>
        <v>AM</v>
      </c>
      <c r="C780" s="72" t="str">
        <f t="shared" si="195"/>
        <v>July</v>
      </c>
      <c r="D780" s="13" t="str">
        <f t="shared" si="198"/>
        <v>SUN</v>
      </c>
      <c r="E780" s="73">
        <v>980.5</v>
      </c>
      <c r="F780" s="73">
        <f>395.13/2</f>
        <v>197.565</v>
      </c>
      <c r="G780" s="73">
        <v>0</v>
      </c>
      <c r="H780" s="73">
        <f t="shared" si="191"/>
        <v>39.22</v>
      </c>
      <c r="I780" s="73">
        <f t="shared" si="199"/>
        <v>3.3190919999999999</v>
      </c>
      <c r="J780" s="73">
        <v>0</v>
      </c>
      <c r="K780" s="73">
        <f t="shared" si="200"/>
        <v>155.02590800000002</v>
      </c>
      <c r="L780" s="103">
        <f>7/2</f>
        <v>3.5</v>
      </c>
      <c r="M780" s="103">
        <f>17/2</f>
        <v>8.5</v>
      </c>
      <c r="N780" s="75">
        <f t="shared" si="196"/>
        <v>3.6416666666666666</v>
      </c>
      <c r="O780" s="73">
        <f t="shared" si="190"/>
        <v>7.7567499999999994</v>
      </c>
      <c r="P780" s="73">
        <f t="shared" si="197"/>
        <v>162.78265800000003</v>
      </c>
      <c r="Q780" s="76">
        <f t="shared" si="201"/>
        <v>162.78265800000003</v>
      </c>
      <c r="R780" s="30">
        <f>COUNTIF(RAW_DATA[[#This Row],[CONVERTED]],"&gt;0")</f>
        <v>1</v>
      </c>
      <c r="S780" s="30">
        <f>COUNTIFS(RAW_DATA[[#This Row],[AM/PM]],"AM",RAW_DATA[[#This Row],[CONVERTED]],"&gt;0")</f>
        <v>1</v>
      </c>
      <c r="T780" s="19">
        <f t="shared" si="202"/>
        <v>0</v>
      </c>
      <c r="U780" s="20" t="str">
        <f t="shared" si="192"/>
        <v>DOUBLE</v>
      </c>
    </row>
    <row r="781" spans="1:21" x14ac:dyDescent="0.35">
      <c r="A781" s="70">
        <f t="shared" si="193"/>
        <v>45480</v>
      </c>
      <c r="B781" s="71" t="str">
        <f t="shared" si="194"/>
        <v>PM</v>
      </c>
      <c r="C781" s="72" t="str">
        <f t="shared" si="195"/>
        <v>July</v>
      </c>
      <c r="D781" s="13" t="str">
        <f t="shared" si="198"/>
        <v>SUN</v>
      </c>
      <c r="E781" s="73">
        <v>981.5</v>
      </c>
      <c r="F781" s="73">
        <f>395.13/2</f>
        <v>197.565</v>
      </c>
      <c r="G781" s="73">
        <v>1</v>
      </c>
      <c r="H781" s="73">
        <f t="shared" si="191"/>
        <v>39.26</v>
      </c>
      <c r="I781" s="73">
        <f t="shared" si="199"/>
        <v>3.3190919999999999</v>
      </c>
      <c r="J781" s="73">
        <v>0</v>
      </c>
      <c r="K781" s="73">
        <f t="shared" si="200"/>
        <v>154.98590799999999</v>
      </c>
      <c r="L781" s="103">
        <f>7/2</f>
        <v>3.5</v>
      </c>
      <c r="M781" s="103">
        <f>17/2</f>
        <v>8.5</v>
      </c>
      <c r="N781" s="75">
        <f t="shared" si="196"/>
        <v>3.6416666666666666</v>
      </c>
      <c r="O781" s="73">
        <f t="shared" si="190"/>
        <v>7.7567499999999994</v>
      </c>
      <c r="P781" s="73">
        <f t="shared" si="197"/>
        <v>162.74265800000001</v>
      </c>
      <c r="Q781" s="76">
        <f t="shared" si="201"/>
        <v>163.74265800000001</v>
      </c>
      <c r="R781" s="30">
        <f>COUNTIF(RAW_DATA[[#This Row],[CONVERTED]],"&gt;0")</f>
        <v>1</v>
      </c>
      <c r="S781" s="30">
        <f>COUNTIFS(RAW_DATA[[#This Row],[AM/PM]],"AM",RAW_DATA[[#This Row],[CONVERTED]],"&gt;0")</f>
        <v>0</v>
      </c>
      <c r="T781" s="19">
        <f t="shared" si="202"/>
        <v>1</v>
      </c>
      <c r="U781" s="20" t="str">
        <f t="shared" si="192"/>
        <v>DOUBLE</v>
      </c>
    </row>
    <row r="782" spans="1:21" x14ac:dyDescent="0.35">
      <c r="A782" s="70">
        <f t="shared" si="193"/>
        <v>45481</v>
      </c>
      <c r="B782" s="71" t="str">
        <f t="shared" si="194"/>
        <v>AM</v>
      </c>
      <c r="C782" s="72" t="str">
        <f t="shared" si="195"/>
        <v>July</v>
      </c>
      <c r="D782" s="13" t="str">
        <f t="shared" si="198"/>
        <v>MON</v>
      </c>
      <c r="E782" s="73">
        <v>0</v>
      </c>
      <c r="F782" s="73">
        <v>0</v>
      </c>
      <c r="G782" s="73">
        <v>0</v>
      </c>
      <c r="H782" s="73">
        <f t="shared" si="191"/>
        <v>0</v>
      </c>
      <c r="I782" s="73">
        <f t="shared" si="199"/>
        <v>0</v>
      </c>
      <c r="J782" s="73">
        <v>0</v>
      </c>
      <c r="K782" s="73">
        <f t="shared" si="200"/>
        <v>0</v>
      </c>
      <c r="L782" s="74">
        <v>0</v>
      </c>
      <c r="M782" s="74">
        <v>0</v>
      </c>
      <c r="N782" s="75">
        <f t="shared" si="196"/>
        <v>0</v>
      </c>
      <c r="O782" s="73">
        <f t="shared" si="190"/>
        <v>0</v>
      </c>
      <c r="P782" s="73">
        <f t="shared" si="197"/>
        <v>0</v>
      </c>
      <c r="Q782" s="76">
        <f t="shared" si="201"/>
        <v>0</v>
      </c>
      <c r="R782" s="30">
        <f>COUNTIF(RAW_DATA[[#This Row],[CONVERTED]],"&gt;0")</f>
        <v>0</v>
      </c>
      <c r="S782" s="30">
        <f>COUNTIFS(RAW_DATA[[#This Row],[AM/PM]],"AM",RAW_DATA[[#This Row],[CONVERTED]],"&gt;0")</f>
        <v>0</v>
      </c>
      <c r="T782" s="19">
        <f t="shared" si="202"/>
        <v>0</v>
      </c>
      <c r="U782" s="20" t="str">
        <f t="shared" si="192"/>
        <v>SINGLE</v>
      </c>
    </row>
    <row r="783" spans="1:21" x14ac:dyDescent="0.35">
      <c r="A783" s="70">
        <f t="shared" si="193"/>
        <v>45481</v>
      </c>
      <c r="B783" s="71" t="str">
        <f t="shared" si="194"/>
        <v>PM</v>
      </c>
      <c r="C783" s="72" t="str">
        <f t="shared" si="195"/>
        <v>July</v>
      </c>
      <c r="D783" s="13" t="str">
        <f t="shared" si="198"/>
        <v>MON</v>
      </c>
      <c r="E783" s="73">
        <v>0</v>
      </c>
      <c r="F783" s="73">
        <v>0</v>
      </c>
      <c r="G783" s="73">
        <v>0</v>
      </c>
      <c r="H783" s="73">
        <f t="shared" si="191"/>
        <v>0</v>
      </c>
      <c r="I783" s="73">
        <f t="shared" si="199"/>
        <v>0</v>
      </c>
      <c r="J783" s="73">
        <v>0</v>
      </c>
      <c r="K783" s="73">
        <f t="shared" si="200"/>
        <v>0</v>
      </c>
      <c r="L783" s="74">
        <v>0</v>
      </c>
      <c r="M783" s="74">
        <v>0</v>
      </c>
      <c r="N783" s="75">
        <f t="shared" si="196"/>
        <v>0</v>
      </c>
      <c r="O783" s="73">
        <f t="shared" si="190"/>
        <v>0</v>
      </c>
      <c r="P783" s="73">
        <f t="shared" si="197"/>
        <v>0</v>
      </c>
      <c r="Q783" s="76">
        <f t="shared" si="201"/>
        <v>0</v>
      </c>
      <c r="R783" s="30">
        <f>COUNTIF(RAW_DATA[[#This Row],[CONVERTED]],"&gt;0")</f>
        <v>0</v>
      </c>
      <c r="S783" s="30">
        <f>COUNTIFS(RAW_DATA[[#This Row],[AM/PM]],"AM",RAW_DATA[[#This Row],[CONVERTED]],"&gt;0")</f>
        <v>0</v>
      </c>
      <c r="T783" s="19">
        <f t="shared" si="202"/>
        <v>0</v>
      </c>
      <c r="U783" s="20" t="str">
        <f t="shared" si="192"/>
        <v>SINGLE</v>
      </c>
    </row>
    <row r="784" spans="1:21" x14ac:dyDescent="0.35">
      <c r="A784" s="70">
        <f t="shared" si="193"/>
        <v>45482</v>
      </c>
      <c r="B784" s="71" t="str">
        <f t="shared" si="194"/>
        <v>AM</v>
      </c>
      <c r="C784" s="72" t="str">
        <f t="shared" si="195"/>
        <v>July</v>
      </c>
      <c r="D784" s="13" t="str">
        <f t="shared" si="198"/>
        <v>TUE</v>
      </c>
      <c r="E784" s="73">
        <v>0</v>
      </c>
      <c r="F784" s="73">
        <v>0</v>
      </c>
      <c r="G784" s="73">
        <v>0</v>
      </c>
      <c r="H784" s="73">
        <f t="shared" si="191"/>
        <v>0</v>
      </c>
      <c r="I784" s="73">
        <f t="shared" si="199"/>
        <v>0</v>
      </c>
      <c r="J784" s="73">
        <v>0</v>
      </c>
      <c r="K784" s="73">
        <f t="shared" si="200"/>
        <v>0</v>
      </c>
      <c r="L784" s="74">
        <v>0</v>
      </c>
      <c r="M784" s="74">
        <v>0</v>
      </c>
      <c r="N784" s="75">
        <f t="shared" si="196"/>
        <v>0</v>
      </c>
      <c r="O784" s="73">
        <f t="shared" si="190"/>
        <v>0</v>
      </c>
      <c r="P784" s="73">
        <f t="shared" si="197"/>
        <v>0</v>
      </c>
      <c r="Q784" s="76">
        <f t="shared" si="201"/>
        <v>0</v>
      </c>
      <c r="R784" s="30">
        <f>COUNTIF(RAW_DATA[[#This Row],[CONVERTED]],"&gt;0")</f>
        <v>0</v>
      </c>
      <c r="S784" s="30">
        <f>COUNTIFS(RAW_DATA[[#This Row],[AM/PM]],"AM",RAW_DATA[[#This Row],[CONVERTED]],"&gt;0")</f>
        <v>0</v>
      </c>
      <c r="T784" s="19"/>
      <c r="U784" s="20" t="str">
        <f t="shared" si="192"/>
        <v>SINGLE</v>
      </c>
    </row>
    <row r="785" spans="1:21" x14ac:dyDescent="0.35">
      <c r="A785" s="70">
        <f t="shared" si="193"/>
        <v>45482</v>
      </c>
      <c r="B785" s="71" t="str">
        <f t="shared" si="194"/>
        <v>PM</v>
      </c>
      <c r="C785" s="72" t="str">
        <f t="shared" si="195"/>
        <v>July</v>
      </c>
      <c r="D785" s="13" t="str">
        <f t="shared" si="198"/>
        <v>TUE</v>
      </c>
      <c r="E785" s="73">
        <v>0</v>
      </c>
      <c r="F785" s="73">
        <v>0</v>
      </c>
      <c r="G785" s="73">
        <v>0</v>
      </c>
      <c r="H785" s="73">
        <f t="shared" si="191"/>
        <v>0</v>
      </c>
      <c r="I785" s="73">
        <f t="shared" si="199"/>
        <v>0</v>
      </c>
      <c r="J785" s="73">
        <v>0</v>
      </c>
      <c r="K785" s="73">
        <f t="shared" si="200"/>
        <v>0</v>
      </c>
      <c r="L785" s="74">
        <v>0</v>
      </c>
      <c r="M785" s="74">
        <v>0</v>
      </c>
      <c r="N785" s="75">
        <f t="shared" si="196"/>
        <v>0</v>
      </c>
      <c r="O785" s="73">
        <f t="shared" ref="O785:O848" si="203">N785*2.13</f>
        <v>0</v>
      </c>
      <c r="P785" s="73">
        <f t="shared" si="197"/>
        <v>0</v>
      </c>
      <c r="Q785" s="76">
        <f t="shared" si="201"/>
        <v>0</v>
      </c>
      <c r="R785" s="30">
        <f>COUNTIF(RAW_DATA[[#This Row],[CONVERTED]],"&gt;0")</f>
        <v>0</v>
      </c>
      <c r="S785" s="30">
        <f>COUNTIFS(RAW_DATA[[#This Row],[AM/PM]],"AM",RAW_DATA[[#This Row],[CONVERTED]],"&gt;0")</f>
        <v>0</v>
      </c>
      <c r="T785" s="19"/>
      <c r="U785" s="20" t="str">
        <f t="shared" si="192"/>
        <v>SINGLE</v>
      </c>
    </row>
    <row r="786" spans="1:21" x14ac:dyDescent="0.35">
      <c r="A786" s="70">
        <f t="shared" si="193"/>
        <v>45483</v>
      </c>
      <c r="B786" s="71" t="str">
        <f t="shared" si="194"/>
        <v>AM</v>
      </c>
      <c r="C786" s="72" t="str">
        <f t="shared" si="195"/>
        <v>July</v>
      </c>
      <c r="D786" s="13" t="str">
        <f t="shared" si="198"/>
        <v>WED</v>
      </c>
      <c r="E786" s="73">
        <v>0</v>
      </c>
      <c r="F786" s="73">
        <v>0</v>
      </c>
      <c r="G786" s="73">
        <v>0</v>
      </c>
      <c r="H786" s="73">
        <f t="shared" si="191"/>
        <v>0</v>
      </c>
      <c r="I786" s="73">
        <f t="shared" si="199"/>
        <v>0</v>
      </c>
      <c r="J786" s="73">
        <v>0</v>
      </c>
      <c r="K786" s="73">
        <f t="shared" si="200"/>
        <v>0</v>
      </c>
      <c r="L786" s="74">
        <v>0</v>
      </c>
      <c r="M786" s="74">
        <v>0</v>
      </c>
      <c r="N786" s="75">
        <f t="shared" si="196"/>
        <v>0</v>
      </c>
      <c r="O786" s="73">
        <f t="shared" si="203"/>
        <v>0</v>
      </c>
      <c r="P786" s="73">
        <f t="shared" si="197"/>
        <v>0</v>
      </c>
      <c r="Q786" s="76">
        <f t="shared" si="201"/>
        <v>0</v>
      </c>
      <c r="R786" s="30">
        <f>COUNTIF(RAW_DATA[[#This Row],[CONVERTED]],"&gt;0")</f>
        <v>0</v>
      </c>
      <c r="S786" s="30">
        <f>COUNTIFS(RAW_DATA[[#This Row],[AM/PM]],"AM",RAW_DATA[[#This Row],[CONVERTED]],"&gt;0")</f>
        <v>0</v>
      </c>
      <c r="T786" s="19"/>
      <c r="U786" s="20" t="str">
        <f t="shared" si="192"/>
        <v>SINGLE</v>
      </c>
    </row>
    <row r="787" spans="1:21" x14ac:dyDescent="0.35">
      <c r="A787" s="70">
        <f t="shared" si="193"/>
        <v>45483</v>
      </c>
      <c r="B787" s="71" t="str">
        <f t="shared" si="194"/>
        <v>PM</v>
      </c>
      <c r="C787" s="72" t="str">
        <f t="shared" si="195"/>
        <v>July</v>
      </c>
      <c r="D787" s="13" t="str">
        <f t="shared" si="198"/>
        <v>WED</v>
      </c>
      <c r="E787" s="73">
        <v>0</v>
      </c>
      <c r="F787" s="73">
        <v>0</v>
      </c>
      <c r="G787" s="73">
        <v>0</v>
      </c>
      <c r="H787" s="73">
        <f t="shared" si="191"/>
        <v>0</v>
      </c>
      <c r="I787" s="73">
        <f t="shared" si="199"/>
        <v>0</v>
      </c>
      <c r="J787" s="73">
        <v>0</v>
      </c>
      <c r="K787" s="73">
        <f t="shared" si="200"/>
        <v>0</v>
      </c>
      <c r="L787" s="74">
        <v>0</v>
      </c>
      <c r="M787" s="74">
        <v>0</v>
      </c>
      <c r="N787" s="75">
        <f t="shared" si="196"/>
        <v>0</v>
      </c>
      <c r="O787" s="73">
        <f t="shared" si="203"/>
        <v>0</v>
      </c>
      <c r="P787" s="73">
        <f t="shared" si="197"/>
        <v>0</v>
      </c>
      <c r="Q787" s="76">
        <f t="shared" si="201"/>
        <v>0</v>
      </c>
      <c r="R787" s="30">
        <f>COUNTIF(RAW_DATA[[#This Row],[CONVERTED]],"&gt;0")</f>
        <v>0</v>
      </c>
      <c r="S787" s="30">
        <f>COUNTIFS(RAW_DATA[[#This Row],[AM/PM]],"AM",RAW_DATA[[#This Row],[CONVERTED]],"&gt;0")</f>
        <v>0</v>
      </c>
      <c r="T787" s="19">
        <f t="shared" si="202"/>
        <v>0</v>
      </c>
      <c r="U787" s="20" t="str">
        <f t="shared" si="192"/>
        <v>SINGLE</v>
      </c>
    </row>
    <row r="788" spans="1:21" x14ac:dyDescent="0.35">
      <c r="A788" s="70">
        <f t="shared" si="193"/>
        <v>45484</v>
      </c>
      <c r="B788" s="71" t="str">
        <f t="shared" si="194"/>
        <v>AM</v>
      </c>
      <c r="C788" s="72" t="str">
        <f t="shared" si="195"/>
        <v>July</v>
      </c>
      <c r="D788" s="13" t="str">
        <f t="shared" si="198"/>
        <v>THU</v>
      </c>
      <c r="E788" s="73">
        <v>0</v>
      </c>
      <c r="F788" s="73">
        <v>0</v>
      </c>
      <c r="G788" s="73">
        <v>0</v>
      </c>
      <c r="H788" s="73">
        <f t="shared" si="191"/>
        <v>0</v>
      </c>
      <c r="I788" s="73">
        <f t="shared" si="199"/>
        <v>0</v>
      </c>
      <c r="J788" s="73">
        <v>0</v>
      </c>
      <c r="K788" s="73">
        <f t="shared" si="200"/>
        <v>0</v>
      </c>
      <c r="L788" s="74">
        <v>0</v>
      </c>
      <c r="M788" s="74">
        <v>0</v>
      </c>
      <c r="N788" s="75">
        <f t="shared" si="196"/>
        <v>0</v>
      </c>
      <c r="O788" s="73">
        <f t="shared" si="203"/>
        <v>0</v>
      </c>
      <c r="P788" s="73">
        <f t="shared" si="197"/>
        <v>0</v>
      </c>
      <c r="Q788" s="76">
        <f t="shared" si="201"/>
        <v>0</v>
      </c>
      <c r="R788" s="30">
        <f>COUNTIF(RAW_DATA[[#This Row],[CONVERTED]],"&gt;0")</f>
        <v>0</v>
      </c>
      <c r="S788" s="30">
        <f>COUNTIFS(RAW_DATA[[#This Row],[AM/PM]],"AM",RAW_DATA[[#This Row],[CONVERTED]],"&gt;0")</f>
        <v>0</v>
      </c>
      <c r="T788" s="19">
        <f t="shared" si="202"/>
        <v>0</v>
      </c>
      <c r="U788" s="20" t="str">
        <f t="shared" si="192"/>
        <v>SINGLE</v>
      </c>
    </row>
    <row r="789" spans="1:21" x14ac:dyDescent="0.35">
      <c r="A789" s="70">
        <f t="shared" si="193"/>
        <v>45484</v>
      </c>
      <c r="B789" s="71" t="str">
        <f t="shared" si="194"/>
        <v>PM</v>
      </c>
      <c r="C789" s="72" t="str">
        <f t="shared" si="195"/>
        <v>July</v>
      </c>
      <c r="D789" s="13" t="str">
        <f t="shared" si="198"/>
        <v>THU</v>
      </c>
      <c r="E789" s="73">
        <v>1619</v>
      </c>
      <c r="F789" s="73">
        <v>286.14</v>
      </c>
      <c r="G789" s="73">
        <v>47</v>
      </c>
      <c r="H789" s="73">
        <f t="shared" ref="H789:H852" si="204">E789*0.04</f>
        <v>64.760000000000005</v>
      </c>
      <c r="I789" s="73">
        <f t="shared" si="199"/>
        <v>4.8071519999999994</v>
      </c>
      <c r="J789" s="73">
        <v>8.64</v>
      </c>
      <c r="K789" s="73">
        <f t="shared" si="200"/>
        <v>216.57284799999996</v>
      </c>
      <c r="L789" s="74">
        <v>6</v>
      </c>
      <c r="M789" s="74">
        <v>12</v>
      </c>
      <c r="N789" s="75">
        <f t="shared" si="196"/>
        <v>6.2</v>
      </c>
      <c r="O789" s="73">
        <f t="shared" si="203"/>
        <v>13.206</v>
      </c>
      <c r="P789" s="73">
        <f t="shared" si="197"/>
        <v>238.41884799999994</v>
      </c>
      <c r="Q789" s="76">
        <f t="shared" si="201"/>
        <v>276.77884799999998</v>
      </c>
      <c r="R789" s="30">
        <f>COUNTIF(RAW_DATA[[#This Row],[CONVERTED]],"&gt;0")</f>
        <v>1</v>
      </c>
      <c r="S789" s="30">
        <f>COUNTIFS(RAW_DATA[[#This Row],[AM/PM]],"AM",RAW_DATA[[#This Row],[CONVERTED]],"&gt;0")</f>
        <v>0</v>
      </c>
      <c r="T789" s="19">
        <f t="shared" si="202"/>
        <v>0</v>
      </c>
      <c r="U789" s="20" t="str">
        <f t="shared" si="192"/>
        <v>SINGLE</v>
      </c>
    </row>
    <row r="790" spans="1:21" x14ac:dyDescent="0.35">
      <c r="A790" s="70">
        <f t="shared" si="193"/>
        <v>45485</v>
      </c>
      <c r="B790" s="71" t="str">
        <f t="shared" si="194"/>
        <v>AM</v>
      </c>
      <c r="C790" s="72" t="str">
        <f t="shared" si="195"/>
        <v>July</v>
      </c>
      <c r="D790" s="13" t="str">
        <f t="shared" si="198"/>
        <v>FRI</v>
      </c>
      <c r="E790" s="73">
        <v>0</v>
      </c>
      <c r="F790" s="73">
        <v>0</v>
      </c>
      <c r="G790" s="73">
        <v>0</v>
      </c>
      <c r="H790" s="73">
        <f t="shared" si="204"/>
        <v>0</v>
      </c>
      <c r="I790" s="73">
        <f t="shared" si="199"/>
        <v>0</v>
      </c>
      <c r="J790" s="73">
        <v>0</v>
      </c>
      <c r="K790" s="73">
        <f t="shared" si="200"/>
        <v>0</v>
      </c>
      <c r="L790" s="74">
        <v>0</v>
      </c>
      <c r="M790" s="74">
        <v>0</v>
      </c>
      <c r="N790" s="75">
        <f t="shared" si="196"/>
        <v>0</v>
      </c>
      <c r="O790" s="73">
        <f t="shared" si="203"/>
        <v>0</v>
      </c>
      <c r="P790" s="73">
        <f t="shared" si="197"/>
        <v>0</v>
      </c>
      <c r="Q790" s="76">
        <f t="shared" si="201"/>
        <v>0</v>
      </c>
      <c r="R790" s="30">
        <f>COUNTIF(RAW_DATA[[#This Row],[CONVERTED]],"&gt;0")</f>
        <v>0</v>
      </c>
      <c r="S790" s="30">
        <f>COUNTIFS(RAW_DATA[[#This Row],[AM/PM]],"AM",RAW_DATA[[#This Row],[CONVERTED]],"&gt;0")</f>
        <v>0</v>
      </c>
      <c r="T790" s="19">
        <f t="shared" si="202"/>
        <v>0</v>
      </c>
      <c r="U790" s="20" t="str">
        <f t="shared" ref="U790:U853" si="205">IF(AND(S790=1,T791=1,B790="AM"),"DOUBLE",IF(AND(S789=1,N790&gt;0),"DOUBLE","SINGLE"))</f>
        <v>SINGLE</v>
      </c>
    </row>
    <row r="791" spans="1:21" x14ac:dyDescent="0.35">
      <c r="A791" s="70">
        <f t="shared" si="193"/>
        <v>45485</v>
      </c>
      <c r="B791" s="71" t="str">
        <f t="shared" si="194"/>
        <v>PM</v>
      </c>
      <c r="C791" s="72" t="str">
        <f t="shared" si="195"/>
        <v>July</v>
      </c>
      <c r="D791" s="13" t="str">
        <f t="shared" si="198"/>
        <v>FRI</v>
      </c>
      <c r="E791" s="73">
        <v>1062</v>
      </c>
      <c r="F791" s="73">
        <v>207.6</v>
      </c>
      <c r="G791" s="73">
        <v>0</v>
      </c>
      <c r="H791" s="73">
        <f t="shared" si="204"/>
        <v>42.480000000000004</v>
      </c>
      <c r="I791" s="73">
        <f t="shared" si="199"/>
        <v>3.4876799999999997</v>
      </c>
      <c r="J791" s="73">
        <v>0</v>
      </c>
      <c r="K791" s="73">
        <f t="shared" si="200"/>
        <v>161.63231999999999</v>
      </c>
      <c r="L791" s="74">
        <v>4</v>
      </c>
      <c r="M791" s="74">
        <v>38</v>
      </c>
      <c r="N791" s="75">
        <f t="shared" si="196"/>
        <v>4.6333333333333337</v>
      </c>
      <c r="O791" s="73">
        <f t="shared" si="203"/>
        <v>9.8689999999999998</v>
      </c>
      <c r="P791" s="73">
        <f t="shared" si="197"/>
        <v>171.50131999999999</v>
      </c>
      <c r="Q791" s="76">
        <f t="shared" si="201"/>
        <v>171.50131999999999</v>
      </c>
      <c r="R791" s="30">
        <f>COUNTIF(RAW_DATA[[#This Row],[CONVERTED]],"&gt;0")</f>
        <v>1</v>
      </c>
      <c r="S791" s="30">
        <f>COUNTIFS(RAW_DATA[[#This Row],[AM/PM]],"AM",RAW_DATA[[#This Row],[CONVERTED]],"&gt;0")</f>
        <v>0</v>
      </c>
      <c r="T791" s="19">
        <f t="shared" si="202"/>
        <v>0</v>
      </c>
      <c r="U791" s="20" t="str">
        <f t="shared" si="205"/>
        <v>SINGLE</v>
      </c>
    </row>
    <row r="792" spans="1:21" x14ac:dyDescent="0.35">
      <c r="A792" s="70">
        <f t="shared" si="193"/>
        <v>45486</v>
      </c>
      <c r="B792" s="71" t="str">
        <f t="shared" si="194"/>
        <v>AM</v>
      </c>
      <c r="C792" s="72" t="str">
        <f t="shared" si="195"/>
        <v>July</v>
      </c>
      <c r="D792" s="13" t="str">
        <f t="shared" si="198"/>
        <v>SAT</v>
      </c>
      <c r="E792" s="73">
        <v>790.56</v>
      </c>
      <c r="F792" s="73">
        <v>160.81</v>
      </c>
      <c r="G792" s="73">
        <v>0</v>
      </c>
      <c r="H792" s="73">
        <f t="shared" si="204"/>
        <v>31.622399999999999</v>
      </c>
      <c r="I792" s="73">
        <f t="shared" si="199"/>
        <v>2.7016079999999998</v>
      </c>
      <c r="J792" s="73">
        <v>0</v>
      </c>
      <c r="K792" s="73">
        <f t="shared" si="200"/>
        <v>126.48599200000001</v>
      </c>
      <c r="L792" s="74">
        <v>4</v>
      </c>
      <c r="M792" s="74">
        <v>45</v>
      </c>
      <c r="N792" s="75">
        <f t="shared" si="196"/>
        <v>4.75</v>
      </c>
      <c r="O792" s="73">
        <f t="shared" si="203"/>
        <v>10.1175</v>
      </c>
      <c r="P792" s="73">
        <f t="shared" si="197"/>
        <v>136.60349200000002</v>
      </c>
      <c r="Q792" s="76">
        <f t="shared" si="201"/>
        <v>136.60349200000002</v>
      </c>
      <c r="R792" s="30">
        <f>COUNTIF(RAW_DATA[[#This Row],[CONVERTED]],"&gt;0")</f>
        <v>1</v>
      </c>
      <c r="S792" s="30">
        <f>COUNTIFS(RAW_DATA[[#This Row],[AM/PM]],"AM",RAW_DATA[[#This Row],[CONVERTED]],"&gt;0")</f>
        <v>1</v>
      </c>
      <c r="T792" s="19"/>
      <c r="U792" s="20" t="str">
        <f t="shared" si="205"/>
        <v>SINGLE</v>
      </c>
    </row>
    <row r="793" spans="1:21" x14ac:dyDescent="0.35">
      <c r="A793" s="70">
        <f t="shared" si="193"/>
        <v>45486</v>
      </c>
      <c r="B793" s="71" t="str">
        <f t="shared" si="194"/>
        <v>PM</v>
      </c>
      <c r="C793" s="72" t="str">
        <f t="shared" si="195"/>
        <v>July</v>
      </c>
      <c r="D793" s="13" t="str">
        <f t="shared" si="198"/>
        <v>SAT</v>
      </c>
      <c r="E793" s="73">
        <v>0</v>
      </c>
      <c r="F793" s="73">
        <v>0</v>
      </c>
      <c r="G793" s="73">
        <v>0</v>
      </c>
      <c r="H793" s="73">
        <f t="shared" si="204"/>
        <v>0</v>
      </c>
      <c r="I793" s="73">
        <f t="shared" si="199"/>
        <v>0</v>
      </c>
      <c r="J793" s="73">
        <v>0</v>
      </c>
      <c r="K793" s="73">
        <f t="shared" si="200"/>
        <v>0</v>
      </c>
      <c r="L793" s="74">
        <v>0</v>
      </c>
      <c r="M793" s="74">
        <v>0</v>
      </c>
      <c r="N793" s="75">
        <f t="shared" si="196"/>
        <v>0</v>
      </c>
      <c r="O793" s="73">
        <f t="shared" si="203"/>
        <v>0</v>
      </c>
      <c r="P793" s="73">
        <f t="shared" si="197"/>
        <v>0</v>
      </c>
      <c r="Q793" s="76">
        <f t="shared" si="201"/>
        <v>0</v>
      </c>
      <c r="R793" s="30">
        <f>COUNTIF(RAW_DATA[[#This Row],[CONVERTED]],"&gt;0")</f>
        <v>0</v>
      </c>
      <c r="S793" s="30">
        <f>COUNTIFS(RAW_DATA[[#This Row],[AM/PM]],"AM",RAW_DATA[[#This Row],[CONVERTED]],"&gt;0")</f>
        <v>0</v>
      </c>
      <c r="T793" s="19"/>
      <c r="U793" s="20" t="str">
        <f t="shared" si="205"/>
        <v>SINGLE</v>
      </c>
    </row>
    <row r="794" spans="1:21" x14ac:dyDescent="0.35">
      <c r="A794" s="70">
        <f t="shared" si="193"/>
        <v>45487</v>
      </c>
      <c r="B794" s="71" t="str">
        <f t="shared" si="194"/>
        <v>AM</v>
      </c>
      <c r="C794" s="72" t="str">
        <f t="shared" si="195"/>
        <v>July</v>
      </c>
      <c r="D794" s="13" t="str">
        <f t="shared" si="198"/>
        <v>SUN</v>
      </c>
      <c r="E794" s="73">
        <f>2187/2</f>
        <v>1093.5</v>
      </c>
      <c r="F794" s="73">
        <f>336.7/2</f>
        <v>168.35</v>
      </c>
      <c r="G794" s="73">
        <f>134/2</f>
        <v>67</v>
      </c>
      <c r="H794" s="73">
        <f t="shared" si="204"/>
        <v>43.74</v>
      </c>
      <c r="I794" s="73">
        <f t="shared" si="199"/>
        <v>2.8282799999999999</v>
      </c>
      <c r="J794" s="73">
        <v>0</v>
      </c>
      <c r="K794" s="73">
        <f t="shared" si="200"/>
        <v>121.78171999999999</v>
      </c>
      <c r="L794" s="74">
        <f>8/2</f>
        <v>4</v>
      </c>
      <c r="M794" s="74">
        <f>8/2</f>
        <v>4</v>
      </c>
      <c r="N794" s="75">
        <f t="shared" si="196"/>
        <v>4.0666666666666664</v>
      </c>
      <c r="O794" s="73">
        <f t="shared" si="203"/>
        <v>8.661999999999999</v>
      </c>
      <c r="P794" s="73">
        <f t="shared" si="197"/>
        <v>130.44371999999998</v>
      </c>
      <c r="Q794" s="76">
        <f t="shared" si="201"/>
        <v>197.44372000000001</v>
      </c>
      <c r="R794" s="30">
        <f>COUNTIF(RAW_DATA[[#This Row],[CONVERTED]],"&gt;0")</f>
        <v>1</v>
      </c>
      <c r="S794" s="30">
        <f>COUNTIFS(RAW_DATA[[#This Row],[AM/PM]],"AM",RAW_DATA[[#This Row],[CONVERTED]],"&gt;0")</f>
        <v>1</v>
      </c>
      <c r="T794" s="19"/>
      <c r="U794" s="20" t="str">
        <f t="shared" si="205"/>
        <v>DOUBLE</v>
      </c>
    </row>
    <row r="795" spans="1:21" x14ac:dyDescent="0.35">
      <c r="A795" s="70">
        <f t="shared" si="193"/>
        <v>45487</v>
      </c>
      <c r="B795" s="71" t="str">
        <f t="shared" si="194"/>
        <v>PM</v>
      </c>
      <c r="C795" s="72" t="str">
        <f t="shared" si="195"/>
        <v>July</v>
      </c>
      <c r="D795" s="13" t="str">
        <f t="shared" si="198"/>
        <v>SUN</v>
      </c>
      <c r="E795" s="73">
        <f>2187/2</f>
        <v>1093.5</v>
      </c>
      <c r="F795" s="73">
        <f>336.7/2</f>
        <v>168.35</v>
      </c>
      <c r="G795" s="73">
        <f>134/2</f>
        <v>67</v>
      </c>
      <c r="H795" s="73">
        <f t="shared" si="204"/>
        <v>43.74</v>
      </c>
      <c r="I795" s="73">
        <f t="shared" si="199"/>
        <v>2.8282799999999999</v>
      </c>
      <c r="J795" s="73">
        <v>0</v>
      </c>
      <c r="K795" s="73">
        <f t="shared" si="200"/>
        <v>121.78171999999999</v>
      </c>
      <c r="L795" s="74">
        <f>8/2</f>
        <v>4</v>
      </c>
      <c r="M795" s="74">
        <f>8/2</f>
        <v>4</v>
      </c>
      <c r="N795" s="75">
        <f t="shared" si="196"/>
        <v>4.0666666666666664</v>
      </c>
      <c r="O795" s="73">
        <f t="shared" si="203"/>
        <v>8.661999999999999</v>
      </c>
      <c r="P795" s="73">
        <f t="shared" si="197"/>
        <v>130.44371999999998</v>
      </c>
      <c r="Q795" s="76">
        <f t="shared" si="201"/>
        <v>197.44372000000001</v>
      </c>
      <c r="R795" s="30">
        <f>COUNTIF(RAW_DATA[[#This Row],[CONVERTED]],"&gt;0")</f>
        <v>1</v>
      </c>
      <c r="S795" s="30">
        <f>COUNTIFS(RAW_DATA[[#This Row],[AM/PM]],"AM",RAW_DATA[[#This Row],[CONVERTED]],"&gt;0")</f>
        <v>0</v>
      </c>
      <c r="T795" s="19">
        <f t="shared" si="202"/>
        <v>1</v>
      </c>
      <c r="U795" s="20" t="str">
        <f t="shared" si="205"/>
        <v>DOUBLE</v>
      </c>
    </row>
    <row r="796" spans="1:21" x14ac:dyDescent="0.35">
      <c r="A796" s="70">
        <f t="shared" si="193"/>
        <v>45488</v>
      </c>
      <c r="B796" s="71" t="str">
        <f t="shared" si="194"/>
        <v>AM</v>
      </c>
      <c r="C796" s="72" t="str">
        <f t="shared" si="195"/>
        <v>July</v>
      </c>
      <c r="D796" s="13" t="str">
        <f t="shared" si="198"/>
        <v>MON</v>
      </c>
      <c r="E796" s="73">
        <v>0</v>
      </c>
      <c r="F796" s="73">
        <v>0</v>
      </c>
      <c r="G796" s="73">
        <v>0</v>
      </c>
      <c r="H796" s="73">
        <f t="shared" si="204"/>
        <v>0</v>
      </c>
      <c r="I796" s="73">
        <f t="shared" si="199"/>
        <v>0</v>
      </c>
      <c r="J796" s="73">
        <v>0</v>
      </c>
      <c r="K796" s="73">
        <f t="shared" si="200"/>
        <v>0</v>
      </c>
      <c r="L796" s="74">
        <v>0</v>
      </c>
      <c r="M796" s="74">
        <v>0</v>
      </c>
      <c r="N796" s="75">
        <f t="shared" si="196"/>
        <v>0</v>
      </c>
      <c r="O796" s="73">
        <f t="shared" si="203"/>
        <v>0</v>
      </c>
      <c r="P796" s="73">
        <f t="shared" si="197"/>
        <v>0</v>
      </c>
      <c r="Q796" s="76">
        <f t="shared" si="201"/>
        <v>0</v>
      </c>
      <c r="R796" s="30">
        <f>COUNTIF(RAW_DATA[[#This Row],[CONVERTED]],"&gt;0")</f>
        <v>0</v>
      </c>
      <c r="S796" s="30">
        <f>COUNTIFS(RAW_DATA[[#This Row],[AM/PM]],"AM",RAW_DATA[[#This Row],[CONVERTED]],"&gt;0")</f>
        <v>0</v>
      </c>
      <c r="T796" s="19">
        <f t="shared" si="202"/>
        <v>0</v>
      </c>
      <c r="U796" s="20" t="str">
        <f t="shared" si="205"/>
        <v>SINGLE</v>
      </c>
    </row>
    <row r="797" spans="1:21" x14ac:dyDescent="0.35">
      <c r="A797" s="70">
        <f t="shared" si="193"/>
        <v>45488</v>
      </c>
      <c r="B797" s="71" t="str">
        <f t="shared" si="194"/>
        <v>PM</v>
      </c>
      <c r="C797" s="72" t="str">
        <f t="shared" si="195"/>
        <v>July</v>
      </c>
      <c r="D797" s="13" t="str">
        <f t="shared" si="198"/>
        <v>MON</v>
      </c>
      <c r="E797" s="73">
        <v>0</v>
      </c>
      <c r="F797" s="73">
        <v>0</v>
      </c>
      <c r="G797" s="73">
        <v>0</v>
      </c>
      <c r="H797" s="73">
        <f t="shared" si="204"/>
        <v>0</v>
      </c>
      <c r="I797" s="73">
        <f t="shared" si="199"/>
        <v>0</v>
      </c>
      <c r="J797" s="73">
        <v>0</v>
      </c>
      <c r="K797" s="73">
        <f t="shared" si="200"/>
        <v>0</v>
      </c>
      <c r="L797" s="74">
        <v>0</v>
      </c>
      <c r="M797" s="74">
        <v>0</v>
      </c>
      <c r="N797" s="75">
        <f t="shared" si="196"/>
        <v>0</v>
      </c>
      <c r="O797" s="73">
        <f t="shared" si="203"/>
        <v>0</v>
      </c>
      <c r="P797" s="73">
        <f t="shared" si="197"/>
        <v>0</v>
      </c>
      <c r="Q797" s="76">
        <f t="shared" si="201"/>
        <v>0</v>
      </c>
      <c r="R797" s="30">
        <f>COUNTIF(RAW_DATA[[#This Row],[CONVERTED]],"&gt;0")</f>
        <v>0</v>
      </c>
      <c r="S797" s="30">
        <f>COUNTIFS(RAW_DATA[[#This Row],[AM/PM]],"AM",RAW_DATA[[#This Row],[CONVERTED]],"&gt;0")</f>
        <v>0</v>
      </c>
      <c r="T797" s="19">
        <f t="shared" si="202"/>
        <v>0</v>
      </c>
      <c r="U797" s="20" t="str">
        <f t="shared" si="205"/>
        <v>SINGLE</v>
      </c>
    </row>
    <row r="798" spans="1:21" x14ac:dyDescent="0.35">
      <c r="A798" s="70">
        <f t="shared" si="193"/>
        <v>45489</v>
      </c>
      <c r="B798" s="71" t="str">
        <f t="shared" si="194"/>
        <v>AM</v>
      </c>
      <c r="C798" s="72" t="str">
        <f t="shared" si="195"/>
        <v>July</v>
      </c>
      <c r="D798" s="13" t="str">
        <f t="shared" si="198"/>
        <v>TUE</v>
      </c>
      <c r="E798" s="73">
        <v>0</v>
      </c>
      <c r="F798" s="73">
        <v>0</v>
      </c>
      <c r="G798" s="73">
        <v>0</v>
      </c>
      <c r="H798" s="73">
        <f t="shared" si="204"/>
        <v>0</v>
      </c>
      <c r="I798" s="73">
        <f t="shared" si="199"/>
        <v>0</v>
      </c>
      <c r="J798" s="73">
        <v>0</v>
      </c>
      <c r="K798" s="73">
        <f t="shared" si="200"/>
        <v>0</v>
      </c>
      <c r="L798" s="74">
        <v>0</v>
      </c>
      <c r="M798" s="74">
        <v>0</v>
      </c>
      <c r="N798" s="75">
        <f t="shared" si="196"/>
        <v>0</v>
      </c>
      <c r="O798" s="73">
        <f t="shared" si="203"/>
        <v>0</v>
      </c>
      <c r="P798" s="73">
        <f t="shared" si="197"/>
        <v>0</v>
      </c>
      <c r="Q798" s="76">
        <f t="shared" si="201"/>
        <v>0</v>
      </c>
      <c r="R798" s="30">
        <f>COUNTIF(RAW_DATA[[#This Row],[CONVERTED]],"&gt;0")</f>
        <v>0</v>
      </c>
      <c r="S798" s="30">
        <f>COUNTIFS(RAW_DATA[[#This Row],[AM/PM]],"AM",RAW_DATA[[#This Row],[CONVERTED]],"&gt;0")</f>
        <v>0</v>
      </c>
      <c r="T798" s="19">
        <f t="shared" si="202"/>
        <v>0</v>
      </c>
      <c r="U798" s="20" t="str">
        <f t="shared" si="205"/>
        <v>SINGLE</v>
      </c>
    </row>
    <row r="799" spans="1:21" x14ac:dyDescent="0.35">
      <c r="A799" s="70">
        <f t="shared" si="193"/>
        <v>45489</v>
      </c>
      <c r="B799" s="71" t="str">
        <f t="shared" si="194"/>
        <v>PM</v>
      </c>
      <c r="C799" s="72" t="str">
        <f t="shared" si="195"/>
        <v>July</v>
      </c>
      <c r="D799" s="13" t="str">
        <f t="shared" si="198"/>
        <v>TUE</v>
      </c>
      <c r="E799" s="73">
        <v>0</v>
      </c>
      <c r="F799" s="73">
        <v>0</v>
      </c>
      <c r="G799" s="73">
        <v>0</v>
      </c>
      <c r="H799" s="73">
        <f t="shared" si="204"/>
        <v>0</v>
      </c>
      <c r="I799" s="73">
        <f t="shared" si="199"/>
        <v>0</v>
      </c>
      <c r="J799" s="73">
        <v>0</v>
      </c>
      <c r="K799" s="73">
        <f t="shared" si="200"/>
        <v>0</v>
      </c>
      <c r="L799" s="74">
        <v>0</v>
      </c>
      <c r="M799" s="74">
        <v>0</v>
      </c>
      <c r="N799" s="75">
        <f t="shared" si="196"/>
        <v>0</v>
      </c>
      <c r="O799" s="73">
        <f t="shared" si="203"/>
        <v>0</v>
      </c>
      <c r="P799" s="73">
        <f t="shared" si="197"/>
        <v>0</v>
      </c>
      <c r="Q799" s="76">
        <f t="shared" si="201"/>
        <v>0</v>
      </c>
      <c r="R799" s="30">
        <f>COUNTIF(RAW_DATA[[#This Row],[CONVERTED]],"&gt;0")</f>
        <v>0</v>
      </c>
      <c r="S799" s="30">
        <f>COUNTIFS(RAW_DATA[[#This Row],[AM/PM]],"AM",RAW_DATA[[#This Row],[CONVERTED]],"&gt;0")</f>
        <v>0</v>
      </c>
      <c r="T799" s="19">
        <f t="shared" si="202"/>
        <v>0</v>
      </c>
      <c r="U799" s="20" t="str">
        <f t="shared" si="205"/>
        <v>SINGLE</v>
      </c>
    </row>
    <row r="800" spans="1:21" x14ac:dyDescent="0.35">
      <c r="A800" s="70">
        <f t="shared" si="193"/>
        <v>45490</v>
      </c>
      <c r="B800" s="71" t="str">
        <f t="shared" si="194"/>
        <v>AM</v>
      </c>
      <c r="C800" s="72" t="str">
        <f t="shared" si="195"/>
        <v>July</v>
      </c>
      <c r="D800" s="13" t="str">
        <f t="shared" si="198"/>
        <v>WED</v>
      </c>
      <c r="E800" s="73">
        <v>0</v>
      </c>
      <c r="F800" s="73">
        <v>0</v>
      </c>
      <c r="G800" s="73">
        <v>0</v>
      </c>
      <c r="H800" s="73">
        <f t="shared" si="204"/>
        <v>0</v>
      </c>
      <c r="I800" s="73">
        <f t="shared" si="199"/>
        <v>0</v>
      </c>
      <c r="J800" s="73">
        <v>0</v>
      </c>
      <c r="K800" s="73">
        <f t="shared" si="200"/>
        <v>0</v>
      </c>
      <c r="L800" s="74">
        <v>0</v>
      </c>
      <c r="M800" s="74">
        <v>0</v>
      </c>
      <c r="N800" s="75">
        <f t="shared" si="196"/>
        <v>0</v>
      </c>
      <c r="O800" s="73">
        <f t="shared" si="203"/>
        <v>0</v>
      </c>
      <c r="P800" s="73">
        <f t="shared" si="197"/>
        <v>0</v>
      </c>
      <c r="Q800" s="76">
        <f t="shared" si="201"/>
        <v>0</v>
      </c>
      <c r="R800" s="30">
        <f>COUNTIF(RAW_DATA[[#This Row],[CONVERTED]],"&gt;0")</f>
        <v>0</v>
      </c>
      <c r="S800" s="30">
        <f>COUNTIFS(RAW_DATA[[#This Row],[AM/PM]],"AM",RAW_DATA[[#This Row],[CONVERTED]],"&gt;0")</f>
        <v>0</v>
      </c>
      <c r="T800" s="19"/>
      <c r="U800" s="20" t="str">
        <f t="shared" si="205"/>
        <v>SINGLE</v>
      </c>
    </row>
    <row r="801" spans="1:21" x14ac:dyDescent="0.35">
      <c r="A801" s="70">
        <f t="shared" si="193"/>
        <v>45490</v>
      </c>
      <c r="B801" s="71" t="str">
        <f t="shared" si="194"/>
        <v>PM</v>
      </c>
      <c r="C801" s="72" t="str">
        <f t="shared" si="195"/>
        <v>July</v>
      </c>
      <c r="D801" s="13" t="str">
        <f t="shared" si="198"/>
        <v>WED</v>
      </c>
      <c r="E801" s="73">
        <v>343</v>
      </c>
      <c r="F801" s="73">
        <v>49.71</v>
      </c>
      <c r="G801" s="73">
        <v>18</v>
      </c>
      <c r="H801" s="73">
        <f t="shared" si="204"/>
        <v>13.72</v>
      </c>
      <c r="I801" s="73">
        <f t="shared" si="199"/>
        <v>0.83512799999999998</v>
      </c>
      <c r="J801" s="73">
        <v>6.08</v>
      </c>
      <c r="K801" s="73">
        <f t="shared" si="200"/>
        <v>35.154871999999997</v>
      </c>
      <c r="L801" s="74">
        <v>5</v>
      </c>
      <c r="M801" s="74">
        <v>35</v>
      </c>
      <c r="N801" s="75">
        <f t="shared" si="196"/>
        <v>5.583333333333333</v>
      </c>
      <c r="O801" s="73">
        <f t="shared" si="203"/>
        <v>11.892499999999998</v>
      </c>
      <c r="P801" s="73">
        <f t="shared" si="197"/>
        <v>53.127371999999994</v>
      </c>
      <c r="Q801" s="76">
        <f t="shared" si="201"/>
        <v>65.047371999999996</v>
      </c>
      <c r="R801" s="30">
        <f>COUNTIF(RAW_DATA[[#This Row],[CONVERTED]],"&gt;0")</f>
        <v>1</v>
      </c>
      <c r="S801" s="30">
        <f>COUNTIFS(RAW_DATA[[#This Row],[AM/PM]],"AM",RAW_DATA[[#This Row],[CONVERTED]],"&gt;0")</f>
        <v>0</v>
      </c>
      <c r="T801" s="19"/>
      <c r="U801" s="20" t="str">
        <f t="shared" si="205"/>
        <v>SINGLE</v>
      </c>
    </row>
    <row r="802" spans="1:21" x14ac:dyDescent="0.35">
      <c r="A802" s="70">
        <f t="shared" si="193"/>
        <v>45491</v>
      </c>
      <c r="B802" s="71" t="str">
        <f t="shared" si="194"/>
        <v>AM</v>
      </c>
      <c r="C802" s="72" t="str">
        <f t="shared" si="195"/>
        <v>July</v>
      </c>
      <c r="D802" s="13" t="str">
        <f t="shared" si="198"/>
        <v>THU</v>
      </c>
      <c r="E802" s="73">
        <v>0</v>
      </c>
      <c r="F802" s="73">
        <v>0</v>
      </c>
      <c r="G802" s="73">
        <v>0</v>
      </c>
      <c r="H802" s="73">
        <f t="shared" si="204"/>
        <v>0</v>
      </c>
      <c r="I802" s="73">
        <f t="shared" si="199"/>
        <v>0</v>
      </c>
      <c r="J802" s="73">
        <v>0</v>
      </c>
      <c r="K802" s="73">
        <f t="shared" si="200"/>
        <v>0</v>
      </c>
      <c r="L802" s="74">
        <v>0</v>
      </c>
      <c r="M802" s="74">
        <v>0</v>
      </c>
      <c r="N802" s="75">
        <f t="shared" si="196"/>
        <v>0</v>
      </c>
      <c r="O802" s="73">
        <f t="shared" si="203"/>
        <v>0</v>
      </c>
      <c r="P802" s="73">
        <f t="shared" si="197"/>
        <v>0</v>
      </c>
      <c r="Q802" s="76">
        <f t="shared" si="201"/>
        <v>0</v>
      </c>
      <c r="R802" s="30">
        <f>COUNTIF(RAW_DATA[[#This Row],[CONVERTED]],"&gt;0")</f>
        <v>0</v>
      </c>
      <c r="S802" s="30">
        <f>COUNTIFS(RAW_DATA[[#This Row],[AM/PM]],"AM",RAW_DATA[[#This Row],[CONVERTED]],"&gt;0")</f>
        <v>0</v>
      </c>
      <c r="T802" s="19"/>
      <c r="U802" s="20" t="str">
        <f t="shared" si="205"/>
        <v>SINGLE</v>
      </c>
    </row>
    <row r="803" spans="1:21" x14ac:dyDescent="0.35">
      <c r="A803" s="70">
        <f t="shared" si="193"/>
        <v>45491</v>
      </c>
      <c r="B803" s="71" t="str">
        <f t="shared" si="194"/>
        <v>PM</v>
      </c>
      <c r="C803" s="72" t="str">
        <f t="shared" si="195"/>
        <v>July</v>
      </c>
      <c r="D803" s="13" t="str">
        <f t="shared" si="198"/>
        <v>THU</v>
      </c>
      <c r="E803" s="73">
        <v>1784.5</v>
      </c>
      <c r="F803" s="73">
        <v>324.08</v>
      </c>
      <c r="G803" s="73">
        <v>34</v>
      </c>
      <c r="H803" s="73">
        <f t="shared" si="204"/>
        <v>71.38</v>
      </c>
      <c r="I803" s="73">
        <f t="shared" si="199"/>
        <v>5.4445439999999996</v>
      </c>
      <c r="J803" s="73">
        <v>10.8</v>
      </c>
      <c r="K803" s="73">
        <f t="shared" si="200"/>
        <v>247.25545599999998</v>
      </c>
      <c r="L803" s="74">
        <v>5</v>
      </c>
      <c r="M803" s="74">
        <v>18</v>
      </c>
      <c r="N803" s="75">
        <f t="shared" si="196"/>
        <v>5.3</v>
      </c>
      <c r="O803" s="73">
        <f t="shared" si="203"/>
        <v>11.289</v>
      </c>
      <c r="P803" s="73">
        <f t="shared" si="197"/>
        <v>269.34445599999998</v>
      </c>
      <c r="Q803" s="76">
        <f t="shared" si="201"/>
        <v>292.54445599999997</v>
      </c>
      <c r="R803" s="30">
        <f>COUNTIF(RAW_DATA[[#This Row],[CONVERTED]],"&gt;0")</f>
        <v>1</v>
      </c>
      <c r="S803" s="30">
        <f>COUNTIFS(RAW_DATA[[#This Row],[AM/PM]],"AM",RAW_DATA[[#This Row],[CONVERTED]],"&gt;0")</f>
        <v>0</v>
      </c>
      <c r="T803" s="19">
        <f t="shared" si="202"/>
        <v>0</v>
      </c>
      <c r="U803" s="20" t="str">
        <f t="shared" si="205"/>
        <v>SINGLE</v>
      </c>
    </row>
    <row r="804" spans="1:21" x14ac:dyDescent="0.35">
      <c r="A804" s="70">
        <f t="shared" si="193"/>
        <v>45492</v>
      </c>
      <c r="B804" s="71" t="str">
        <f t="shared" si="194"/>
        <v>AM</v>
      </c>
      <c r="C804" s="72" t="str">
        <f t="shared" si="195"/>
        <v>July</v>
      </c>
      <c r="D804" s="13" t="str">
        <f t="shared" si="198"/>
        <v>FRI</v>
      </c>
      <c r="E804" s="73">
        <v>0</v>
      </c>
      <c r="F804" s="73">
        <v>0</v>
      </c>
      <c r="G804" s="73">
        <v>0</v>
      </c>
      <c r="H804" s="73">
        <f t="shared" si="204"/>
        <v>0</v>
      </c>
      <c r="I804" s="73">
        <f t="shared" si="199"/>
        <v>0</v>
      </c>
      <c r="J804" s="73">
        <v>0</v>
      </c>
      <c r="K804" s="73">
        <f t="shared" si="200"/>
        <v>0</v>
      </c>
      <c r="L804" s="74">
        <v>0</v>
      </c>
      <c r="M804" s="74">
        <v>0</v>
      </c>
      <c r="N804" s="75">
        <f t="shared" si="196"/>
        <v>0</v>
      </c>
      <c r="O804" s="73">
        <f t="shared" si="203"/>
        <v>0</v>
      </c>
      <c r="P804" s="73">
        <f t="shared" si="197"/>
        <v>0</v>
      </c>
      <c r="Q804" s="76">
        <f t="shared" si="201"/>
        <v>0</v>
      </c>
      <c r="R804" s="30">
        <f>COUNTIF(RAW_DATA[[#This Row],[CONVERTED]],"&gt;0")</f>
        <v>0</v>
      </c>
      <c r="S804" s="30">
        <f>COUNTIFS(RAW_DATA[[#This Row],[AM/PM]],"AM",RAW_DATA[[#This Row],[CONVERTED]],"&gt;0")</f>
        <v>0</v>
      </c>
      <c r="T804" s="19">
        <f t="shared" si="202"/>
        <v>0</v>
      </c>
      <c r="U804" s="20" t="str">
        <f t="shared" si="205"/>
        <v>SINGLE</v>
      </c>
    </row>
    <row r="805" spans="1:21" x14ac:dyDescent="0.35">
      <c r="A805" s="70">
        <f t="shared" si="193"/>
        <v>45492</v>
      </c>
      <c r="B805" s="71" t="str">
        <f t="shared" si="194"/>
        <v>PM</v>
      </c>
      <c r="C805" s="72" t="str">
        <f t="shared" si="195"/>
        <v>July</v>
      </c>
      <c r="D805" s="13" t="str">
        <f t="shared" si="198"/>
        <v>FRI</v>
      </c>
      <c r="E805" s="73">
        <v>0</v>
      </c>
      <c r="F805" s="73">
        <v>0</v>
      </c>
      <c r="G805" s="73">
        <v>0</v>
      </c>
      <c r="H805" s="73">
        <f t="shared" si="204"/>
        <v>0</v>
      </c>
      <c r="I805" s="73">
        <f t="shared" si="199"/>
        <v>0</v>
      </c>
      <c r="J805" s="73">
        <v>0</v>
      </c>
      <c r="K805" s="73">
        <f t="shared" si="200"/>
        <v>0</v>
      </c>
      <c r="L805" s="74">
        <v>0</v>
      </c>
      <c r="M805" s="74">
        <v>0</v>
      </c>
      <c r="N805" s="75">
        <f t="shared" si="196"/>
        <v>0</v>
      </c>
      <c r="O805" s="73">
        <f t="shared" si="203"/>
        <v>0</v>
      </c>
      <c r="P805" s="73">
        <f t="shared" si="197"/>
        <v>0</v>
      </c>
      <c r="Q805" s="76">
        <f t="shared" si="201"/>
        <v>0</v>
      </c>
      <c r="R805" s="30">
        <f>COUNTIF(RAW_DATA[[#This Row],[CONVERTED]],"&gt;0")</f>
        <v>0</v>
      </c>
      <c r="S805" s="30">
        <f>COUNTIFS(RAW_DATA[[#This Row],[AM/PM]],"AM",RAW_DATA[[#This Row],[CONVERTED]],"&gt;0")</f>
        <v>0</v>
      </c>
      <c r="T805" s="19">
        <f t="shared" si="202"/>
        <v>0</v>
      </c>
      <c r="U805" s="20" t="str">
        <f t="shared" si="205"/>
        <v>SINGLE</v>
      </c>
    </row>
    <row r="806" spans="1:21" x14ac:dyDescent="0.35">
      <c r="A806" s="70">
        <f t="shared" si="193"/>
        <v>45493</v>
      </c>
      <c r="B806" s="71" t="str">
        <f t="shared" si="194"/>
        <v>AM</v>
      </c>
      <c r="C806" s="72" t="str">
        <f t="shared" si="195"/>
        <v>July</v>
      </c>
      <c r="D806" s="13" t="str">
        <f t="shared" si="198"/>
        <v>SAT</v>
      </c>
      <c r="E806" s="73">
        <v>0</v>
      </c>
      <c r="F806" s="73">
        <v>0</v>
      </c>
      <c r="G806" s="73">
        <v>0</v>
      </c>
      <c r="H806" s="73">
        <f t="shared" si="204"/>
        <v>0</v>
      </c>
      <c r="I806" s="73">
        <f t="shared" si="199"/>
        <v>0</v>
      </c>
      <c r="J806" s="73">
        <v>0</v>
      </c>
      <c r="K806" s="73">
        <f t="shared" si="200"/>
        <v>0</v>
      </c>
      <c r="L806" s="74">
        <v>0</v>
      </c>
      <c r="M806" s="74">
        <v>0</v>
      </c>
      <c r="N806" s="75">
        <f t="shared" si="196"/>
        <v>0</v>
      </c>
      <c r="O806" s="73">
        <f t="shared" si="203"/>
        <v>0</v>
      </c>
      <c r="P806" s="73">
        <f t="shared" si="197"/>
        <v>0</v>
      </c>
      <c r="Q806" s="76">
        <f t="shared" si="201"/>
        <v>0</v>
      </c>
      <c r="R806" s="30">
        <f>COUNTIF(RAW_DATA[[#This Row],[CONVERTED]],"&gt;0")</f>
        <v>0</v>
      </c>
      <c r="S806" s="30">
        <f>COUNTIFS(RAW_DATA[[#This Row],[AM/PM]],"AM",RAW_DATA[[#This Row],[CONVERTED]],"&gt;0")</f>
        <v>0</v>
      </c>
      <c r="T806" s="19">
        <f t="shared" si="202"/>
        <v>0</v>
      </c>
      <c r="U806" s="20" t="str">
        <f t="shared" si="205"/>
        <v>SINGLE</v>
      </c>
    </row>
    <row r="807" spans="1:21" x14ac:dyDescent="0.35">
      <c r="A807" s="70">
        <f t="shared" si="193"/>
        <v>45493</v>
      </c>
      <c r="B807" s="71" t="str">
        <f t="shared" si="194"/>
        <v>PM</v>
      </c>
      <c r="C807" s="72" t="str">
        <f t="shared" si="195"/>
        <v>July</v>
      </c>
      <c r="D807" s="13" t="str">
        <f t="shared" si="198"/>
        <v>SAT</v>
      </c>
      <c r="E807" s="73">
        <v>1153.5</v>
      </c>
      <c r="F807" s="73">
        <v>156.38999999999999</v>
      </c>
      <c r="G807" s="73">
        <v>50</v>
      </c>
      <c r="H807" s="73">
        <f t="shared" si="204"/>
        <v>46.14</v>
      </c>
      <c r="I807" s="73">
        <f t="shared" si="199"/>
        <v>2.6273519999999997</v>
      </c>
      <c r="J807" s="73">
        <v>0</v>
      </c>
      <c r="K807" s="73">
        <f t="shared" si="200"/>
        <v>107.62264799999998</v>
      </c>
      <c r="L807" s="74">
        <v>6</v>
      </c>
      <c r="M807" s="74">
        <v>6</v>
      </c>
      <c r="N807" s="75">
        <f t="shared" si="196"/>
        <v>6.1</v>
      </c>
      <c r="O807" s="73">
        <f t="shared" si="203"/>
        <v>12.992999999999999</v>
      </c>
      <c r="P807" s="73">
        <f t="shared" si="197"/>
        <v>120.61564799999998</v>
      </c>
      <c r="Q807" s="76">
        <f t="shared" si="201"/>
        <v>170.61564799999996</v>
      </c>
      <c r="R807" s="30">
        <f>COUNTIF(RAW_DATA[[#This Row],[CONVERTED]],"&gt;0")</f>
        <v>1</v>
      </c>
      <c r="S807" s="30">
        <f>COUNTIFS(RAW_DATA[[#This Row],[AM/PM]],"AM",RAW_DATA[[#This Row],[CONVERTED]],"&gt;0")</f>
        <v>0</v>
      </c>
      <c r="T807" s="19">
        <f t="shared" si="202"/>
        <v>0</v>
      </c>
      <c r="U807" s="20" t="str">
        <f t="shared" si="205"/>
        <v>SINGLE</v>
      </c>
    </row>
    <row r="808" spans="1:21" x14ac:dyDescent="0.35">
      <c r="A808" s="70">
        <f t="shared" si="193"/>
        <v>45494</v>
      </c>
      <c r="B808" s="71" t="str">
        <f t="shared" si="194"/>
        <v>AM</v>
      </c>
      <c r="C808" s="72" t="str">
        <f t="shared" si="195"/>
        <v>July</v>
      </c>
      <c r="D808" s="13" t="str">
        <f t="shared" si="198"/>
        <v>SUN</v>
      </c>
      <c r="E808" s="73">
        <v>364</v>
      </c>
      <c r="F808" s="73">
        <v>75.400000000000006</v>
      </c>
      <c r="G808" s="73">
        <v>0</v>
      </c>
      <c r="H808" s="73">
        <f t="shared" si="204"/>
        <v>14.56</v>
      </c>
      <c r="I808" s="73">
        <f t="shared" si="199"/>
        <v>1.2667200000000001</v>
      </c>
      <c r="J808" s="73">
        <v>0</v>
      </c>
      <c r="K808" s="73">
        <f t="shared" si="200"/>
        <v>59.573280000000004</v>
      </c>
      <c r="L808" s="74">
        <v>3</v>
      </c>
      <c r="M808" s="74">
        <v>19</v>
      </c>
      <c r="N808" s="75">
        <f t="shared" si="196"/>
        <v>3.3166666666666669</v>
      </c>
      <c r="O808" s="73">
        <f t="shared" si="203"/>
        <v>7.0644999999999998</v>
      </c>
      <c r="P808" s="73">
        <f t="shared" si="197"/>
        <v>66.637780000000006</v>
      </c>
      <c r="Q808" s="76">
        <f t="shared" si="201"/>
        <v>66.637780000000006</v>
      </c>
      <c r="R808" s="30">
        <f>COUNTIF(RAW_DATA[[#This Row],[CONVERTED]],"&gt;0")</f>
        <v>1</v>
      </c>
      <c r="S808" s="30">
        <f>COUNTIFS(RAW_DATA[[#This Row],[AM/PM]],"AM",RAW_DATA[[#This Row],[CONVERTED]],"&gt;0")</f>
        <v>1</v>
      </c>
      <c r="T808" s="19"/>
      <c r="U808" s="20" t="str">
        <f t="shared" si="205"/>
        <v>SINGLE</v>
      </c>
    </row>
    <row r="809" spans="1:21" x14ac:dyDescent="0.35">
      <c r="A809" s="70">
        <f t="shared" si="193"/>
        <v>45494</v>
      </c>
      <c r="B809" s="71" t="str">
        <f t="shared" si="194"/>
        <v>PM</v>
      </c>
      <c r="C809" s="72" t="str">
        <f t="shared" si="195"/>
        <v>July</v>
      </c>
      <c r="D809" s="13" t="str">
        <f t="shared" si="198"/>
        <v>SUN</v>
      </c>
      <c r="E809" s="73">
        <v>0</v>
      </c>
      <c r="F809" s="73">
        <v>0</v>
      </c>
      <c r="G809" s="73">
        <v>0</v>
      </c>
      <c r="H809" s="73">
        <f t="shared" si="204"/>
        <v>0</v>
      </c>
      <c r="I809" s="73">
        <f t="shared" si="199"/>
        <v>0</v>
      </c>
      <c r="J809" s="73">
        <v>0</v>
      </c>
      <c r="K809" s="73">
        <f t="shared" si="200"/>
        <v>0</v>
      </c>
      <c r="L809" s="74">
        <v>0</v>
      </c>
      <c r="M809" s="74">
        <v>0</v>
      </c>
      <c r="N809" s="75">
        <f t="shared" si="196"/>
        <v>0</v>
      </c>
      <c r="O809" s="73">
        <f t="shared" si="203"/>
        <v>0</v>
      </c>
      <c r="P809" s="73">
        <f t="shared" si="197"/>
        <v>0</v>
      </c>
      <c r="Q809" s="76">
        <f t="shared" si="201"/>
        <v>0</v>
      </c>
      <c r="R809" s="30">
        <f>COUNTIF(RAW_DATA[[#This Row],[CONVERTED]],"&gt;0")</f>
        <v>0</v>
      </c>
      <c r="S809" s="30">
        <f>COUNTIFS(RAW_DATA[[#This Row],[AM/PM]],"AM",RAW_DATA[[#This Row],[CONVERTED]],"&gt;0")</f>
        <v>0</v>
      </c>
      <c r="T809" s="19"/>
      <c r="U809" s="20" t="str">
        <f t="shared" si="205"/>
        <v>SINGLE</v>
      </c>
    </row>
    <row r="810" spans="1:21" x14ac:dyDescent="0.35">
      <c r="A810" s="70">
        <f t="shared" si="193"/>
        <v>45495</v>
      </c>
      <c r="B810" s="71" t="str">
        <f t="shared" si="194"/>
        <v>AM</v>
      </c>
      <c r="C810" s="72" t="str">
        <f t="shared" si="195"/>
        <v>July</v>
      </c>
      <c r="D810" s="13" t="str">
        <f t="shared" si="198"/>
        <v>MON</v>
      </c>
      <c r="E810" s="73">
        <v>0</v>
      </c>
      <c r="F810" s="73">
        <v>0</v>
      </c>
      <c r="G810" s="73">
        <v>0</v>
      </c>
      <c r="H810" s="73">
        <f t="shared" si="204"/>
        <v>0</v>
      </c>
      <c r="I810" s="73">
        <f t="shared" si="199"/>
        <v>0</v>
      </c>
      <c r="J810" s="73">
        <v>0</v>
      </c>
      <c r="K810" s="73">
        <f t="shared" si="200"/>
        <v>0</v>
      </c>
      <c r="L810" s="74">
        <v>0</v>
      </c>
      <c r="M810" s="74">
        <v>0</v>
      </c>
      <c r="N810" s="75">
        <f t="shared" si="196"/>
        <v>0</v>
      </c>
      <c r="O810" s="73">
        <f t="shared" si="203"/>
        <v>0</v>
      </c>
      <c r="P810" s="73">
        <f t="shared" si="197"/>
        <v>0</v>
      </c>
      <c r="Q810" s="76">
        <f t="shared" si="201"/>
        <v>0</v>
      </c>
      <c r="R810" s="30">
        <f>COUNTIF(RAW_DATA[[#This Row],[CONVERTED]],"&gt;0")</f>
        <v>0</v>
      </c>
      <c r="S810" s="30">
        <f>COUNTIFS(RAW_DATA[[#This Row],[AM/PM]],"AM",RAW_DATA[[#This Row],[CONVERTED]],"&gt;0")</f>
        <v>0</v>
      </c>
      <c r="T810" s="19"/>
      <c r="U810" s="20" t="str">
        <f t="shared" si="205"/>
        <v>SINGLE</v>
      </c>
    </row>
    <row r="811" spans="1:21" x14ac:dyDescent="0.35">
      <c r="A811" s="70">
        <f t="shared" si="193"/>
        <v>45495</v>
      </c>
      <c r="B811" s="71" t="str">
        <f t="shared" si="194"/>
        <v>PM</v>
      </c>
      <c r="C811" s="72" t="str">
        <f t="shared" si="195"/>
        <v>July</v>
      </c>
      <c r="D811" s="13" t="str">
        <f t="shared" si="198"/>
        <v>MON</v>
      </c>
      <c r="E811" s="73">
        <v>855.5</v>
      </c>
      <c r="F811" s="73">
        <v>143.03</v>
      </c>
      <c r="G811" s="73">
        <v>5</v>
      </c>
      <c r="H811" s="73">
        <f t="shared" si="204"/>
        <v>34.22</v>
      </c>
      <c r="I811" s="73">
        <f t="shared" si="199"/>
        <v>2.4029039999999999</v>
      </c>
      <c r="J811" s="73">
        <v>7.68</v>
      </c>
      <c r="K811" s="73">
        <f t="shared" si="200"/>
        <v>106.407096</v>
      </c>
      <c r="L811" s="74">
        <v>5</v>
      </c>
      <c r="M811" s="74">
        <v>35</v>
      </c>
      <c r="N811" s="75">
        <f t="shared" si="196"/>
        <v>5.583333333333333</v>
      </c>
      <c r="O811" s="73">
        <f t="shared" si="203"/>
        <v>11.892499999999998</v>
      </c>
      <c r="P811" s="73">
        <f t="shared" si="197"/>
        <v>125.979596</v>
      </c>
      <c r="Q811" s="76">
        <f t="shared" si="201"/>
        <v>123.29959599999999</v>
      </c>
      <c r="R811" s="30">
        <f>COUNTIF(RAW_DATA[[#This Row],[CONVERTED]],"&gt;0")</f>
        <v>1</v>
      </c>
      <c r="S811" s="30">
        <f>COUNTIFS(RAW_DATA[[#This Row],[AM/PM]],"AM",RAW_DATA[[#This Row],[CONVERTED]],"&gt;0")</f>
        <v>0</v>
      </c>
      <c r="T811" s="19">
        <f t="shared" si="202"/>
        <v>0</v>
      </c>
      <c r="U811" s="20" t="str">
        <f t="shared" si="205"/>
        <v>SINGLE</v>
      </c>
    </row>
    <row r="812" spans="1:21" x14ac:dyDescent="0.35">
      <c r="A812" s="70">
        <f t="shared" si="193"/>
        <v>45496</v>
      </c>
      <c r="B812" s="71" t="str">
        <f t="shared" si="194"/>
        <v>AM</v>
      </c>
      <c r="C812" s="72" t="str">
        <f t="shared" si="195"/>
        <v>July</v>
      </c>
      <c r="D812" s="13" t="str">
        <f t="shared" si="198"/>
        <v>TUE</v>
      </c>
      <c r="E812" s="73">
        <v>0</v>
      </c>
      <c r="F812" s="73">
        <v>0</v>
      </c>
      <c r="G812" s="73">
        <v>0</v>
      </c>
      <c r="H812" s="73">
        <f t="shared" si="204"/>
        <v>0</v>
      </c>
      <c r="I812" s="73">
        <f t="shared" si="199"/>
        <v>0</v>
      </c>
      <c r="J812" s="73">
        <v>0</v>
      </c>
      <c r="K812" s="73">
        <f t="shared" si="200"/>
        <v>0</v>
      </c>
      <c r="L812" s="74">
        <v>0</v>
      </c>
      <c r="M812" s="74">
        <v>0</v>
      </c>
      <c r="N812" s="75">
        <f t="shared" si="196"/>
        <v>0</v>
      </c>
      <c r="O812" s="73">
        <f t="shared" si="203"/>
        <v>0</v>
      </c>
      <c r="P812" s="73">
        <f t="shared" si="197"/>
        <v>0</v>
      </c>
      <c r="Q812" s="76">
        <f t="shared" si="201"/>
        <v>0</v>
      </c>
      <c r="R812" s="30">
        <f>COUNTIF(RAW_DATA[[#This Row],[CONVERTED]],"&gt;0")</f>
        <v>0</v>
      </c>
      <c r="S812" s="30">
        <f>COUNTIFS(RAW_DATA[[#This Row],[AM/PM]],"AM",RAW_DATA[[#This Row],[CONVERTED]],"&gt;0")</f>
        <v>0</v>
      </c>
      <c r="T812" s="19">
        <f t="shared" si="202"/>
        <v>0</v>
      </c>
      <c r="U812" s="20" t="str">
        <f t="shared" si="205"/>
        <v>SINGLE</v>
      </c>
    </row>
    <row r="813" spans="1:21" x14ac:dyDescent="0.35">
      <c r="A813" s="70">
        <f t="shared" si="193"/>
        <v>45496</v>
      </c>
      <c r="B813" s="71" t="str">
        <f t="shared" si="194"/>
        <v>PM</v>
      </c>
      <c r="C813" s="72" t="str">
        <f t="shared" si="195"/>
        <v>July</v>
      </c>
      <c r="D813" s="13" t="str">
        <f t="shared" si="198"/>
        <v>TUE</v>
      </c>
      <c r="E813" s="73">
        <v>0</v>
      </c>
      <c r="F813" s="73">
        <v>0</v>
      </c>
      <c r="G813" s="73">
        <v>0</v>
      </c>
      <c r="H813" s="73">
        <f t="shared" si="204"/>
        <v>0</v>
      </c>
      <c r="I813" s="73">
        <f t="shared" si="199"/>
        <v>0</v>
      </c>
      <c r="J813" s="73">
        <v>0</v>
      </c>
      <c r="K813" s="73">
        <f t="shared" si="200"/>
        <v>0</v>
      </c>
      <c r="L813" s="74">
        <v>0</v>
      </c>
      <c r="M813" s="74">
        <v>0</v>
      </c>
      <c r="N813" s="75">
        <f t="shared" si="196"/>
        <v>0</v>
      </c>
      <c r="O813" s="73">
        <f t="shared" si="203"/>
        <v>0</v>
      </c>
      <c r="P813" s="73">
        <f t="shared" si="197"/>
        <v>0</v>
      </c>
      <c r="Q813" s="76">
        <f t="shared" si="201"/>
        <v>0</v>
      </c>
      <c r="R813" s="30">
        <f>COUNTIF(RAW_DATA[[#This Row],[CONVERTED]],"&gt;0")</f>
        <v>0</v>
      </c>
      <c r="S813" s="30">
        <f>COUNTIFS(RAW_DATA[[#This Row],[AM/PM]],"AM",RAW_DATA[[#This Row],[CONVERTED]],"&gt;0")</f>
        <v>0</v>
      </c>
      <c r="T813" s="19">
        <f t="shared" si="202"/>
        <v>0</v>
      </c>
      <c r="U813" s="20" t="str">
        <f t="shared" si="205"/>
        <v>SINGLE</v>
      </c>
    </row>
    <row r="814" spans="1:21" x14ac:dyDescent="0.35">
      <c r="A814" s="70">
        <f t="shared" si="193"/>
        <v>45497</v>
      </c>
      <c r="B814" s="71" t="str">
        <f t="shared" si="194"/>
        <v>AM</v>
      </c>
      <c r="C814" s="72" t="str">
        <f t="shared" si="195"/>
        <v>July</v>
      </c>
      <c r="D814" s="13" t="str">
        <f t="shared" si="198"/>
        <v>WED</v>
      </c>
      <c r="E814" s="73">
        <v>0</v>
      </c>
      <c r="F814" s="73">
        <v>0</v>
      </c>
      <c r="G814" s="73">
        <v>0</v>
      </c>
      <c r="H814" s="73">
        <f t="shared" si="204"/>
        <v>0</v>
      </c>
      <c r="I814" s="73">
        <f t="shared" si="199"/>
        <v>0</v>
      </c>
      <c r="J814" s="73">
        <v>0</v>
      </c>
      <c r="K814" s="73">
        <f t="shared" si="200"/>
        <v>0</v>
      </c>
      <c r="L814" s="74">
        <v>0</v>
      </c>
      <c r="M814" s="74">
        <v>0</v>
      </c>
      <c r="N814" s="75">
        <f t="shared" si="196"/>
        <v>0</v>
      </c>
      <c r="O814" s="73">
        <f t="shared" si="203"/>
        <v>0</v>
      </c>
      <c r="P814" s="73">
        <f t="shared" si="197"/>
        <v>0</v>
      </c>
      <c r="Q814" s="76">
        <f t="shared" si="201"/>
        <v>0</v>
      </c>
      <c r="R814" s="30">
        <f>COUNTIF(RAW_DATA[[#This Row],[CONVERTED]],"&gt;0")</f>
        <v>0</v>
      </c>
      <c r="S814" s="30">
        <f>COUNTIFS(RAW_DATA[[#This Row],[AM/PM]],"AM",RAW_DATA[[#This Row],[CONVERTED]],"&gt;0")</f>
        <v>0</v>
      </c>
      <c r="T814" s="19">
        <f t="shared" si="202"/>
        <v>0</v>
      </c>
      <c r="U814" s="20" t="str">
        <f t="shared" si="205"/>
        <v>SINGLE</v>
      </c>
    </row>
    <row r="815" spans="1:21" x14ac:dyDescent="0.35">
      <c r="A815" s="70">
        <f t="shared" si="193"/>
        <v>45497</v>
      </c>
      <c r="B815" s="71" t="str">
        <f t="shared" si="194"/>
        <v>PM</v>
      </c>
      <c r="C815" s="72" t="str">
        <f t="shared" si="195"/>
        <v>July</v>
      </c>
      <c r="D815" s="13" t="str">
        <f t="shared" si="198"/>
        <v>WED</v>
      </c>
      <c r="E815" s="73">
        <v>912.5</v>
      </c>
      <c r="F815" s="73">
        <v>148.66</v>
      </c>
      <c r="G815" s="73">
        <v>35</v>
      </c>
      <c r="H815" s="73">
        <f t="shared" si="204"/>
        <v>36.5</v>
      </c>
      <c r="I815" s="73">
        <f t="shared" si="199"/>
        <v>2.4974879999999997</v>
      </c>
      <c r="J815" s="73">
        <v>0</v>
      </c>
      <c r="K815" s="73">
        <f t="shared" si="200"/>
        <v>109.66251199999999</v>
      </c>
      <c r="L815" s="74">
        <v>6</v>
      </c>
      <c r="M815" s="74">
        <v>3</v>
      </c>
      <c r="N815" s="75">
        <f t="shared" si="196"/>
        <v>6.05</v>
      </c>
      <c r="O815" s="73">
        <f t="shared" si="203"/>
        <v>12.8865</v>
      </c>
      <c r="P815" s="73">
        <f t="shared" si="197"/>
        <v>122.54901199999999</v>
      </c>
      <c r="Q815" s="76">
        <f t="shared" si="201"/>
        <v>157.549012</v>
      </c>
      <c r="R815" s="30">
        <f>COUNTIF(RAW_DATA[[#This Row],[CONVERTED]],"&gt;0")</f>
        <v>1</v>
      </c>
      <c r="S815" s="30">
        <f>COUNTIFS(RAW_DATA[[#This Row],[AM/PM]],"AM",RAW_DATA[[#This Row],[CONVERTED]],"&gt;0")</f>
        <v>0</v>
      </c>
      <c r="T815" s="19">
        <f t="shared" si="202"/>
        <v>0</v>
      </c>
      <c r="U815" s="20" t="str">
        <f t="shared" si="205"/>
        <v>SINGLE</v>
      </c>
    </row>
    <row r="816" spans="1:21" x14ac:dyDescent="0.35">
      <c r="A816" s="70">
        <f t="shared" si="193"/>
        <v>45498</v>
      </c>
      <c r="B816" s="71" t="str">
        <f t="shared" si="194"/>
        <v>AM</v>
      </c>
      <c r="C816" s="72" t="str">
        <f t="shared" si="195"/>
        <v>July</v>
      </c>
      <c r="D816" s="13" t="str">
        <f t="shared" si="198"/>
        <v>THU</v>
      </c>
      <c r="E816" s="73">
        <v>0</v>
      </c>
      <c r="F816" s="73">
        <v>0</v>
      </c>
      <c r="G816" s="73">
        <v>0</v>
      </c>
      <c r="H816" s="73">
        <f t="shared" si="204"/>
        <v>0</v>
      </c>
      <c r="I816" s="73">
        <f t="shared" si="199"/>
        <v>0</v>
      </c>
      <c r="J816" s="73">
        <v>0</v>
      </c>
      <c r="K816" s="73">
        <f t="shared" si="200"/>
        <v>0</v>
      </c>
      <c r="L816" s="74">
        <v>0</v>
      </c>
      <c r="M816" s="74">
        <v>0</v>
      </c>
      <c r="N816" s="75">
        <f t="shared" si="196"/>
        <v>0</v>
      </c>
      <c r="O816" s="73">
        <f t="shared" si="203"/>
        <v>0</v>
      </c>
      <c r="P816" s="73">
        <f t="shared" si="197"/>
        <v>0</v>
      </c>
      <c r="Q816" s="76">
        <f t="shared" si="201"/>
        <v>0</v>
      </c>
      <c r="R816" s="30">
        <f>COUNTIF(RAW_DATA[[#This Row],[CONVERTED]],"&gt;0")</f>
        <v>0</v>
      </c>
      <c r="S816" s="30">
        <f>COUNTIFS(RAW_DATA[[#This Row],[AM/PM]],"AM",RAW_DATA[[#This Row],[CONVERTED]],"&gt;0")</f>
        <v>0</v>
      </c>
      <c r="T816" s="19"/>
      <c r="U816" s="20" t="str">
        <f t="shared" si="205"/>
        <v>SINGLE</v>
      </c>
    </row>
    <row r="817" spans="1:21" x14ac:dyDescent="0.35">
      <c r="A817" s="70">
        <f t="shared" si="193"/>
        <v>45498</v>
      </c>
      <c r="B817" s="71" t="str">
        <f t="shared" si="194"/>
        <v>PM</v>
      </c>
      <c r="C817" s="72" t="str">
        <f t="shared" si="195"/>
        <v>July</v>
      </c>
      <c r="D817" s="13" t="str">
        <f t="shared" si="198"/>
        <v>THU</v>
      </c>
      <c r="E817" s="73">
        <v>1114</v>
      </c>
      <c r="F817" s="73">
        <v>167.19</v>
      </c>
      <c r="G817" s="73">
        <v>61</v>
      </c>
      <c r="H817" s="73">
        <f t="shared" si="204"/>
        <v>44.56</v>
      </c>
      <c r="I817" s="73">
        <f t="shared" si="199"/>
        <v>2.808792</v>
      </c>
      <c r="J817" s="73">
        <v>10.56</v>
      </c>
      <c r="K817" s="73">
        <f t="shared" si="200"/>
        <v>119.821208</v>
      </c>
      <c r="L817" s="74">
        <v>5</v>
      </c>
      <c r="M817" s="74">
        <v>40</v>
      </c>
      <c r="N817" s="75">
        <f t="shared" si="196"/>
        <v>5.666666666666667</v>
      </c>
      <c r="O817" s="73">
        <f t="shared" si="203"/>
        <v>12.07</v>
      </c>
      <c r="P817" s="73">
        <f t="shared" si="197"/>
        <v>142.45120799999998</v>
      </c>
      <c r="Q817" s="76">
        <f t="shared" si="201"/>
        <v>192.89120800000001</v>
      </c>
      <c r="R817" s="30">
        <f>COUNTIF(RAW_DATA[[#This Row],[CONVERTED]],"&gt;0")</f>
        <v>1</v>
      </c>
      <c r="S817" s="30">
        <f>COUNTIFS(RAW_DATA[[#This Row],[AM/PM]],"AM",RAW_DATA[[#This Row],[CONVERTED]],"&gt;0")</f>
        <v>0</v>
      </c>
      <c r="T817" s="19"/>
      <c r="U817" s="20" t="str">
        <f t="shared" si="205"/>
        <v>SINGLE</v>
      </c>
    </row>
    <row r="818" spans="1:21" x14ac:dyDescent="0.35">
      <c r="A818" s="70">
        <f t="shared" si="193"/>
        <v>45499</v>
      </c>
      <c r="B818" s="71" t="str">
        <f t="shared" si="194"/>
        <v>AM</v>
      </c>
      <c r="C818" s="72" t="str">
        <f t="shared" si="195"/>
        <v>July</v>
      </c>
      <c r="D818" s="13" t="str">
        <f t="shared" si="198"/>
        <v>FRI</v>
      </c>
      <c r="E818" s="73">
        <v>566.5</v>
      </c>
      <c r="F818" s="73">
        <v>118.59</v>
      </c>
      <c r="G818" s="73">
        <v>0</v>
      </c>
      <c r="H818" s="73">
        <f t="shared" si="204"/>
        <v>22.66</v>
      </c>
      <c r="I818" s="73">
        <f t="shared" si="199"/>
        <v>1.9923119999999999</v>
      </c>
      <c r="J818" s="73">
        <v>0</v>
      </c>
      <c r="K818" s="73">
        <f t="shared" si="200"/>
        <v>93.937688000000009</v>
      </c>
      <c r="L818" s="74">
        <v>3</v>
      </c>
      <c r="M818" s="74">
        <v>35</v>
      </c>
      <c r="N818" s="75">
        <f t="shared" si="196"/>
        <v>3.5833333333333335</v>
      </c>
      <c r="O818" s="73">
        <f t="shared" si="203"/>
        <v>7.6325000000000003</v>
      </c>
      <c r="P818" s="73">
        <f t="shared" si="197"/>
        <v>101.570188</v>
      </c>
      <c r="Q818" s="76">
        <f t="shared" si="201"/>
        <v>101.570188</v>
      </c>
      <c r="R818" s="30">
        <f>COUNTIF(RAW_DATA[[#This Row],[CONVERTED]],"&gt;0")</f>
        <v>1</v>
      </c>
      <c r="S818" s="30">
        <f>COUNTIFS(RAW_DATA[[#This Row],[AM/PM]],"AM",RAW_DATA[[#This Row],[CONVERTED]],"&gt;0")</f>
        <v>1</v>
      </c>
      <c r="T818" s="19"/>
      <c r="U818" s="20" t="str">
        <f t="shared" si="205"/>
        <v>SINGLE</v>
      </c>
    </row>
    <row r="819" spans="1:21" x14ac:dyDescent="0.35">
      <c r="A819" s="70">
        <f t="shared" si="193"/>
        <v>45499</v>
      </c>
      <c r="B819" s="71" t="str">
        <f t="shared" si="194"/>
        <v>PM</v>
      </c>
      <c r="C819" s="72" t="str">
        <f t="shared" si="195"/>
        <v>July</v>
      </c>
      <c r="D819" s="13" t="str">
        <f t="shared" si="198"/>
        <v>FRI</v>
      </c>
      <c r="E819" s="73">
        <v>0</v>
      </c>
      <c r="F819" s="73">
        <v>0</v>
      </c>
      <c r="G819" s="73">
        <v>0</v>
      </c>
      <c r="H819" s="73">
        <f t="shared" si="204"/>
        <v>0</v>
      </c>
      <c r="I819" s="73">
        <f t="shared" si="199"/>
        <v>0</v>
      </c>
      <c r="J819" s="73">
        <v>0</v>
      </c>
      <c r="K819" s="73">
        <f t="shared" si="200"/>
        <v>0</v>
      </c>
      <c r="L819" s="74">
        <v>0</v>
      </c>
      <c r="M819" s="74">
        <v>0</v>
      </c>
      <c r="N819" s="75">
        <f t="shared" si="196"/>
        <v>0</v>
      </c>
      <c r="O819" s="73">
        <f t="shared" si="203"/>
        <v>0</v>
      </c>
      <c r="P819" s="73">
        <f t="shared" si="197"/>
        <v>0</v>
      </c>
      <c r="Q819" s="76">
        <f t="shared" si="201"/>
        <v>0</v>
      </c>
      <c r="R819" s="30">
        <f>COUNTIF(RAW_DATA[[#This Row],[CONVERTED]],"&gt;0")</f>
        <v>0</v>
      </c>
      <c r="S819" s="30">
        <f>COUNTIFS(RAW_DATA[[#This Row],[AM/PM]],"AM",RAW_DATA[[#This Row],[CONVERTED]],"&gt;0")</f>
        <v>0</v>
      </c>
      <c r="T819" s="19">
        <f t="shared" si="202"/>
        <v>0</v>
      </c>
      <c r="U819" s="20" t="str">
        <f t="shared" si="205"/>
        <v>SINGLE</v>
      </c>
    </row>
    <row r="820" spans="1:21" x14ac:dyDescent="0.35">
      <c r="A820" s="70">
        <f t="shared" si="193"/>
        <v>45500</v>
      </c>
      <c r="B820" s="71" t="str">
        <f t="shared" si="194"/>
        <v>AM</v>
      </c>
      <c r="C820" s="72" t="str">
        <f t="shared" si="195"/>
        <v>July</v>
      </c>
      <c r="D820" s="13" t="str">
        <f t="shared" si="198"/>
        <v>SAT</v>
      </c>
      <c r="E820" s="73">
        <v>1021.5</v>
      </c>
      <c r="F820" s="73">
        <v>210.81</v>
      </c>
      <c r="G820" s="73">
        <v>0</v>
      </c>
      <c r="H820" s="73">
        <f t="shared" si="204"/>
        <v>40.86</v>
      </c>
      <c r="I820" s="73">
        <f t="shared" si="199"/>
        <v>3.5416079999999996</v>
      </c>
      <c r="J820" s="73">
        <v>0</v>
      </c>
      <c r="K820" s="73">
        <f t="shared" si="200"/>
        <v>166.40839199999999</v>
      </c>
      <c r="L820" s="74">
        <v>5</v>
      </c>
      <c r="M820" s="74">
        <v>21</v>
      </c>
      <c r="N820" s="75">
        <f t="shared" si="196"/>
        <v>5.35</v>
      </c>
      <c r="O820" s="73">
        <f t="shared" si="203"/>
        <v>11.395499999999998</v>
      </c>
      <c r="P820" s="73">
        <f t="shared" si="197"/>
        <v>177.80389199999999</v>
      </c>
      <c r="Q820" s="76">
        <f t="shared" si="201"/>
        <v>177.80389199999999</v>
      </c>
      <c r="R820" s="30">
        <f>COUNTIF(RAW_DATA[[#This Row],[CONVERTED]],"&gt;0")</f>
        <v>1</v>
      </c>
      <c r="S820" s="30">
        <f>COUNTIFS(RAW_DATA[[#This Row],[AM/PM]],"AM",RAW_DATA[[#This Row],[CONVERTED]],"&gt;0")</f>
        <v>1</v>
      </c>
      <c r="T820" s="19">
        <f t="shared" si="202"/>
        <v>0</v>
      </c>
      <c r="U820" s="20" t="str">
        <f t="shared" si="205"/>
        <v>DOUBLE</v>
      </c>
    </row>
    <row r="821" spans="1:21" x14ac:dyDescent="0.35">
      <c r="A821" s="70">
        <f t="shared" si="193"/>
        <v>45500</v>
      </c>
      <c r="B821" s="71" t="str">
        <f t="shared" si="194"/>
        <v>PM</v>
      </c>
      <c r="C821" s="72" t="str">
        <f t="shared" si="195"/>
        <v>July</v>
      </c>
      <c r="D821" s="13" t="str">
        <f t="shared" si="198"/>
        <v>SAT</v>
      </c>
      <c r="E821" s="73">
        <v>1059</v>
      </c>
      <c r="F821" s="73">
        <v>169.23</v>
      </c>
      <c r="G821" s="73">
        <v>30</v>
      </c>
      <c r="H821" s="73">
        <f t="shared" si="204"/>
        <v>42.36</v>
      </c>
      <c r="I821" s="73">
        <f t="shared" si="199"/>
        <v>2.8430639999999996</v>
      </c>
      <c r="J821" s="73">
        <v>15.92</v>
      </c>
      <c r="K821" s="73">
        <f t="shared" si="200"/>
        <v>124.02693599999999</v>
      </c>
      <c r="L821" s="74">
        <v>4</v>
      </c>
      <c r="M821" s="74">
        <v>2</v>
      </c>
      <c r="N821" s="75">
        <f t="shared" si="196"/>
        <v>4.0333333333333332</v>
      </c>
      <c r="O821" s="73">
        <f t="shared" si="203"/>
        <v>8.5909999999999993</v>
      </c>
      <c r="P821" s="73">
        <f t="shared" si="197"/>
        <v>148.537936</v>
      </c>
      <c r="Q821" s="76">
        <f t="shared" si="201"/>
        <v>162.61793599999999</v>
      </c>
      <c r="R821" s="30">
        <f>COUNTIF(RAW_DATA[[#This Row],[CONVERTED]],"&gt;0")</f>
        <v>1</v>
      </c>
      <c r="S821" s="30">
        <f>COUNTIFS(RAW_DATA[[#This Row],[AM/PM]],"AM",RAW_DATA[[#This Row],[CONVERTED]],"&gt;0")</f>
        <v>0</v>
      </c>
      <c r="T821" s="19">
        <f t="shared" si="202"/>
        <v>1</v>
      </c>
      <c r="U821" s="20" t="str">
        <f t="shared" si="205"/>
        <v>DOUBLE</v>
      </c>
    </row>
    <row r="822" spans="1:21" x14ac:dyDescent="0.35">
      <c r="A822" s="70">
        <f t="shared" si="193"/>
        <v>45501</v>
      </c>
      <c r="B822" s="71" t="str">
        <f t="shared" si="194"/>
        <v>AM</v>
      </c>
      <c r="C822" s="72" t="str">
        <f t="shared" si="195"/>
        <v>July</v>
      </c>
      <c r="D822" s="13" t="str">
        <f t="shared" si="198"/>
        <v>SUN</v>
      </c>
      <c r="E822" s="73">
        <v>662.5</v>
      </c>
      <c r="F822" s="73">
        <v>139.22</v>
      </c>
      <c r="G822" s="73">
        <v>27</v>
      </c>
      <c r="H822" s="73">
        <f t="shared" si="204"/>
        <v>26.5</v>
      </c>
      <c r="I822" s="73">
        <f t="shared" si="199"/>
        <v>2.3388959999999996</v>
      </c>
      <c r="J822" s="73">
        <v>4.6399999999999997</v>
      </c>
      <c r="K822" s="73">
        <f t="shared" si="200"/>
        <v>110.38110399999999</v>
      </c>
      <c r="L822" s="74">
        <v>4</v>
      </c>
      <c r="M822" s="74">
        <v>38</v>
      </c>
      <c r="N822" s="75">
        <f t="shared" si="196"/>
        <v>4.6333333333333337</v>
      </c>
      <c r="O822" s="73">
        <f t="shared" si="203"/>
        <v>9.8689999999999998</v>
      </c>
      <c r="P822" s="73">
        <f t="shared" si="197"/>
        <v>124.89010399999999</v>
      </c>
      <c r="Q822" s="76">
        <f t="shared" si="201"/>
        <v>147.25010399999999</v>
      </c>
      <c r="R822" s="30">
        <f>COUNTIF(RAW_DATA[[#This Row],[CONVERTED]],"&gt;0")</f>
        <v>1</v>
      </c>
      <c r="S822" s="30">
        <f>COUNTIFS(RAW_DATA[[#This Row],[AM/PM]],"AM",RAW_DATA[[#This Row],[CONVERTED]],"&gt;0")</f>
        <v>1</v>
      </c>
      <c r="T822" s="19">
        <f t="shared" si="202"/>
        <v>0</v>
      </c>
      <c r="U822" s="20" t="str">
        <f t="shared" si="205"/>
        <v>DOUBLE</v>
      </c>
    </row>
    <row r="823" spans="1:21" x14ac:dyDescent="0.35">
      <c r="A823" s="70">
        <f t="shared" si="193"/>
        <v>45501</v>
      </c>
      <c r="B823" s="71" t="str">
        <f t="shared" si="194"/>
        <v>PM</v>
      </c>
      <c r="C823" s="72" t="str">
        <f t="shared" si="195"/>
        <v>July</v>
      </c>
      <c r="D823" s="13" t="str">
        <f t="shared" si="198"/>
        <v>SUN</v>
      </c>
      <c r="E823" s="73">
        <v>825</v>
      </c>
      <c r="F823" s="73">
        <v>137.16999999999999</v>
      </c>
      <c r="G823" s="73">
        <v>7</v>
      </c>
      <c r="H823" s="73">
        <f t="shared" si="204"/>
        <v>33</v>
      </c>
      <c r="I823" s="73">
        <f t="shared" si="199"/>
        <v>2.3044559999999996</v>
      </c>
      <c r="J823" s="73">
        <v>5.32</v>
      </c>
      <c r="K823" s="73">
        <f t="shared" si="200"/>
        <v>101.86554399999999</v>
      </c>
      <c r="L823" s="74">
        <v>3</v>
      </c>
      <c r="M823" s="74">
        <v>39</v>
      </c>
      <c r="N823" s="75">
        <f t="shared" si="196"/>
        <v>3.65</v>
      </c>
      <c r="O823" s="73">
        <f t="shared" si="203"/>
        <v>7.7744999999999997</v>
      </c>
      <c r="P823" s="73">
        <f t="shared" si="197"/>
        <v>114.960044</v>
      </c>
      <c r="Q823" s="76">
        <f t="shared" si="201"/>
        <v>116.64004399999999</v>
      </c>
      <c r="R823" s="30">
        <f>COUNTIF(RAW_DATA[[#This Row],[CONVERTED]],"&gt;0")</f>
        <v>1</v>
      </c>
      <c r="S823" s="30">
        <f>COUNTIFS(RAW_DATA[[#This Row],[AM/PM]],"AM",RAW_DATA[[#This Row],[CONVERTED]],"&gt;0")</f>
        <v>0</v>
      </c>
      <c r="T823" s="19">
        <f t="shared" si="202"/>
        <v>1</v>
      </c>
      <c r="U823" s="20" t="str">
        <f t="shared" si="205"/>
        <v>DOUBLE</v>
      </c>
    </row>
    <row r="824" spans="1:21" x14ac:dyDescent="0.35">
      <c r="A824" s="70">
        <f t="shared" si="193"/>
        <v>45502</v>
      </c>
      <c r="B824" s="71" t="str">
        <f t="shared" si="194"/>
        <v>AM</v>
      </c>
      <c r="C824" s="72" t="str">
        <f t="shared" si="195"/>
        <v>July</v>
      </c>
      <c r="D824" s="13" t="str">
        <f t="shared" si="198"/>
        <v>MON</v>
      </c>
      <c r="E824" s="73">
        <v>0</v>
      </c>
      <c r="F824" s="73">
        <v>0</v>
      </c>
      <c r="G824" s="73">
        <v>0</v>
      </c>
      <c r="H824" s="73">
        <f t="shared" si="204"/>
        <v>0</v>
      </c>
      <c r="I824" s="73">
        <f t="shared" si="199"/>
        <v>0</v>
      </c>
      <c r="J824" s="73">
        <v>0</v>
      </c>
      <c r="K824" s="73">
        <f t="shared" si="200"/>
        <v>0</v>
      </c>
      <c r="L824" s="74">
        <v>0</v>
      </c>
      <c r="M824" s="74">
        <v>0</v>
      </c>
      <c r="N824" s="75">
        <f t="shared" si="196"/>
        <v>0</v>
      </c>
      <c r="O824" s="73">
        <f t="shared" si="203"/>
        <v>0</v>
      </c>
      <c r="P824" s="73">
        <f t="shared" si="197"/>
        <v>0</v>
      </c>
      <c r="Q824" s="76">
        <f t="shared" si="201"/>
        <v>0</v>
      </c>
      <c r="R824" s="30">
        <f>COUNTIF(RAW_DATA[[#This Row],[CONVERTED]],"&gt;0")</f>
        <v>0</v>
      </c>
      <c r="S824" s="30">
        <f>COUNTIFS(RAW_DATA[[#This Row],[AM/PM]],"AM",RAW_DATA[[#This Row],[CONVERTED]],"&gt;0")</f>
        <v>0</v>
      </c>
      <c r="T824" s="19"/>
      <c r="U824" s="20" t="str">
        <f t="shared" si="205"/>
        <v>SINGLE</v>
      </c>
    </row>
    <row r="825" spans="1:21" x14ac:dyDescent="0.35">
      <c r="A825" s="70">
        <f t="shared" si="193"/>
        <v>45502</v>
      </c>
      <c r="B825" s="71" t="str">
        <f t="shared" si="194"/>
        <v>PM</v>
      </c>
      <c r="C825" s="72" t="str">
        <f t="shared" si="195"/>
        <v>July</v>
      </c>
      <c r="D825" s="13" t="str">
        <f t="shared" si="198"/>
        <v>MON</v>
      </c>
      <c r="E825" s="73">
        <v>0</v>
      </c>
      <c r="F825" s="73">
        <v>0</v>
      </c>
      <c r="G825" s="73">
        <v>0</v>
      </c>
      <c r="H825" s="73">
        <f t="shared" si="204"/>
        <v>0</v>
      </c>
      <c r="I825" s="73">
        <f t="shared" si="199"/>
        <v>0</v>
      </c>
      <c r="J825" s="73">
        <v>0</v>
      </c>
      <c r="K825" s="73">
        <f t="shared" si="200"/>
        <v>0</v>
      </c>
      <c r="L825" s="74">
        <v>0</v>
      </c>
      <c r="M825" s="74">
        <v>0</v>
      </c>
      <c r="N825" s="75">
        <f t="shared" si="196"/>
        <v>0</v>
      </c>
      <c r="O825" s="73">
        <f t="shared" si="203"/>
        <v>0</v>
      </c>
      <c r="P825" s="73">
        <f t="shared" si="197"/>
        <v>0</v>
      </c>
      <c r="Q825" s="76">
        <f t="shared" si="201"/>
        <v>0</v>
      </c>
      <c r="R825" s="30">
        <f>COUNTIF(RAW_DATA[[#This Row],[CONVERTED]],"&gt;0")</f>
        <v>0</v>
      </c>
      <c r="S825" s="30">
        <f>COUNTIFS(RAW_DATA[[#This Row],[AM/PM]],"AM",RAW_DATA[[#This Row],[CONVERTED]],"&gt;0")</f>
        <v>0</v>
      </c>
      <c r="T825" s="19"/>
      <c r="U825" s="20" t="str">
        <f t="shared" si="205"/>
        <v>SINGLE</v>
      </c>
    </row>
    <row r="826" spans="1:21" x14ac:dyDescent="0.35">
      <c r="A826" s="70">
        <f t="shared" si="193"/>
        <v>45503</v>
      </c>
      <c r="B826" s="71" t="str">
        <f t="shared" si="194"/>
        <v>AM</v>
      </c>
      <c r="C826" s="72" t="str">
        <f t="shared" si="195"/>
        <v>July</v>
      </c>
      <c r="D826" s="13" t="str">
        <f t="shared" si="198"/>
        <v>TUE</v>
      </c>
      <c r="E826" s="73">
        <v>0</v>
      </c>
      <c r="F826" s="73">
        <v>0</v>
      </c>
      <c r="G826" s="73">
        <v>0</v>
      </c>
      <c r="H826" s="73">
        <f t="shared" si="204"/>
        <v>0</v>
      </c>
      <c r="I826" s="73">
        <f t="shared" si="199"/>
        <v>0</v>
      </c>
      <c r="J826" s="73">
        <v>0</v>
      </c>
      <c r="K826" s="73">
        <f t="shared" si="200"/>
        <v>0</v>
      </c>
      <c r="L826" s="74">
        <v>0</v>
      </c>
      <c r="M826" s="74">
        <v>0</v>
      </c>
      <c r="N826" s="75">
        <f t="shared" si="196"/>
        <v>0</v>
      </c>
      <c r="O826" s="73">
        <f t="shared" si="203"/>
        <v>0</v>
      </c>
      <c r="P826" s="73">
        <f t="shared" si="197"/>
        <v>0</v>
      </c>
      <c r="Q826" s="76">
        <f t="shared" si="201"/>
        <v>0</v>
      </c>
      <c r="R826" s="30">
        <f>COUNTIF(RAW_DATA[[#This Row],[CONVERTED]],"&gt;0")</f>
        <v>0</v>
      </c>
      <c r="S826" s="30">
        <f>COUNTIFS(RAW_DATA[[#This Row],[AM/PM]],"AM",RAW_DATA[[#This Row],[CONVERTED]],"&gt;0")</f>
        <v>0</v>
      </c>
      <c r="T826" s="19"/>
      <c r="U826" s="20" t="str">
        <f t="shared" si="205"/>
        <v>SINGLE</v>
      </c>
    </row>
    <row r="827" spans="1:21" x14ac:dyDescent="0.35">
      <c r="A827" s="70">
        <f t="shared" si="193"/>
        <v>45503</v>
      </c>
      <c r="B827" s="71" t="str">
        <f t="shared" si="194"/>
        <v>PM</v>
      </c>
      <c r="C827" s="72" t="str">
        <f t="shared" si="195"/>
        <v>July</v>
      </c>
      <c r="D827" s="13" t="str">
        <f t="shared" si="198"/>
        <v>TUE</v>
      </c>
      <c r="E827" s="73">
        <v>0</v>
      </c>
      <c r="F827" s="73">
        <v>0</v>
      </c>
      <c r="G827" s="73">
        <v>0</v>
      </c>
      <c r="H827" s="73">
        <f t="shared" si="204"/>
        <v>0</v>
      </c>
      <c r="I827" s="73">
        <f t="shared" si="199"/>
        <v>0</v>
      </c>
      <c r="J827" s="73">
        <v>0</v>
      </c>
      <c r="K827" s="73">
        <f t="shared" si="200"/>
        <v>0</v>
      </c>
      <c r="L827" s="74">
        <v>0</v>
      </c>
      <c r="M827" s="74">
        <v>0</v>
      </c>
      <c r="N827" s="75">
        <f t="shared" si="196"/>
        <v>0</v>
      </c>
      <c r="O827" s="73">
        <f t="shared" si="203"/>
        <v>0</v>
      </c>
      <c r="P827" s="73">
        <f t="shared" si="197"/>
        <v>0</v>
      </c>
      <c r="Q827" s="76">
        <f t="shared" si="201"/>
        <v>0</v>
      </c>
      <c r="R827" s="30">
        <f>COUNTIF(RAW_DATA[[#This Row],[CONVERTED]],"&gt;0")</f>
        <v>0</v>
      </c>
      <c r="S827" s="30">
        <f>COUNTIFS(RAW_DATA[[#This Row],[AM/PM]],"AM",RAW_DATA[[#This Row],[CONVERTED]],"&gt;0")</f>
        <v>0</v>
      </c>
      <c r="T827" s="19">
        <f t="shared" si="202"/>
        <v>0</v>
      </c>
      <c r="U827" s="20" t="str">
        <f t="shared" si="205"/>
        <v>SINGLE</v>
      </c>
    </row>
    <row r="828" spans="1:21" x14ac:dyDescent="0.35">
      <c r="A828" s="70">
        <f t="shared" si="193"/>
        <v>45504</v>
      </c>
      <c r="B828" s="71" t="str">
        <f t="shared" si="194"/>
        <v>AM</v>
      </c>
      <c r="C828" s="72" t="str">
        <f t="shared" si="195"/>
        <v>July</v>
      </c>
      <c r="D828" s="13" t="str">
        <f t="shared" si="198"/>
        <v>WED</v>
      </c>
      <c r="E828" s="73">
        <v>0</v>
      </c>
      <c r="F828" s="73">
        <v>0</v>
      </c>
      <c r="G828" s="73">
        <v>0</v>
      </c>
      <c r="H828" s="73">
        <f t="shared" si="204"/>
        <v>0</v>
      </c>
      <c r="I828" s="73">
        <f t="shared" si="199"/>
        <v>0</v>
      </c>
      <c r="J828" s="73">
        <v>0</v>
      </c>
      <c r="K828" s="73">
        <f t="shared" si="200"/>
        <v>0</v>
      </c>
      <c r="L828" s="74">
        <v>0</v>
      </c>
      <c r="M828" s="74">
        <v>0</v>
      </c>
      <c r="N828" s="75">
        <f t="shared" si="196"/>
        <v>0</v>
      </c>
      <c r="O828" s="73">
        <f t="shared" si="203"/>
        <v>0</v>
      </c>
      <c r="P828" s="73">
        <f t="shared" si="197"/>
        <v>0</v>
      </c>
      <c r="Q828" s="76">
        <f t="shared" si="201"/>
        <v>0</v>
      </c>
      <c r="R828" s="30">
        <f>COUNTIF(RAW_DATA[[#This Row],[CONVERTED]],"&gt;0")</f>
        <v>0</v>
      </c>
      <c r="S828" s="30">
        <f>COUNTIFS(RAW_DATA[[#This Row],[AM/PM]],"AM",RAW_DATA[[#This Row],[CONVERTED]],"&gt;0")</f>
        <v>0</v>
      </c>
      <c r="T828" s="19">
        <f t="shared" si="202"/>
        <v>0</v>
      </c>
      <c r="U828" s="20" t="str">
        <f t="shared" si="205"/>
        <v>SINGLE</v>
      </c>
    </row>
    <row r="829" spans="1:21" x14ac:dyDescent="0.35">
      <c r="A829" s="70">
        <f t="shared" si="193"/>
        <v>45504</v>
      </c>
      <c r="B829" s="71" t="str">
        <f t="shared" si="194"/>
        <v>PM</v>
      </c>
      <c r="C829" s="72" t="str">
        <f t="shared" si="195"/>
        <v>July</v>
      </c>
      <c r="D829" s="13" t="str">
        <f t="shared" si="198"/>
        <v>WED</v>
      </c>
      <c r="E829" s="73">
        <v>944</v>
      </c>
      <c r="F829" s="73">
        <v>175.08</v>
      </c>
      <c r="G829" s="73">
        <v>12</v>
      </c>
      <c r="H829" s="73">
        <f t="shared" si="204"/>
        <v>37.76</v>
      </c>
      <c r="I829" s="73">
        <f t="shared" si="199"/>
        <v>2.941344</v>
      </c>
      <c r="J829" s="73">
        <v>5.36</v>
      </c>
      <c r="K829" s="73">
        <f t="shared" si="200"/>
        <v>134.37865600000001</v>
      </c>
      <c r="L829" s="74">
        <v>5</v>
      </c>
      <c r="M829" s="74">
        <v>11</v>
      </c>
      <c r="N829" s="75">
        <f t="shared" si="196"/>
        <v>5.1833333333333336</v>
      </c>
      <c r="O829" s="73">
        <f t="shared" si="203"/>
        <v>11.0405</v>
      </c>
      <c r="P829" s="73">
        <f t="shared" si="197"/>
        <v>150.77915600000003</v>
      </c>
      <c r="Q829" s="76">
        <f t="shared" si="201"/>
        <v>157.41915600000002</v>
      </c>
      <c r="R829" s="30">
        <f>COUNTIF(RAW_DATA[[#This Row],[CONVERTED]],"&gt;0")</f>
        <v>1</v>
      </c>
      <c r="S829" s="30">
        <f>COUNTIFS(RAW_DATA[[#This Row],[AM/PM]],"AM",RAW_DATA[[#This Row],[CONVERTED]],"&gt;0")</f>
        <v>0</v>
      </c>
      <c r="T829" s="19">
        <f t="shared" si="202"/>
        <v>0</v>
      </c>
      <c r="U829" s="20" t="str">
        <f t="shared" si="205"/>
        <v>SINGLE</v>
      </c>
    </row>
    <row r="830" spans="1:21" x14ac:dyDescent="0.35">
      <c r="A830" s="70">
        <f t="shared" si="193"/>
        <v>45505</v>
      </c>
      <c r="B830" s="71" t="str">
        <f t="shared" si="194"/>
        <v>AM</v>
      </c>
      <c r="C830" s="72" t="str">
        <f t="shared" si="195"/>
        <v>August</v>
      </c>
      <c r="D830" s="13" t="str">
        <f t="shared" si="198"/>
        <v>THU</v>
      </c>
      <c r="E830" s="73">
        <v>0</v>
      </c>
      <c r="F830" s="73">
        <v>0</v>
      </c>
      <c r="G830" s="73">
        <v>0</v>
      </c>
      <c r="H830" s="73">
        <f t="shared" si="204"/>
        <v>0</v>
      </c>
      <c r="I830" s="73">
        <f t="shared" si="199"/>
        <v>0</v>
      </c>
      <c r="J830" s="73">
        <v>0</v>
      </c>
      <c r="K830" s="73">
        <f t="shared" si="200"/>
        <v>0</v>
      </c>
      <c r="L830" s="74">
        <v>0</v>
      </c>
      <c r="M830" s="74">
        <v>0</v>
      </c>
      <c r="N830" s="75">
        <f t="shared" si="196"/>
        <v>0</v>
      </c>
      <c r="O830" s="73">
        <f t="shared" si="203"/>
        <v>0</v>
      </c>
      <c r="P830" s="73">
        <f t="shared" si="197"/>
        <v>0</v>
      </c>
      <c r="Q830" s="76">
        <f t="shared" si="201"/>
        <v>0</v>
      </c>
      <c r="R830" s="30">
        <f>COUNTIF(RAW_DATA[[#This Row],[CONVERTED]],"&gt;0")</f>
        <v>0</v>
      </c>
      <c r="S830" s="30">
        <f>COUNTIFS(RAW_DATA[[#This Row],[AM/PM]],"AM",RAW_DATA[[#This Row],[CONVERTED]],"&gt;0")</f>
        <v>0</v>
      </c>
      <c r="T830" s="19">
        <f t="shared" si="202"/>
        <v>0</v>
      </c>
      <c r="U830" s="20" t="str">
        <f t="shared" si="205"/>
        <v>SINGLE</v>
      </c>
    </row>
    <row r="831" spans="1:21" x14ac:dyDescent="0.35">
      <c r="A831" s="70">
        <f t="shared" si="193"/>
        <v>45505</v>
      </c>
      <c r="B831" s="71" t="str">
        <f t="shared" si="194"/>
        <v>PM</v>
      </c>
      <c r="C831" s="72" t="str">
        <f t="shared" si="195"/>
        <v>August</v>
      </c>
      <c r="D831" s="13" t="str">
        <f t="shared" si="198"/>
        <v>THU</v>
      </c>
      <c r="E831" s="73">
        <v>1088.5</v>
      </c>
      <c r="F831" s="73">
        <v>219.85</v>
      </c>
      <c r="G831" s="73">
        <v>30</v>
      </c>
      <c r="H831" s="73">
        <f t="shared" si="204"/>
        <v>43.54</v>
      </c>
      <c r="I831" s="73">
        <f t="shared" si="199"/>
        <v>3.6934799999999997</v>
      </c>
      <c r="J831" s="73">
        <v>11.08</v>
      </c>
      <c r="K831" s="73">
        <f t="shared" si="200"/>
        <v>172.61651999999998</v>
      </c>
      <c r="L831" s="74">
        <v>4</v>
      </c>
      <c r="M831" s="74">
        <v>52</v>
      </c>
      <c r="N831" s="75">
        <f t="shared" si="196"/>
        <v>4.8666666666666663</v>
      </c>
      <c r="O831" s="73">
        <f t="shared" si="203"/>
        <v>10.365999999999998</v>
      </c>
      <c r="P831" s="73">
        <f t="shared" si="197"/>
        <v>194.06251999999998</v>
      </c>
      <c r="Q831" s="76">
        <f t="shared" si="201"/>
        <v>212.98251999999997</v>
      </c>
      <c r="R831" s="30">
        <f>COUNTIF(RAW_DATA[[#This Row],[CONVERTED]],"&gt;0")</f>
        <v>1</v>
      </c>
      <c r="S831" s="30">
        <f>COUNTIFS(RAW_DATA[[#This Row],[AM/PM]],"AM",RAW_DATA[[#This Row],[CONVERTED]],"&gt;0")</f>
        <v>0</v>
      </c>
      <c r="T831" s="19">
        <f t="shared" si="202"/>
        <v>0</v>
      </c>
      <c r="U831" s="20" t="str">
        <f t="shared" si="205"/>
        <v>SINGLE</v>
      </c>
    </row>
    <row r="832" spans="1:21" x14ac:dyDescent="0.35">
      <c r="A832" s="70">
        <f t="shared" ref="A832:A883" si="206">IF(B831 = "AM",A831,A831+1)</f>
        <v>45506</v>
      </c>
      <c r="B832" s="71" t="str">
        <f t="shared" ref="B832:B883" si="207">IF(B831="AM","PM","AM")</f>
        <v>AM</v>
      </c>
      <c r="C832" s="72" t="str">
        <f t="shared" ref="C832:C883" si="208">TEXT(A832,"mmmm")</f>
        <v>August</v>
      </c>
      <c r="D832" s="13" t="str">
        <f t="shared" si="198"/>
        <v>FRI</v>
      </c>
      <c r="E832" s="73">
        <v>0</v>
      </c>
      <c r="F832" s="73">
        <v>0</v>
      </c>
      <c r="G832" s="73">
        <v>0</v>
      </c>
      <c r="H832" s="73">
        <f t="shared" si="204"/>
        <v>0</v>
      </c>
      <c r="I832" s="73">
        <f t="shared" si="199"/>
        <v>0</v>
      </c>
      <c r="J832" s="73">
        <v>0</v>
      </c>
      <c r="K832" s="73">
        <f t="shared" si="200"/>
        <v>0</v>
      </c>
      <c r="L832" s="74">
        <v>0</v>
      </c>
      <c r="M832" s="74">
        <v>0</v>
      </c>
      <c r="N832" s="75">
        <f t="shared" ref="N832:N883" si="209">((L832*60)+M832)/60</f>
        <v>0</v>
      </c>
      <c r="O832" s="73">
        <f t="shared" si="203"/>
        <v>0</v>
      </c>
      <c r="P832" s="73">
        <f t="shared" ref="P832:P883" si="210">K832+J832+O832</f>
        <v>0</v>
      </c>
      <c r="Q832" s="76">
        <f t="shared" si="201"/>
        <v>0</v>
      </c>
      <c r="R832" s="30">
        <f>COUNTIF(RAW_DATA[[#This Row],[CONVERTED]],"&gt;0")</f>
        <v>0</v>
      </c>
      <c r="S832" s="30">
        <f>COUNTIFS(RAW_DATA[[#This Row],[AM/PM]],"AM",RAW_DATA[[#This Row],[CONVERTED]],"&gt;0")</f>
        <v>0</v>
      </c>
      <c r="T832" s="19"/>
      <c r="U832" s="20" t="str">
        <f t="shared" si="205"/>
        <v>SINGLE</v>
      </c>
    </row>
    <row r="833" spans="1:21" x14ac:dyDescent="0.35">
      <c r="A833" s="70">
        <f t="shared" si="206"/>
        <v>45506</v>
      </c>
      <c r="B833" s="71" t="str">
        <f t="shared" si="207"/>
        <v>PM</v>
      </c>
      <c r="C833" s="72" t="str">
        <f t="shared" si="208"/>
        <v>August</v>
      </c>
      <c r="D833" s="13" t="str">
        <f t="shared" si="198"/>
        <v>FRI</v>
      </c>
      <c r="E833" s="73">
        <v>0</v>
      </c>
      <c r="F833" s="73">
        <v>0</v>
      </c>
      <c r="G833" s="73">
        <v>0</v>
      </c>
      <c r="H833" s="73">
        <f t="shared" si="204"/>
        <v>0</v>
      </c>
      <c r="I833" s="73">
        <f t="shared" si="199"/>
        <v>0</v>
      </c>
      <c r="J833" s="73">
        <v>0</v>
      </c>
      <c r="K833" s="73">
        <f t="shared" si="200"/>
        <v>0</v>
      </c>
      <c r="L833" s="74">
        <v>0</v>
      </c>
      <c r="M833" s="74">
        <v>0</v>
      </c>
      <c r="N833" s="75">
        <f t="shared" si="209"/>
        <v>0</v>
      </c>
      <c r="O833" s="73">
        <f t="shared" si="203"/>
        <v>0</v>
      </c>
      <c r="P833" s="73">
        <f t="shared" si="210"/>
        <v>0</v>
      </c>
      <c r="Q833" s="76">
        <f t="shared" si="201"/>
        <v>0</v>
      </c>
      <c r="R833" s="30">
        <f>COUNTIF(RAW_DATA[[#This Row],[CONVERTED]],"&gt;0")</f>
        <v>0</v>
      </c>
      <c r="S833" s="30">
        <f>COUNTIFS(RAW_DATA[[#This Row],[AM/PM]],"AM",RAW_DATA[[#This Row],[CONVERTED]],"&gt;0")</f>
        <v>0</v>
      </c>
      <c r="T833" s="19"/>
      <c r="U833" s="20" t="str">
        <f t="shared" si="205"/>
        <v>SINGLE</v>
      </c>
    </row>
    <row r="834" spans="1:21" x14ac:dyDescent="0.35">
      <c r="A834" s="70">
        <f t="shared" si="206"/>
        <v>45507</v>
      </c>
      <c r="B834" s="71" t="str">
        <f t="shared" si="207"/>
        <v>AM</v>
      </c>
      <c r="C834" s="72" t="str">
        <f t="shared" si="208"/>
        <v>August</v>
      </c>
      <c r="D834" s="13" t="str">
        <f t="shared" ref="D834:D883" si="211">CHOOSE(WEEKDAY(A834),"SUN","MON","TUE","WED","THU","FRI","SAT")</f>
        <v>SAT</v>
      </c>
      <c r="E834" s="73">
        <v>0</v>
      </c>
      <c r="F834" s="73">
        <v>0</v>
      </c>
      <c r="G834" s="73">
        <v>0</v>
      </c>
      <c r="H834" s="73">
        <f t="shared" si="204"/>
        <v>0</v>
      </c>
      <c r="I834" s="73">
        <f t="shared" ref="I834:I883" si="212">F834*0.0168</f>
        <v>0</v>
      </c>
      <c r="J834" s="73">
        <v>0</v>
      </c>
      <c r="K834" s="73">
        <f t="shared" ref="K834:K883" si="213">F834-(H834+I834)</f>
        <v>0</v>
      </c>
      <c r="L834" s="74">
        <v>0</v>
      </c>
      <c r="M834" s="74">
        <v>0</v>
      </c>
      <c r="N834" s="75">
        <f t="shared" si="209"/>
        <v>0</v>
      </c>
      <c r="O834" s="73">
        <f t="shared" si="203"/>
        <v>0</v>
      </c>
      <c r="P834" s="73">
        <f t="shared" si="210"/>
        <v>0</v>
      </c>
      <c r="Q834" s="76">
        <f t="shared" ref="Q834:Q883" si="214">G834+K834+O834</f>
        <v>0</v>
      </c>
      <c r="R834" s="30">
        <f>COUNTIF(RAW_DATA[[#This Row],[CONVERTED]],"&gt;0")</f>
        <v>0</v>
      </c>
      <c r="S834" s="30">
        <f>COUNTIFS(RAW_DATA[[#This Row],[AM/PM]],"AM",RAW_DATA[[#This Row],[CONVERTED]],"&gt;0")</f>
        <v>0</v>
      </c>
      <c r="T834" s="19"/>
      <c r="U834" s="20" t="str">
        <f t="shared" si="205"/>
        <v>SINGLE</v>
      </c>
    </row>
    <row r="835" spans="1:21" x14ac:dyDescent="0.35">
      <c r="A835" s="70">
        <f t="shared" si="206"/>
        <v>45507</v>
      </c>
      <c r="B835" s="71" t="str">
        <f t="shared" si="207"/>
        <v>PM</v>
      </c>
      <c r="C835" s="72" t="str">
        <f t="shared" si="208"/>
        <v>August</v>
      </c>
      <c r="D835" s="13" t="str">
        <f t="shared" si="211"/>
        <v>SAT</v>
      </c>
      <c r="E835" s="73">
        <v>0</v>
      </c>
      <c r="F835" s="73">
        <v>0</v>
      </c>
      <c r="G835" s="73">
        <v>0</v>
      </c>
      <c r="H835" s="73">
        <f t="shared" si="204"/>
        <v>0</v>
      </c>
      <c r="I835" s="73">
        <f t="shared" si="212"/>
        <v>0</v>
      </c>
      <c r="J835" s="73">
        <v>0</v>
      </c>
      <c r="K835" s="73">
        <f t="shared" si="213"/>
        <v>0</v>
      </c>
      <c r="L835" s="74">
        <v>0</v>
      </c>
      <c r="M835" s="74">
        <v>0</v>
      </c>
      <c r="N835" s="75">
        <f t="shared" si="209"/>
        <v>0</v>
      </c>
      <c r="O835" s="73">
        <f t="shared" si="203"/>
        <v>0</v>
      </c>
      <c r="P835" s="73">
        <f t="shared" si="210"/>
        <v>0</v>
      </c>
      <c r="Q835" s="76">
        <f t="shared" si="214"/>
        <v>0</v>
      </c>
      <c r="R835" s="30">
        <f>COUNTIF(RAW_DATA[[#This Row],[CONVERTED]],"&gt;0")</f>
        <v>0</v>
      </c>
      <c r="S835" s="30">
        <f>COUNTIFS(RAW_DATA[[#This Row],[AM/PM]],"AM",RAW_DATA[[#This Row],[CONVERTED]],"&gt;0")</f>
        <v>0</v>
      </c>
      <c r="T835" s="19">
        <f t="shared" ref="T835:T883" si="215">IF(AND($S834=1,$N835&gt;0),1,0)</f>
        <v>0</v>
      </c>
      <c r="U835" s="20" t="str">
        <f t="shared" si="205"/>
        <v>SINGLE</v>
      </c>
    </row>
    <row r="836" spans="1:21" x14ac:dyDescent="0.35">
      <c r="A836" s="70">
        <f t="shared" si="206"/>
        <v>45508</v>
      </c>
      <c r="B836" s="71" t="str">
        <f t="shared" si="207"/>
        <v>AM</v>
      </c>
      <c r="C836" s="72" t="str">
        <f t="shared" si="208"/>
        <v>August</v>
      </c>
      <c r="D836" s="13" t="str">
        <f t="shared" si="211"/>
        <v>SUN</v>
      </c>
      <c r="E836" s="73">
        <v>766</v>
      </c>
      <c r="F836" s="73">
        <v>141.11000000000001</v>
      </c>
      <c r="G836" s="73">
        <v>0</v>
      </c>
      <c r="H836" s="73">
        <f t="shared" si="204"/>
        <v>30.64</v>
      </c>
      <c r="I836" s="73">
        <f t="shared" si="212"/>
        <v>2.3706480000000001</v>
      </c>
      <c r="J836" s="73">
        <v>0</v>
      </c>
      <c r="K836" s="73">
        <f t="shared" si="213"/>
        <v>108.09935200000001</v>
      </c>
      <c r="L836" s="74">
        <v>5</v>
      </c>
      <c r="M836" s="74">
        <v>8</v>
      </c>
      <c r="N836" s="75">
        <f t="shared" si="209"/>
        <v>5.1333333333333337</v>
      </c>
      <c r="O836" s="73">
        <f t="shared" si="203"/>
        <v>10.934000000000001</v>
      </c>
      <c r="P836" s="73">
        <f t="shared" si="210"/>
        <v>119.03335200000001</v>
      </c>
      <c r="Q836" s="76">
        <f t="shared" si="214"/>
        <v>119.03335200000001</v>
      </c>
      <c r="R836" s="30">
        <f>COUNTIF(RAW_DATA[[#This Row],[CONVERTED]],"&gt;0")</f>
        <v>1</v>
      </c>
      <c r="S836" s="30">
        <f>COUNTIFS(RAW_DATA[[#This Row],[AM/PM]],"AM",RAW_DATA[[#This Row],[CONVERTED]],"&gt;0")</f>
        <v>1</v>
      </c>
      <c r="T836" s="19">
        <f t="shared" si="215"/>
        <v>0</v>
      </c>
      <c r="U836" s="20" t="str">
        <f t="shared" si="205"/>
        <v>DOUBLE</v>
      </c>
    </row>
    <row r="837" spans="1:21" x14ac:dyDescent="0.35">
      <c r="A837" s="70">
        <f t="shared" si="206"/>
        <v>45508</v>
      </c>
      <c r="B837" s="71" t="str">
        <f t="shared" si="207"/>
        <v>PM</v>
      </c>
      <c r="C837" s="72" t="str">
        <f t="shared" si="208"/>
        <v>August</v>
      </c>
      <c r="D837" s="13" t="str">
        <f t="shared" si="211"/>
        <v>SUN</v>
      </c>
      <c r="E837" s="73">
        <v>1008.5</v>
      </c>
      <c r="F837" s="73">
        <v>184.47</v>
      </c>
      <c r="G837" s="73">
        <v>0</v>
      </c>
      <c r="H837" s="73">
        <f t="shared" si="204"/>
        <v>40.340000000000003</v>
      </c>
      <c r="I837" s="73">
        <f t="shared" si="212"/>
        <v>3.0990959999999999</v>
      </c>
      <c r="J837" s="73">
        <v>0</v>
      </c>
      <c r="K837" s="73">
        <f t="shared" si="213"/>
        <v>141.03090399999999</v>
      </c>
      <c r="L837" s="74">
        <v>4</v>
      </c>
      <c r="M837" s="74">
        <v>0</v>
      </c>
      <c r="N837" s="75">
        <f t="shared" si="209"/>
        <v>4</v>
      </c>
      <c r="O837" s="73">
        <f t="shared" si="203"/>
        <v>8.52</v>
      </c>
      <c r="P837" s="73">
        <f t="shared" si="210"/>
        <v>149.550904</v>
      </c>
      <c r="Q837" s="76">
        <f t="shared" si="214"/>
        <v>149.550904</v>
      </c>
      <c r="R837" s="30">
        <f>COUNTIF(RAW_DATA[[#This Row],[CONVERTED]],"&gt;0")</f>
        <v>1</v>
      </c>
      <c r="S837" s="30">
        <f>COUNTIFS(RAW_DATA[[#This Row],[AM/PM]],"AM",RAW_DATA[[#This Row],[CONVERTED]],"&gt;0")</f>
        <v>0</v>
      </c>
      <c r="T837" s="19">
        <f t="shared" si="215"/>
        <v>1</v>
      </c>
      <c r="U837" s="20" t="str">
        <f t="shared" si="205"/>
        <v>DOUBLE</v>
      </c>
    </row>
    <row r="838" spans="1:21" x14ac:dyDescent="0.35">
      <c r="A838" s="70">
        <f t="shared" si="206"/>
        <v>45509</v>
      </c>
      <c r="B838" s="71" t="str">
        <f t="shared" si="207"/>
        <v>AM</v>
      </c>
      <c r="C838" s="72" t="str">
        <f t="shared" si="208"/>
        <v>August</v>
      </c>
      <c r="D838" s="13" t="str">
        <f t="shared" si="211"/>
        <v>MON</v>
      </c>
      <c r="E838" s="73">
        <v>0</v>
      </c>
      <c r="F838" s="73">
        <v>0</v>
      </c>
      <c r="G838" s="73">
        <v>0</v>
      </c>
      <c r="H838" s="73">
        <f t="shared" si="204"/>
        <v>0</v>
      </c>
      <c r="I838" s="73">
        <f t="shared" si="212"/>
        <v>0</v>
      </c>
      <c r="J838" s="73">
        <v>0</v>
      </c>
      <c r="K838" s="73">
        <f t="shared" si="213"/>
        <v>0</v>
      </c>
      <c r="L838" s="74">
        <v>0</v>
      </c>
      <c r="M838" s="74">
        <v>0</v>
      </c>
      <c r="N838" s="75">
        <f t="shared" si="209"/>
        <v>0</v>
      </c>
      <c r="O838" s="73">
        <f t="shared" si="203"/>
        <v>0</v>
      </c>
      <c r="P838" s="73">
        <f t="shared" si="210"/>
        <v>0</v>
      </c>
      <c r="Q838" s="76">
        <f t="shared" si="214"/>
        <v>0</v>
      </c>
      <c r="R838" s="30">
        <f>COUNTIF(RAW_DATA[[#This Row],[CONVERTED]],"&gt;0")</f>
        <v>0</v>
      </c>
      <c r="S838" s="30">
        <f>COUNTIFS(RAW_DATA[[#This Row],[AM/PM]],"AM",RAW_DATA[[#This Row],[CONVERTED]],"&gt;0")</f>
        <v>0</v>
      </c>
      <c r="T838" s="19">
        <f t="shared" si="215"/>
        <v>0</v>
      </c>
      <c r="U838" s="20" t="str">
        <f t="shared" si="205"/>
        <v>SINGLE</v>
      </c>
    </row>
    <row r="839" spans="1:21" x14ac:dyDescent="0.35">
      <c r="A839" s="70">
        <f t="shared" si="206"/>
        <v>45509</v>
      </c>
      <c r="B839" s="71" t="str">
        <f t="shared" si="207"/>
        <v>PM</v>
      </c>
      <c r="C839" s="72" t="str">
        <f t="shared" si="208"/>
        <v>August</v>
      </c>
      <c r="D839" s="13" t="str">
        <f t="shared" si="211"/>
        <v>MON</v>
      </c>
      <c r="E839" s="73">
        <v>0</v>
      </c>
      <c r="F839" s="73">
        <v>0</v>
      </c>
      <c r="G839" s="73">
        <v>0</v>
      </c>
      <c r="H839" s="73">
        <f t="shared" si="204"/>
        <v>0</v>
      </c>
      <c r="I839" s="73">
        <f t="shared" si="212"/>
        <v>0</v>
      </c>
      <c r="J839" s="73">
        <v>0</v>
      </c>
      <c r="K839" s="73">
        <f t="shared" si="213"/>
        <v>0</v>
      </c>
      <c r="L839" s="74">
        <v>0</v>
      </c>
      <c r="M839" s="74">
        <v>0</v>
      </c>
      <c r="N839" s="75">
        <f t="shared" si="209"/>
        <v>0</v>
      </c>
      <c r="O839" s="73">
        <f t="shared" si="203"/>
        <v>0</v>
      </c>
      <c r="P839" s="73">
        <f t="shared" si="210"/>
        <v>0</v>
      </c>
      <c r="Q839" s="76">
        <f t="shared" si="214"/>
        <v>0</v>
      </c>
      <c r="R839" s="30">
        <f>COUNTIF(RAW_DATA[[#This Row],[CONVERTED]],"&gt;0")</f>
        <v>0</v>
      </c>
      <c r="S839" s="30">
        <f>COUNTIFS(RAW_DATA[[#This Row],[AM/PM]],"AM",RAW_DATA[[#This Row],[CONVERTED]],"&gt;0")</f>
        <v>0</v>
      </c>
      <c r="T839" s="19">
        <f t="shared" si="215"/>
        <v>0</v>
      </c>
      <c r="U839" s="20" t="str">
        <f t="shared" si="205"/>
        <v>SINGLE</v>
      </c>
    </row>
    <row r="840" spans="1:21" x14ac:dyDescent="0.35">
      <c r="A840" s="70">
        <f t="shared" si="206"/>
        <v>45510</v>
      </c>
      <c r="B840" s="71" t="str">
        <f t="shared" si="207"/>
        <v>AM</v>
      </c>
      <c r="C840" s="72" t="str">
        <f t="shared" si="208"/>
        <v>August</v>
      </c>
      <c r="D840" s="13" t="str">
        <f t="shared" si="211"/>
        <v>TUE</v>
      </c>
      <c r="E840" s="73">
        <v>0</v>
      </c>
      <c r="F840" s="73">
        <v>0</v>
      </c>
      <c r="G840" s="73">
        <v>0</v>
      </c>
      <c r="H840" s="73">
        <f t="shared" si="204"/>
        <v>0</v>
      </c>
      <c r="I840" s="73">
        <f t="shared" si="212"/>
        <v>0</v>
      </c>
      <c r="J840" s="73">
        <v>0</v>
      </c>
      <c r="K840" s="73">
        <f t="shared" si="213"/>
        <v>0</v>
      </c>
      <c r="L840" s="74">
        <v>0</v>
      </c>
      <c r="M840" s="74">
        <v>0</v>
      </c>
      <c r="N840" s="75">
        <f t="shared" si="209"/>
        <v>0</v>
      </c>
      <c r="O840" s="73">
        <f t="shared" si="203"/>
        <v>0</v>
      </c>
      <c r="P840" s="73">
        <f t="shared" si="210"/>
        <v>0</v>
      </c>
      <c r="Q840" s="76">
        <f t="shared" si="214"/>
        <v>0</v>
      </c>
      <c r="R840" s="30">
        <f>COUNTIF(RAW_DATA[[#This Row],[CONVERTED]],"&gt;0")</f>
        <v>0</v>
      </c>
      <c r="S840" s="30">
        <f>COUNTIFS(RAW_DATA[[#This Row],[AM/PM]],"AM",RAW_DATA[[#This Row],[CONVERTED]],"&gt;0")</f>
        <v>0</v>
      </c>
      <c r="T840" s="19">
        <f t="shared" si="215"/>
        <v>0</v>
      </c>
      <c r="U840" s="20" t="str">
        <f t="shared" si="205"/>
        <v>SINGLE</v>
      </c>
    </row>
    <row r="841" spans="1:21" x14ac:dyDescent="0.35">
      <c r="A841" s="70">
        <f t="shared" si="206"/>
        <v>45510</v>
      </c>
      <c r="B841" s="71" t="str">
        <f t="shared" si="207"/>
        <v>PM</v>
      </c>
      <c r="C841" s="72" t="str">
        <f t="shared" si="208"/>
        <v>August</v>
      </c>
      <c r="D841" s="13" t="str">
        <f t="shared" si="211"/>
        <v>TUE</v>
      </c>
      <c r="E841" s="73">
        <f>444+(836.5/2)</f>
        <v>862.25</v>
      </c>
      <c r="F841" s="73">
        <f>85.12+(151.28/2)</f>
        <v>160.76</v>
      </c>
      <c r="G841" s="73">
        <v>0</v>
      </c>
      <c r="H841" s="73">
        <f t="shared" si="204"/>
        <v>34.49</v>
      </c>
      <c r="I841" s="73">
        <f t="shared" si="212"/>
        <v>2.7007679999999996</v>
      </c>
      <c r="J841" s="73">
        <v>4</v>
      </c>
      <c r="K841" s="73">
        <f t="shared" si="213"/>
        <v>123.569232</v>
      </c>
      <c r="L841" s="74">
        <v>5</v>
      </c>
      <c r="M841" s="74">
        <v>9</v>
      </c>
      <c r="N841" s="75">
        <f t="shared" si="209"/>
        <v>5.15</v>
      </c>
      <c r="O841" s="73">
        <f t="shared" si="203"/>
        <v>10.9695</v>
      </c>
      <c r="P841" s="73">
        <f t="shared" si="210"/>
        <v>138.53873200000001</v>
      </c>
      <c r="Q841" s="76">
        <f t="shared" si="214"/>
        <v>134.53873200000001</v>
      </c>
      <c r="R841" s="30">
        <f>COUNTIF(RAW_DATA[[#This Row],[CONVERTED]],"&gt;0")</f>
        <v>1</v>
      </c>
      <c r="S841" s="30">
        <f>COUNTIFS(RAW_DATA[[#This Row],[AM/PM]],"AM",RAW_DATA[[#This Row],[CONVERTED]],"&gt;0")</f>
        <v>0</v>
      </c>
      <c r="T841" s="19">
        <f t="shared" si="215"/>
        <v>0</v>
      </c>
      <c r="U841" s="20" t="str">
        <f t="shared" si="205"/>
        <v>SINGLE</v>
      </c>
    </row>
    <row r="842" spans="1:21" x14ac:dyDescent="0.35">
      <c r="A842" s="70">
        <f t="shared" si="206"/>
        <v>45511</v>
      </c>
      <c r="B842" s="71" t="str">
        <f t="shared" si="207"/>
        <v>AM</v>
      </c>
      <c r="C842" s="72" t="str">
        <f t="shared" si="208"/>
        <v>August</v>
      </c>
      <c r="D842" s="13" t="str">
        <f t="shared" si="211"/>
        <v>WED</v>
      </c>
      <c r="E842" s="73">
        <v>0</v>
      </c>
      <c r="F842" s="73">
        <v>0</v>
      </c>
      <c r="G842" s="73">
        <v>0</v>
      </c>
      <c r="H842" s="73">
        <f t="shared" si="204"/>
        <v>0</v>
      </c>
      <c r="I842" s="73">
        <f t="shared" si="212"/>
        <v>0</v>
      </c>
      <c r="J842" s="73">
        <v>0</v>
      </c>
      <c r="K842" s="73">
        <f t="shared" si="213"/>
        <v>0</v>
      </c>
      <c r="L842" s="74">
        <v>0</v>
      </c>
      <c r="M842" s="74">
        <v>0</v>
      </c>
      <c r="N842" s="75">
        <f t="shared" si="209"/>
        <v>0</v>
      </c>
      <c r="O842" s="73">
        <f t="shared" si="203"/>
        <v>0</v>
      </c>
      <c r="P842" s="73">
        <f t="shared" si="210"/>
        <v>0</v>
      </c>
      <c r="Q842" s="76">
        <f t="shared" si="214"/>
        <v>0</v>
      </c>
      <c r="R842" s="30">
        <f>COUNTIF(RAW_DATA[[#This Row],[CONVERTED]],"&gt;0")</f>
        <v>0</v>
      </c>
      <c r="S842" s="30">
        <f>COUNTIFS(RAW_DATA[[#This Row],[AM/PM]],"AM",RAW_DATA[[#This Row],[CONVERTED]],"&gt;0")</f>
        <v>0</v>
      </c>
      <c r="T842" s="19">
        <f t="shared" si="215"/>
        <v>0</v>
      </c>
      <c r="U842" s="20" t="str">
        <f t="shared" si="205"/>
        <v>SINGLE</v>
      </c>
    </row>
    <row r="843" spans="1:21" x14ac:dyDescent="0.35">
      <c r="A843" s="70">
        <f t="shared" si="206"/>
        <v>45511</v>
      </c>
      <c r="B843" s="71" t="str">
        <f t="shared" si="207"/>
        <v>PM</v>
      </c>
      <c r="C843" s="72" t="str">
        <f t="shared" si="208"/>
        <v>August</v>
      </c>
      <c r="D843" s="13" t="str">
        <f t="shared" si="211"/>
        <v>WED</v>
      </c>
      <c r="E843" s="73">
        <v>513</v>
      </c>
      <c r="F843" s="73">
        <v>97.16</v>
      </c>
      <c r="G843" s="73">
        <v>0</v>
      </c>
      <c r="H843" s="73">
        <f t="shared" si="204"/>
        <v>20.52</v>
      </c>
      <c r="I843" s="73">
        <f t="shared" si="212"/>
        <v>1.6322879999999997</v>
      </c>
      <c r="J843" s="73">
        <v>0</v>
      </c>
      <c r="K843" s="73">
        <f t="shared" si="213"/>
        <v>75.007711999999998</v>
      </c>
      <c r="L843" s="74">
        <v>5</v>
      </c>
      <c r="M843" s="74">
        <v>9</v>
      </c>
      <c r="N843" s="75">
        <f t="shared" si="209"/>
        <v>5.15</v>
      </c>
      <c r="O843" s="73">
        <f t="shared" si="203"/>
        <v>10.9695</v>
      </c>
      <c r="P843" s="73">
        <f t="shared" si="210"/>
        <v>85.977211999999994</v>
      </c>
      <c r="Q843" s="76">
        <f t="shared" si="214"/>
        <v>85.977211999999994</v>
      </c>
      <c r="R843" s="30">
        <f>COUNTIF(RAW_DATA[[#This Row],[CONVERTED]],"&gt;0")</f>
        <v>1</v>
      </c>
      <c r="S843" s="30">
        <f>COUNTIFS(RAW_DATA[[#This Row],[AM/PM]],"AM",RAW_DATA[[#This Row],[CONVERTED]],"&gt;0")</f>
        <v>0</v>
      </c>
      <c r="T843" s="19">
        <f t="shared" si="215"/>
        <v>0</v>
      </c>
      <c r="U843" s="20" t="str">
        <f t="shared" si="205"/>
        <v>SINGLE</v>
      </c>
    </row>
    <row r="844" spans="1:21" x14ac:dyDescent="0.35">
      <c r="A844" s="70">
        <f t="shared" si="206"/>
        <v>45512</v>
      </c>
      <c r="B844" s="71" t="str">
        <f t="shared" si="207"/>
        <v>AM</v>
      </c>
      <c r="C844" s="72" t="str">
        <f t="shared" si="208"/>
        <v>August</v>
      </c>
      <c r="D844" s="13" t="str">
        <f t="shared" si="211"/>
        <v>THU</v>
      </c>
      <c r="E844" s="73">
        <v>0</v>
      </c>
      <c r="F844" s="73">
        <v>0</v>
      </c>
      <c r="G844" s="73">
        <v>0</v>
      </c>
      <c r="H844" s="73">
        <f t="shared" si="204"/>
        <v>0</v>
      </c>
      <c r="I844" s="73">
        <f t="shared" si="212"/>
        <v>0</v>
      </c>
      <c r="J844" s="73">
        <v>0</v>
      </c>
      <c r="K844" s="73">
        <f t="shared" si="213"/>
        <v>0</v>
      </c>
      <c r="L844" s="74">
        <v>0</v>
      </c>
      <c r="M844" s="74">
        <v>0</v>
      </c>
      <c r="N844" s="75">
        <f t="shared" si="209"/>
        <v>0</v>
      </c>
      <c r="O844" s="73">
        <f t="shared" si="203"/>
        <v>0</v>
      </c>
      <c r="P844" s="73">
        <f t="shared" si="210"/>
        <v>0</v>
      </c>
      <c r="Q844" s="76">
        <f t="shared" si="214"/>
        <v>0</v>
      </c>
      <c r="R844" s="30">
        <f>COUNTIF(RAW_DATA[[#This Row],[CONVERTED]],"&gt;0")</f>
        <v>0</v>
      </c>
      <c r="S844" s="30">
        <f>COUNTIFS(RAW_DATA[[#This Row],[AM/PM]],"AM",RAW_DATA[[#This Row],[CONVERTED]],"&gt;0")</f>
        <v>0</v>
      </c>
      <c r="T844" s="19">
        <f t="shared" si="215"/>
        <v>0</v>
      </c>
      <c r="U844" s="20" t="str">
        <f t="shared" si="205"/>
        <v>SINGLE</v>
      </c>
    </row>
    <row r="845" spans="1:21" x14ac:dyDescent="0.35">
      <c r="A845" s="70">
        <f t="shared" si="206"/>
        <v>45512</v>
      </c>
      <c r="B845" s="71" t="str">
        <f t="shared" si="207"/>
        <v>PM</v>
      </c>
      <c r="C845" s="72" t="str">
        <f t="shared" si="208"/>
        <v>August</v>
      </c>
      <c r="D845" s="13" t="str">
        <f t="shared" si="211"/>
        <v>THU</v>
      </c>
      <c r="E845" s="73">
        <v>0</v>
      </c>
      <c r="F845" s="73">
        <v>0</v>
      </c>
      <c r="G845" s="73">
        <v>0</v>
      </c>
      <c r="H845" s="73">
        <f t="shared" si="204"/>
        <v>0</v>
      </c>
      <c r="I845" s="73">
        <f t="shared" si="212"/>
        <v>0</v>
      </c>
      <c r="J845" s="73">
        <v>0</v>
      </c>
      <c r="K845" s="73">
        <f t="shared" si="213"/>
        <v>0</v>
      </c>
      <c r="L845" s="74">
        <v>0</v>
      </c>
      <c r="M845" s="74">
        <v>0</v>
      </c>
      <c r="N845" s="75">
        <f t="shared" si="209"/>
        <v>0</v>
      </c>
      <c r="O845" s="73">
        <f t="shared" si="203"/>
        <v>0</v>
      </c>
      <c r="P845" s="73">
        <f t="shared" si="210"/>
        <v>0</v>
      </c>
      <c r="Q845" s="76">
        <f t="shared" si="214"/>
        <v>0</v>
      </c>
      <c r="R845" s="30">
        <f>COUNTIF(RAW_DATA[[#This Row],[CONVERTED]],"&gt;0")</f>
        <v>0</v>
      </c>
      <c r="S845" s="30">
        <f>COUNTIFS(RAW_DATA[[#This Row],[AM/PM]],"AM",RAW_DATA[[#This Row],[CONVERTED]],"&gt;0")</f>
        <v>0</v>
      </c>
      <c r="T845" s="19">
        <f t="shared" si="215"/>
        <v>0</v>
      </c>
      <c r="U845" s="20" t="str">
        <f t="shared" si="205"/>
        <v>SINGLE</v>
      </c>
    </row>
    <row r="846" spans="1:21" x14ac:dyDescent="0.35">
      <c r="A846" s="70">
        <f t="shared" si="206"/>
        <v>45513</v>
      </c>
      <c r="B846" s="71" t="str">
        <f t="shared" si="207"/>
        <v>AM</v>
      </c>
      <c r="C846" s="72" t="str">
        <f t="shared" si="208"/>
        <v>August</v>
      </c>
      <c r="D846" s="13" t="str">
        <f t="shared" si="211"/>
        <v>FRI</v>
      </c>
      <c r="E846" s="73">
        <v>0</v>
      </c>
      <c r="F846" s="73">
        <v>0</v>
      </c>
      <c r="G846" s="73">
        <v>0</v>
      </c>
      <c r="H846" s="73">
        <f t="shared" si="204"/>
        <v>0</v>
      </c>
      <c r="I846" s="73">
        <f t="shared" si="212"/>
        <v>0</v>
      </c>
      <c r="J846" s="73">
        <v>0</v>
      </c>
      <c r="K846" s="73">
        <f t="shared" si="213"/>
        <v>0</v>
      </c>
      <c r="L846" s="74">
        <v>0</v>
      </c>
      <c r="M846" s="74">
        <v>0</v>
      </c>
      <c r="N846" s="75">
        <f t="shared" si="209"/>
        <v>0</v>
      </c>
      <c r="O846" s="73">
        <f t="shared" si="203"/>
        <v>0</v>
      </c>
      <c r="P846" s="73">
        <f t="shared" si="210"/>
        <v>0</v>
      </c>
      <c r="Q846" s="76">
        <f t="shared" si="214"/>
        <v>0</v>
      </c>
      <c r="R846" s="30">
        <f>COUNTIF(RAW_DATA[[#This Row],[CONVERTED]],"&gt;0")</f>
        <v>0</v>
      </c>
      <c r="S846" s="30">
        <f>COUNTIFS(RAW_DATA[[#This Row],[AM/PM]],"AM",RAW_DATA[[#This Row],[CONVERTED]],"&gt;0")</f>
        <v>0</v>
      </c>
      <c r="T846" s="19">
        <f t="shared" si="215"/>
        <v>0</v>
      </c>
      <c r="U846" s="20" t="str">
        <f t="shared" si="205"/>
        <v>SINGLE</v>
      </c>
    </row>
    <row r="847" spans="1:21" x14ac:dyDescent="0.35">
      <c r="A847" s="70">
        <f t="shared" si="206"/>
        <v>45513</v>
      </c>
      <c r="B847" s="71" t="str">
        <f t="shared" si="207"/>
        <v>PM</v>
      </c>
      <c r="C847" s="72" t="str">
        <f t="shared" si="208"/>
        <v>August</v>
      </c>
      <c r="D847" s="13" t="str">
        <f t="shared" si="211"/>
        <v>FRI</v>
      </c>
      <c r="E847" s="73">
        <v>0</v>
      </c>
      <c r="F847" s="73">
        <v>0</v>
      </c>
      <c r="G847" s="73">
        <v>0</v>
      </c>
      <c r="H847" s="73">
        <f t="shared" si="204"/>
        <v>0</v>
      </c>
      <c r="I847" s="73">
        <f t="shared" si="212"/>
        <v>0</v>
      </c>
      <c r="J847" s="73">
        <v>0</v>
      </c>
      <c r="K847" s="73">
        <f t="shared" si="213"/>
        <v>0</v>
      </c>
      <c r="L847" s="74">
        <v>0</v>
      </c>
      <c r="M847" s="74">
        <v>0</v>
      </c>
      <c r="N847" s="75">
        <f t="shared" si="209"/>
        <v>0</v>
      </c>
      <c r="O847" s="73">
        <f t="shared" si="203"/>
        <v>0</v>
      </c>
      <c r="P847" s="73">
        <f t="shared" si="210"/>
        <v>0</v>
      </c>
      <c r="Q847" s="76">
        <f t="shared" si="214"/>
        <v>0</v>
      </c>
      <c r="R847" s="30">
        <f>COUNTIF(RAW_DATA[[#This Row],[CONVERTED]],"&gt;0")</f>
        <v>0</v>
      </c>
      <c r="S847" s="30">
        <f>COUNTIFS(RAW_DATA[[#This Row],[AM/PM]],"AM",RAW_DATA[[#This Row],[CONVERTED]],"&gt;0")</f>
        <v>0</v>
      </c>
      <c r="T847" s="19">
        <f t="shared" si="215"/>
        <v>0</v>
      </c>
      <c r="U847" s="20" t="str">
        <f t="shared" si="205"/>
        <v>SINGLE</v>
      </c>
    </row>
    <row r="848" spans="1:21" x14ac:dyDescent="0.35">
      <c r="A848" s="70">
        <f t="shared" si="206"/>
        <v>45514</v>
      </c>
      <c r="B848" s="71" t="str">
        <f t="shared" si="207"/>
        <v>AM</v>
      </c>
      <c r="C848" s="72" t="str">
        <f t="shared" si="208"/>
        <v>August</v>
      </c>
      <c r="D848" s="13" t="str">
        <f t="shared" si="211"/>
        <v>SAT</v>
      </c>
      <c r="E848" s="73">
        <v>0</v>
      </c>
      <c r="F848" s="73">
        <v>0</v>
      </c>
      <c r="G848" s="73">
        <v>0</v>
      </c>
      <c r="H848" s="73">
        <f t="shared" si="204"/>
        <v>0</v>
      </c>
      <c r="I848" s="73">
        <f t="shared" si="212"/>
        <v>0</v>
      </c>
      <c r="J848" s="73">
        <v>0</v>
      </c>
      <c r="K848" s="73">
        <f t="shared" si="213"/>
        <v>0</v>
      </c>
      <c r="L848" s="74">
        <v>0</v>
      </c>
      <c r="M848" s="74">
        <v>0</v>
      </c>
      <c r="N848" s="75">
        <f t="shared" si="209"/>
        <v>0</v>
      </c>
      <c r="O848" s="73">
        <f t="shared" si="203"/>
        <v>0</v>
      </c>
      <c r="P848" s="73">
        <f t="shared" si="210"/>
        <v>0</v>
      </c>
      <c r="Q848" s="76">
        <f t="shared" si="214"/>
        <v>0</v>
      </c>
      <c r="R848" s="30">
        <f>COUNTIF(RAW_DATA[[#This Row],[CONVERTED]],"&gt;0")</f>
        <v>0</v>
      </c>
      <c r="S848" s="30">
        <f>COUNTIFS(RAW_DATA[[#This Row],[AM/PM]],"AM",RAW_DATA[[#This Row],[CONVERTED]],"&gt;0")</f>
        <v>0</v>
      </c>
      <c r="T848" s="19">
        <f t="shared" si="215"/>
        <v>0</v>
      </c>
      <c r="U848" s="20" t="str">
        <f t="shared" si="205"/>
        <v>SINGLE</v>
      </c>
    </row>
    <row r="849" spans="1:21" x14ac:dyDescent="0.35">
      <c r="A849" s="70">
        <f t="shared" si="206"/>
        <v>45514</v>
      </c>
      <c r="B849" s="71" t="str">
        <f t="shared" si="207"/>
        <v>PM</v>
      </c>
      <c r="C849" s="72" t="str">
        <f t="shared" si="208"/>
        <v>August</v>
      </c>
      <c r="D849" s="13" t="str">
        <f t="shared" si="211"/>
        <v>SAT</v>
      </c>
      <c r="E849" s="73">
        <v>1391.5</v>
      </c>
      <c r="F849" s="73">
        <v>270.14999999999998</v>
      </c>
      <c r="G849" s="73">
        <v>12</v>
      </c>
      <c r="H849" s="73">
        <f t="shared" si="204"/>
        <v>55.660000000000004</v>
      </c>
      <c r="I849" s="73">
        <f t="shared" si="212"/>
        <v>4.5385199999999992</v>
      </c>
      <c r="J849" s="73">
        <v>17.28</v>
      </c>
      <c r="K849" s="73">
        <f t="shared" si="213"/>
        <v>209.95147999999998</v>
      </c>
      <c r="L849" s="74">
        <v>6</v>
      </c>
      <c r="M849" s="74">
        <v>45</v>
      </c>
      <c r="N849" s="75">
        <f t="shared" si="209"/>
        <v>6.75</v>
      </c>
      <c r="O849" s="73">
        <f t="shared" ref="O849:O883" si="216">N849*2.13</f>
        <v>14.3775</v>
      </c>
      <c r="P849" s="73">
        <f t="shared" si="210"/>
        <v>241.60897999999997</v>
      </c>
      <c r="Q849" s="76">
        <f t="shared" si="214"/>
        <v>236.32897999999997</v>
      </c>
      <c r="R849" s="30">
        <f>COUNTIF(RAW_DATA[[#This Row],[CONVERTED]],"&gt;0")</f>
        <v>1</v>
      </c>
      <c r="S849" s="30">
        <f>COUNTIFS(RAW_DATA[[#This Row],[AM/PM]],"AM",RAW_DATA[[#This Row],[CONVERTED]],"&gt;0")</f>
        <v>0</v>
      </c>
      <c r="T849" s="19">
        <f t="shared" si="215"/>
        <v>0</v>
      </c>
      <c r="U849" s="20" t="str">
        <f t="shared" si="205"/>
        <v>SINGLE</v>
      </c>
    </row>
    <row r="850" spans="1:21" x14ac:dyDescent="0.35">
      <c r="A850" s="70">
        <f t="shared" si="206"/>
        <v>45515</v>
      </c>
      <c r="B850" s="71" t="str">
        <f t="shared" si="207"/>
        <v>AM</v>
      </c>
      <c r="C850" s="72" t="str">
        <f t="shared" si="208"/>
        <v>August</v>
      </c>
      <c r="D850" s="13" t="str">
        <f t="shared" si="211"/>
        <v>SUN</v>
      </c>
      <c r="E850" s="73">
        <v>0</v>
      </c>
      <c r="F850" s="73">
        <v>0</v>
      </c>
      <c r="G850" s="73">
        <v>0</v>
      </c>
      <c r="H850" s="73">
        <f t="shared" si="204"/>
        <v>0</v>
      </c>
      <c r="I850" s="73">
        <f t="shared" si="212"/>
        <v>0</v>
      </c>
      <c r="J850" s="73">
        <v>0</v>
      </c>
      <c r="K850" s="73">
        <f t="shared" si="213"/>
        <v>0</v>
      </c>
      <c r="L850" s="74">
        <v>0</v>
      </c>
      <c r="M850" s="74">
        <v>0</v>
      </c>
      <c r="N850" s="75">
        <f t="shared" si="209"/>
        <v>0</v>
      </c>
      <c r="O850" s="73">
        <f t="shared" si="216"/>
        <v>0</v>
      </c>
      <c r="P850" s="73">
        <f t="shared" si="210"/>
        <v>0</v>
      </c>
      <c r="Q850" s="76">
        <f t="shared" si="214"/>
        <v>0</v>
      </c>
      <c r="R850" s="30">
        <f>COUNTIF(RAW_DATA[[#This Row],[CONVERTED]],"&gt;0")</f>
        <v>0</v>
      </c>
      <c r="S850" s="30">
        <f>COUNTIFS(RAW_DATA[[#This Row],[AM/PM]],"AM",RAW_DATA[[#This Row],[CONVERTED]],"&gt;0")</f>
        <v>0</v>
      </c>
      <c r="T850" s="19">
        <f t="shared" si="215"/>
        <v>0</v>
      </c>
      <c r="U850" s="20" t="str">
        <f t="shared" si="205"/>
        <v>SINGLE</v>
      </c>
    </row>
    <row r="851" spans="1:21" x14ac:dyDescent="0.35">
      <c r="A851" s="70">
        <f t="shared" si="206"/>
        <v>45515</v>
      </c>
      <c r="B851" s="71" t="str">
        <f t="shared" si="207"/>
        <v>PM</v>
      </c>
      <c r="C851" s="72" t="str">
        <f t="shared" si="208"/>
        <v>August</v>
      </c>
      <c r="D851" s="13" t="str">
        <f t="shared" si="211"/>
        <v>SUN</v>
      </c>
      <c r="E851" s="73">
        <v>988</v>
      </c>
      <c r="F851" s="73">
        <v>145.22999999999999</v>
      </c>
      <c r="G851" s="73">
        <v>91</v>
      </c>
      <c r="H851" s="73">
        <f t="shared" si="204"/>
        <v>39.520000000000003</v>
      </c>
      <c r="I851" s="73">
        <f t="shared" si="212"/>
        <v>2.4398639999999996</v>
      </c>
      <c r="J851" s="73">
        <v>16.440000000000001</v>
      </c>
      <c r="K851" s="73">
        <f t="shared" si="213"/>
        <v>103.27013599999998</v>
      </c>
      <c r="L851" s="74">
        <v>4</v>
      </c>
      <c r="M851" s="74">
        <v>35</v>
      </c>
      <c r="N851" s="75">
        <f t="shared" si="209"/>
        <v>4.583333333333333</v>
      </c>
      <c r="O851" s="73">
        <f t="shared" si="216"/>
        <v>9.7624999999999993</v>
      </c>
      <c r="P851" s="73">
        <f t="shared" si="210"/>
        <v>129.47263599999997</v>
      </c>
      <c r="Q851" s="76">
        <f t="shared" si="214"/>
        <v>204.03263599999997</v>
      </c>
      <c r="R851" s="30">
        <f>COUNTIF(RAW_DATA[[#This Row],[CONVERTED]],"&gt;0")</f>
        <v>1</v>
      </c>
      <c r="S851" s="30">
        <f>COUNTIFS(RAW_DATA[[#This Row],[AM/PM]],"AM",RAW_DATA[[#This Row],[CONVERTED]],"&gt;0")</f>
        <v>0</v>
      </c>
      <c r="T851" s="19">
        <f t="shared" si="215"/>
        <v>0</v>
      </c>
      <c r="U851" s="20" t="str">
        <f t="shared" si="205"/>
        <v>SINGLE</v>
      </c>
    </row>
    <row r="852" spans="1:21" x14ac:dyDescent="0.35">
      <c r="A852" s="70">
        <f t="shared" si="206"/>
        <v>45516</v>
      </c>
      <c r="B852" s="71" t="str">
        <f t="shared" si="207"/>
        <v>AM</v>
      </c>
      <c r="C852" s="72" t="str">
        <f t="shared" si="208"/>
        <v>August</v>
      </c>
      <c r="D852" s="13" t="str">
        <f t="shared" si="211"/>
        <v>MON</v>
      </c>
      <c r="E852" s="73">
        <v>0</v>
      </c>
      <c r="F852" s="73">
        <v>0</v>
      </c>
      <c r="G852" s="73">
        <v>0</v>
      </c>
      <c r="H852" s="73">
        <f t="shared" si="204"/>
        <v>0</v>
      </c>
      <c r="I852" s="73">
        <f t="shared" si="212"/>
        <v>0</v>
      </c>
      <c r="J852" s="73">
        <v>0</v>
      </c>
      <c r="K852" s="73">
        <f t="shared" si="213"/>
        <v>0</v>
      </c>
      <c r="L852" s="74">
        <v>0</v>
      </c>
      <c r="M852" s="74">
        <v>0</v>
      </c>
      <c r="N852" s="75">
        <f t="shared" si="209"/>
        <v>0</v>
      </c>
      <c r="O852" s="73">
        <f t="shared" si="216"/>
        <v>0</v>
      </c>
      <c r="P852" s="73">
        <f t="shared" si="210"/>
        <v>0</v>
      </c>
      <c r="Q852" s="76">
        <f t="shared" si="214"/>
        <v>0</v>
      </c>
      <c r="R852" s="30">
        <f>COUNTIF(RAW_DATA[[#This Row],[CONVERTED]],"&gt;0")</f>
        <v>0</v>
      </c>
      <c r="S852" s="30">
        <f>COUNTIFS(RAW_DATA[[#This Row],[AM/PM]],"AM",RAW_DATA[[#This Row],[CONVERTED]],"&gt;0")</f>
        <v>0</v>
      </c>
      <c r="T852" s="19">
        <f t="shared" si="215"/>
        <v>0</v>
      </c>
      <c r="U852" s="20" t="str">
        <f t="shared" si="205"/>
        <v>SINGLE</v>
      </c>
    </row>
    <row r="853" spans="1:21" x14ac:dyDescent="0.35">
      <c r="A853" s="70">
        <f t="shared" si="206"/>
        <v>45516</v>
      </c>
      <c r="B853" s="71" t="str">
        <f t="shared" si="207"/>
        <v>PM</v>
      </c>
      <c r="C853" s="72" t="str">
        <f t="shared" si="208"/>
        <v>August</v>
      </c>
      <c r="D853" s="13" t="str">
        <f t="shared" si="211"/>
        <v>MON</v>
      </c>
      <c r="E853" s="73">
        <v>0</v>
      </c>
      <c r="F853" s="73">
        <v>0</v>
      </c>
      <c r="G853" s="73">
        <v>0</v>
      </c>
      <c r="H853" s="73">
        <f t="shared" ref="H853:H883" si="217">E853*0.04</f>
        <v>0</v>
      </c>
      <c r="I853" s="73">
        <f t="shared" si="212"/>
        <v>0</v>
      </c>
      <c r="J853" s="73">
        <v>0</v>
      </c>
      <c r="K853" s="73">
        <f t="shared" si="213"/>
        <v>0</v>
      </c>
      <c r="L853" s="74">
        <v>0</v>
      </c>
      <c r="M853" s="74">
        <v>0</v>
      </c>
      <c r="N853" s="75">
        <f t="shared" si="209"/>
        <v>0</v>
      </c>
      <c r="O853" s="73">
        <f t="shared" si="216"/>
        <v>0</v>
      </c>
      <c r="P853" s="73">
        <f t="shared" si="210"/>
        <v>0</v>
      </c>
      <c r="Q853" s="76">
        <f t="shared" si="214"/>
        <v>0</v>
      </c>
      <c r="R853" s="30">
        <f>COUNTIF(RAW_DATA[[#This Row],[CONVERTED]],"&gt;0")</f>
        <v>0</v>
      </c>
      <c r="S853" s="30">
        <f>COUNTIFS(RAW_DATA[[#This Row],[AM/PM]],"AM",RAW_DATA[[#This Row],[CONVERTED]],"&gt;0")</f>
        <v>0</v>
      </c>
      <c r="T853" s="19">
        <f t="shared" si="215"/>
        <v>0</v>
      </c>
      <c r="U853" s="20" t="str">
        <f t="shared" si="205"/>
        <v>SINGLE</v>
      </c>
    </row>
    <row r="854" spans="1:21" x14ac:dyDescent="0.35">
      <c r="A854" s="70">
        <f t="shared" si="206"/>
        <v>45517</v>
      </c>
      <c r="B854" s="71" t="str">
        <f t="shared" si="207"/>
        <v>AM</v>
      </c>
      <c r="C854" s="72" t="str">
        <f t="shared" si="208"/>
        <v>August</v>
      </c>
      <c r="D854" s="13" t="str">
        <f t="shared" si="211"/>
        <v>TUE</v>
      </c>
      <c r="E854" s="73">
        <v>0</v>
      </c>
      <c r="F854" s="73">
        <v>0</v>
      </c>
      <c r="G854" s="73">
        <v>0</v>
      </c>
      <c r="H854" s="73">
        <f t="shared" si="217"/>
        <v>0</v>
      </c>
      <c r="I854" s="73">
        <f t="shared" si="212"/>
        <v>0</v>
      </c>
      <c r="J854" s="73">
        <v>0</v>
      </c>
      <c r="K854" s="73">
        <f t="shared" si="213"/>
        <v>0</v>
      </c>
      <c r="L854" s="74">
        <v>0</v>
      </c>
      <c r="M854" s="74">
        <v>0</v>
      </c>
      <c r="N854" s="75">
        <f t="shared" si="209"/>
        <v>0</v>
      </c>
      <c r="O854" s="73">
        <f t="shared" si="216"/>
        <v>0</v>
      </c>
      <c r="P854" s="73">
        <f t="shared" si="210"/>
        <v>0</v>
      </c>
      <c r="Q854" s="76">
        <f t="shared" si="214"/>
        <v>0</v>
      </c>
      <c r="R854" s="30">
        <f>COUNTIF(RAW_DATA[[#This Row],[CONVERTED]],"&gt;0")</f>
        <v>0</v>
      </c>
      <c r="S854" s="30">
        <f>COUNTIFS(RAW_DATA[[#This Row],[AM/PM]],"AM",RAW_DATA[[#This Row],[CONVERTED]],"&gt;0")</f>
        <v>0</v>
      </c>
      <c r="T854" s="19">
        <f t="shared" si="215"/>
        <v>0</v>
      </c>
      <c r="U854" s="20" t="str">
        <f t="shared" ref="U854:U883" si="218">IF(AND(S854=1,T855=1,B854="AM"),"DOUBLE",IF(AND(S853=1,N854&gt;0),"DOUBLE","SINGLE"))</f>
        <v>SINGLE</v>
      </c>
    </row>
    <row r="855" spans="1:21" x14ac:dyDescent="0.35">
      <c r="A855" s="70">
        <f t="shared" si="206"/>
        <v>45517</v>
      </c>
      <c r="B855" s="71" t="str">
        <f t="shared" si="207"/>
        <v>PM</v>
      </c>
      <c r="C855" s="72" t="str">
        <f t="shared" si="208"/>
        <v>August</v>
      </c>
      <c r="D855" s="13" t="str">
        <f t="shared" si="211"/>
        <v>TUE</v>
      </c>
      <c r="E855" s="73">
        <v>1101</v>
      </c>
      <c r="F855" s="73">
        <v>221.43</v>
      </c>
      <c r="G855" s="73">
        <v>0</v>
      </c>
      <c r="H855" s="73">
        <f t="shared" si="217"/>
        <v>44.04</v>
      </c>
      <c r="I855" s="73">
        <f t="shared" si="212"/>
        <v>3.720024</v>
      </c>
      <c r="J855" s="73">
        <v>0</v>
      </c>
      <c r="K855" s="73">
        <f t="shared" si="213"/>
        <v>173.66997600000002</v>
      </c>
      <c r="L855" s="74">
        <v>6</v>
      </c>
      <c r="M855" s="74">
        <v>0</v>
      </c>
      <c r="N855" s="75">
        <f t="shared" si="209"/>
        <v>6</v>
      </c>
      <c r="O855" s="73">
        <f t="shared" si="216"/>
        <v>12.78</v>
      </c>
      <c r="P855" s="73">
        <f t="shared" si="210"/>
        <v>186.44997600000002</v>
      </c>
      <c r="Q855" s="76">
        <f t="shared" si="214"/>
        <v>186.44997600000002</v>
      </c>
      <c r="R855" s="30">
        <f>COUNTIF(RAW_DATA[[#This Row],[CONVERTED]],"&gt;0")</f>
        <v>1</v>
      </c>
      <c r="S855" s="30">
        <f>COUNTIFS(RAW_DATA[[#This Row],[AM/PM]],"AM",RAW_DATA[[#This Row],[CONVERTED]],"&gt;0")</f>
        <v>0</v>
      </c>
      <c r="T855" s="19">
        <f t="shared" si="215"/>
        <v>0</v>
      </c>
      <c r="U855" s="20" t="str">
        <f t="shared" si="218"/>
        <v>SINGLE</v>
      </c>
    </row>
    <row r="856" spans="1:21" x14ac:dyDescent="0.35">
      <c r="A856" s="70">
        <f t="shared" si="206"/>
        <v>45518</v>
      </c>
      <c r="B856" s="71" t="str">
        <f t="shared" si="207"/>
        <v>AM</v>
      </c>
      <c r="C856" s="72" t="str">
        <f t="shared" si="208"/>
        <v>August</v>
      </c>
      <c r="D856" s="13" t="str">
        <f t="shared" si="211"/>
        <v>WED</v>
      </c>
      <c r="E856" s="73">
        <v>0</v>
      </c>
      <c r="F856" s="73">
        <v>0</v>
      </c>
      <c r="G856" s="73">
        <v>0</v>
      </c>
      <c r="H856" s="73">
        <f t="shared" si="217"/>
        <v>0</v>
      </c>
      <c r="I856" s="73">
        <f t="shared" si="212"/>
        <v>0</v>
      </c>
      <c r="J856" s="73">
        <v>0</v>
      </c>
      <c r="K856" s="73">
        <f t="shared" si="213"/>
        <v>0</v>
      </c>
      <c r="L856" s="74">
        <v>0</v>
      </c>
      <c r="M856" s="74">
        <v>0</v>
      </c>
      <c r="N856" s="75">
        <f t="shared" si="209"/>
        <v>0</v>
      </c>
      <c r="O856" s="73">
        <f t="shared" si="216"/>
        <v>0</v>
      </c>
      <c r="P856" s="73">
        <f t="shared" si="210"/>
        <v>0</v>
      </c>
      <c r="Q856" s="76">
        <f t="shared" si="214"/>
        <v>0</v>
      </c>
      <c r="R856" s="30">
        <f>COUNTIF(RAW_DATA[[#This Row],[CONVERTED]],"&gt;0")</f>
        <v>0</v>
      </c>
      <c r="S856" s="30">
        <f>COUNTIFS(RAW_DATA[[#This Row],[AM/PM]],"AM",RAW_DATA[[#This Row],[CONVERTED]],"&gt;0")</f>
        <v>0</v>
      </c>
      <c r="T856" s="19">
        <f t="shared" si="215"/>
        <v>0</v>
      </c>
      <c r="U856" s="20" t="str">
        <f t="shared" si="218"/>
        <v>SINGLE</v>
      </c>
    </row>
    <row r="857" spans="1:21" x14ac:dyDescent="0.35">
      <c r="A857" s="70">
        <f t="shared" si="206"/>
        <v>45518</v>
      </c>
      <c r="B857" s="71" t="str">
        <f t="shared" si="207"/>
        <v>PM</v>
      </c>
      <c r="C857" s="72" t="str">
        <f t="shared" si="208"/>
        <v>August</v>
      </c>
      <c r="D857" s="13" t="str">
        <f t="shared" si="211"/>
        <v>WED</v>
      </c>
      <c r="E857" s="73">
        <v>0</v>
      </c>
      <c r="F857" s="73">
        <v>0</v>
      </c>
      <c r="G857" s="73">
        <v>0</v>
      </c>
      <c r="H857" s="73">
        <f t="shared" si="217"/>
        <v>0</v>
      </c>
      <c r="I857" s="73">
        <f t="shared" si="212"/>
        <v>0</v>
      </c>
      <c r="J857" s="73">
        <v>0</v>
      </c>
      <c r="K857" s="73">
        <f t="shared" si="213"/>
        <v>0</v>
      </c>
      <c r="L857" s="74">
        <v>0</v>
      </c>
      <c r="M857" s="74">
        <v>0</v>
      </c>
      <c r="N857" s="75">
        <f t="shared" si="209"/>
        <v>0</v>
      </c>
      <c r="O857" s="73">
        <f t="shared" si="216"/>
        <v>0</v>
      </c>
      <c r="P857" s="73">
        <f t="shared" si="210"/>
        <v>0</v>
      </c>
      <c r="Q857" s="76">
        <f t="shared" si="214"/>
        <v>0</v>
      </c>
      <c r="R857" s="30">
        <f>COUNTIF(RAW_DATA[[#This Row],[CONVERTED]],"&gt;0")</f>
        <v>0</v>
      </c>
      <c r="S857" s="30">
        <f>COUNTIFS(RAW_DATA[[#This Row],[AM/PM]],"AM",RAW_DATA[[#This Row],[CONVERTED]],"&gt;0")</f>
        <v>0</v>
      </c>
      <c r="T857" s="19">
        <f t="shared" si="215"/>
        <v>0</v>
      </c>
      <c r="U857" s="20" t="str">
        <f t="shared" si="218"/>
        <v>SINGLE</v>
      </c>
    </row>
    <row r="858" spans="1:21" x14ac:dyDescent="0.35">
      <c r="A858" s="70">
        <f t="shared" si="206"/>
        <v>45519</v>
      </c>
      <c r="B858" s="71" t="str">
        <f t="shared" si="207"/>
        <v>AM</v>
      </c>
      <c r="C858" s="72" t="str">
        <f t="shared" si="208"/>
        <v>August</v>
      </c>
      <c r="D858" s="13" t="str">
        <f t="shared" si="211"/>
        <v>THU</v>
      </c>
      <c r="E858" s="73">
        <v>0</v>
      </c>
      <c r="F858" s="73">
        <v>0</v>
      </c>
      <c r="G858" s="73">
        <v>0</v>
      </c>
      <c r="H858" s="73">
        <f t="shared" si="217"/>
        <v>0</v>
      </c>
      <c r="I858" s="73">
        <f t="shared" si="212"/>
        <v>0</v>
      </c>
      <c r="J858" s="73">
        <v>0</v>
      </c>
      <c r="K858" s="73">
        <f t="shared" si="213"/>
        <v>0</v>
      </c>
      <c r="L858" s="74">
        <v>0</v>
      </c>
      <c r="M858" s="74">
        <v>0</v>
      </c>
      <c r="N858" s="75">
        <f t="shared" si="209"/>
        <v>0</v>
      </c>
      <c r="O858" s="73">
        <f t="shared" si="216"/>
        <v>0</v>
      </c>
      <c r="P858" s="73">
        <f t="shared" si="210"/>
        <v>0</v>
      </c>
      <c r="Q858" s="76">
        <f t="shared" si="214"/>
        <v>0</v>
      </c>
      <c r="R858" s="30">
        <f>COUNTIF(RAW_DATA[[#This Row],[CONVERTED]],"&gt;0")</f>
        <v>0</v>
      </c>
      <c r="S858" s="30">
        <f>COUNTIFS(RAW_DATA[[#This Row],[AM/PM]],"AM",RAW_DATA[[#This Row],[CONVERTED]],"&gt;0")</f>
        <v>0</v>
      </c>
      <c r="T858" s="19">
        <f t="shared" si="215"/>
        <v>0</v>
      </c>
      <c r="U858" s="20" t="str">
        <f t="shared" si="218"/>
        <v>SINGLE</v>
      </c>
    </row>
    <row r="859" spans="1:21" x14ac:dyDescent="0.35">
      <c r="A859" s="70">
        <f t="shared" si="206"/>
        <v>45519</v>
      </c>
      <c r="B859" s="71" t="str">
        <f t="shared" si="207"/>
        <v>PM</v>
      </c>
      <c r="C859" s="72" t="str">
        <f t="shared" si="208"/>
        <v>August</v>
      </c>
      <c r="D859" s="13" t="str">
        <f t="shared" si="211"/>
        <v>THU</v>
      </c>
      <c r="E859" s="73">
        <v>812</v>
      </c>
      <c r="F859" s="73">
        <v>166.1</v>
      </c>
      <c r="G859" s="73">
        <v>0</v>
      </c>
      <c r="H859" s="73">
        <f t="shared" si="217"/>
        <v>32.480000000000004</v>
      </c>
      <c r="I859" s="73">
        <f t="shared" si="212"/>
        <v>2.7904799999999996</v>
      </c>
      <c r="J859" s="73">
        <v>0</v>
      </c>
      <c r="K859" s="73">
        <f t="shared" si="213"/>
        <v>130.82952</v>
      </c>
      <c r="L859" s="74">
        <v>5</v>
      </c>
      <c r="M859" s="74">
        <v>10</v>
      </c>
      <c r="N859" s="75">
        <f t="shared" si="209"/>
        <v>5.166666666666667</v>
      </c>
      <c r="O859" s="73">
        <f t="shared" si="216"/>
        <v>11.005000000000001</v>
      </c>
      <c r="P859" s="73">
        <f t="shared" si="210"/>
        <v>141.83452</v>
      </c>
      <c r="Q859" s="76">
        <f t="shared" si="214"/>
        <v>141.83452</v>
      </c>
      <c r="R859" s="30">
        <f>COUNTIF(RAW_DATA[[#This Row],[CONVERTED]],"&gt;0")</f>
        <v>1</v>
      </c>
      <c r="S859" s="30">
        <f>COUNTIFS(RAW_DATA[[#This Row],[AM/PM]],"AM",RAW_DATA[[#This Row],[CONVERTED]],"&gt;0")</f>
        <v>0</v>
      </c>
      <c r="T859" s="19">
        <f t="shared" si="215"/>
        <v>0</v>
      </c>
      <c r="U859" s="20" t="str">
        <f t="shared" si="218"/>
        <v>SINGLE</v>
      </c>
    </row>
    <row r="860" spans="1:21" x14ac:dyDescent="0.35">
      <c r="A860" s="70">
        <f t="shared" si="206"/>
        <v>45520</v>
      </c>
      <c r="B860" s="71" t="str">
        <f t="shared" si="207"/>
        <v>AM</v>
      </c>
      <c r="C860" s="72" t="str">
        <f t="shared" si="208"/>
        <v>August</v>
      </c>
      <c r="D860" s="13" t="str">
        <f t="shared" si="211"/>
        <v>FRI</v>
      </c>
      <c r="E860" s="73">
        <v>0</v>
      </c>
      <c r="F860" s="73">
        <v>0</v>
      </c>
      <c r="G860" s="73">
        <v>0</v>
      </c>
      <c r="H860" s="73">
        <f t="shared" si="217"/>
        <v>0</v>
      </c>
      <c r="I860" s="73">
        <f t="shared" si="212"/>
        <v>0</v>
      </c>
      <c r="J860" s="73">
        <v>0</v>
      </c>
      <c r="K860" s="73">
        <f t="shared" si="213"/>
        <v>0</v>
      </c>
      <c r="L860" s="74">
        <v>0</v>
      </c>
      <c r="M860" s="74">
        <v>0</v>
      </c>
      <c r="N860" s="75">
        <f t="shared" si="209"/>
        <v>0</v>
      </c>
      <c r="O860" s="73">
        <f t="shared" si="216"/>
        <v>0</v>
      </c>
      <c r="P860" s="73">
        <f t="shared" si="210"/>
        <v>0</v>
      </c>
      <c r="Q860" s="76">
        <f t="shared" si="214"/>
        <v>0</v>
      </c>
      <c r="R860" s="30">
        <f>COUNTIF(RAW_DATA[[#This Row],[CONVERTED]],"&gt;0")</f>
        <v>0</v>
      </c>
      <c r="S860" s="30">
        <f>COUNTIFS(RAW_DATA[[#This Row],[AM/PM]],"AM",RAW_DATA[[#This Row],[CONVERTED]],"&gt;0")</f>
        <v>0</v>
      </c>
      <c r="T860" s="19">
        <f t="shared" si="215"/>
        <v>0</v>
      </c>
      <c r="U860" s="20" t="str">
        <f t="shared" si="218"/>
        <v>SINGLE</v>
      </c>
    </row>
    <row r="861" spans="1:21" x14ac:dyDescent="0.35">
      <c r="A861" s="70">
        <f t="shared" si="206"/>
        <v>45520</v>
      </c>
      <c r="B861" s="71" t="str">
        <f t="shared" si="207"/>
        <v>PM</v>
      </c>
      <c r="C861" s="72" t="str">
        <f t="shared" si="208"/>
        <v>August</v>
      </c>
      <c r="D861" s="13" t="str">
        <f t="shared" si="211"/>
        <v>FRI</v>
      </c>
      <c r="E861" s="73">
        <v>864.5</v>
      </c>
      <c r="F861" s="73">
        <v>140.07</v>
      </c>
      <c r="G861" s="73">
        <v>35</v>
      </c>
      <c r="H861" s="73">
        <f t="shared" si="217"/>
        <v>34.58</v>
      </c>
      <c r="I861" s="73">
        <f t="shared" si="212"/>
        <v>2.3531759999999999</v>
      </c>
      <c r="J861" s="73">
        <v>7.6</v>
      </c>
      <c r="K861" s="73">
        <f t="shared" si="213"/>
        <v>103.13682399999999</v>
      </c>
      <c r="L861" s="74">
        <v>4</v>
      </c>
      <c r="M861" s="74">
        <v>18</v>
      </c>
      <c r="N861" s="75">
        <f t="shared" si="209"/>
        <v>4.3</v>
      </c>
      <c r="O861" s="73">
        <f t="shared" si="216"/>
        <v>9.1589999999999989</v>
      </c>
      <c r="P861" s="73">
        <f t="shared" si="210"/>
        <v>119.89582399999998</v>
      </c>
      <c r="Q861" s="76">
        <f t="shared" si="214"/>
        <v>147.29582399999998</v>
      </c>
      <c r="R861" s="30">
        <f>COUNTIF(RAW_DATA[[#This Row],[CONVERTED]],"&gt;0")</f>
        <v>1</v>
      </c>
      <c r="S861" s="30">
        <f>COUNTIFS(RAW_DATA[[#This Row],[AM/PM]],"AM",RAW_DATA[[#This Row],[CONVERTED]],"&gt;0")</f>
        <v>0</v>
      </c>
      <c r="T861" s="19">
        <f t="shared" si="215"/>
        <v>0</v>
      </c>
      <c r="U861" s="20" t="str">
        <f t="shared" si="218"/>
        <v>SINGLE</v>
      </c>
    </row>
    <row r="862" spans="1:21" x14ac:dyDescent="0.35">
      <c r="A862" s="70">
        <f t="shared" si="206"/>
        <v>45521</v>
      </c>
      <c r="B862" s="71" t="str">
        <f t="shared" si="207"/>
        <v>AM</v>
      </c>
      <c r="C862" s="72" t="str">
        <f t="shared" si="208"/>
        <v>August</v>
      </c>
      <c r="D862" s="13" t="str">
        <f t="shared" si="211"/>
        <v>SAT</v>
      </c>
      <c r="E862" s="73">
        <v>0</v>
      </c>
      <c r="F862" s="73">
        <v>0</v>
      </c>
      <c r="G862" s="73">
        <v>0</v>
      </c>
      <c r="H862" s="73">
        <f t="shared" si="217"/>
        <v>0</v>
      </c>
      <c r="I862" s="73">
        <f t="shared" si="212"/>
        <v>0</v>
      </c>
      <c r="J862" s="73">
        <v>0</v>
      </c>
      <c r="K862" s="73">
        <f t="shared" si="213"/>
        <v>0</v>
      </c>
      <c r="L862" s="74">
        <v>0</v>
      </c>
      <c r="M862" s="74">
        <v>0</v>
      </c>
      <c r="N862" s="75">
        <f t="shared" si="209"/>
        <v>0</v>
      </c>
      <c r="O862" s="73">
        <f t="shared" si="216"/>
        <v>0</v>
      </c>
      <c r="P862" s="73">
        <f t="shared" si="210"/>
        <v>0</v>
      </c>
      <c r="Q862" s="76">
        <f t="shared" si="214"/>
        <v>0</v>
      </c>
      <c r="R862" s="30">
        <f>COUNTIF(RAW_DATA[[#This Row],[CONVERTED]],"&gt;0")</f>
        <v>0</v>
      </c>
      <c r="S862" s="30">
        <f>COUNTIFS(RAW_DATA[[#This Row],[AM/PM]],"AM",RAW_DATA[[#This Row],[CONVERTED]],"&gt;0")</f>
        <v>0</v>
      </c>
      <c r="T862" s="19">
        <f t="shared" si="215"/>
        <v>0</v>
      </c>
      <c r="U862" s="20" t="str">
        <f t="shared" si="218"/>
        <v>SINGLE</v>
      </c>
    </row>
    <row r="863" spans="1:21" x14ac:dyDescent="0.35">
      <c r="A863" s="70">
        <f t="shared" si="206"/>
        <v>45521</v>
      </c>
      <c r="B863" s="71" t="str">
        <f t="shared" si="207"/>
        <v>PM</v>
      </c>
      <c r="C863" s="72" t="str">
        <f t="shared" si="208"/>
        <v>August</v>
      </c>
      <c r="D863" s="13" t="str">
        <f t="shared" si="211"/>
        <v>SAT</v>
      </c>
      <c r="E863" s="73">
        <v>2213.5</v>
      </c>
      <c r="F863" s="73">
        <v>457.51</v>
      </c>
      <c r="G863" s="73">
        <v>10</v>
      </c>
      <c r="H863" s="73">
        <f t="shared" si="217"/>
        <v>88.54</v>
      </c>
      <c r="I863" s="73">
        <f t="shared" si="212"/>
        <v>7.6861679999999994</v>
      </c>
      <c r="J863" s="73">
        <v>3.92</v>
      </c>
      <c r="K863" s="73">
        <f t="shared" si="213"/>
        <v>361.28383199999996</v>
      </c>
      <c r="L863" s="74">
        <v>6</v>
      </c>
      <c r="M863" s="74">
        <v>38</v>
      </c>
      <c r="N863" s="75">
        <f t="shared" si="209"/>
        <v>6.6333333333333337</v>
      </c>
      <c r="O863" s="73">
        <f t="shared" si="216"/>
        <v>14.129</v>
      </c>
      <c r="P863" s="73">
        <f t="shared" si="210"/>
        <v>379.332832</v>
      </c>
      <c r="Q863" s="76">
        <f t="shared" si="214"/>
        <v>385.41283199999998</v>
      </c>
      <c r="R863" s="30">
        <f>COUNTIF(RAW_DATA[[#This Row],[CONVERTED]],"&gt;0")</f>
        <v>1</v>
      </c>
      <c r="S863" s="30">
        <f>COUNTIFS(RAW_DATA[[#This Row],[AM/PM]],"AM",RAW_DATA[[#This Row],[CONVERTED]],"&gt;0")</f>
        <v>0</v>
      </c>
      <c r="T863" s="19">
        <f t="shared" si="215"/>
        <v>0</v>
      </c>
      <c r="U863" s="20" t="str">
        <f t="shared" si="218"/>
        <v>SINGLE</v>
      </c>
    </row>
    <row r="864" spans="1:21" x14ac:dyDescent="0.35">
      <c r="A864" s="70">
        <f t="shared" si="206"/>
        <v>45522</v>
      </c>
      <c r="B864" s="71" t="str">
        <f t="shared" si="207"/>
        <v>AM</v>
      </c>
      <c r="C864" s="72" t="str">
        <f t="shared" si="208"/>
        <v>August</v>
      </c>
      <c r="D864" s="13" t="str">
        <f t="shared" si="211"/>
        <v>SUN</v>
      </c>
      <c r="E864" s="73">
        <v>932.5</v>
      </c>
      <c r="F864" s="73">
        <v>182.8</v>
      </c>
      <c r="G864" s="73">
        <v>21</v>
      </c>
      <c r="H864" s="73">
        <f t="shared" si="217"/>
        <v>37.300000000000004</v>
      </c>
      <c r="I864" s="73">
        <f t="shared" si="212"/>
        <v>3.07104</v>
      </c>
      <c r="J864" s="73">
        <v>5.28</v>
      </c>
      <c r="K864" s="73">
        <f t="shared" si="213"/>
        <v>142.42896000000002</v>
      </c>
      <c r="L864" s="74">
        <v>5</v>
      </c>
      <c r="M864" s="74">
        <v>16</v>
      </c>
      <c r="N864" s="75">
        <f t="shared" si="209"/>
        <v>5.2666666666666666</v>
      </c>
      <c r="O864" s="73">
        <f t="shared" si="216"/>
        <v>11.218</v>
      </c>
      <c r="P864" s="73">
        <f t="shared" si="210"/>
        <v>158.92696000000001</v>
      </c>
      <c r="Q864" s="76">
        <f t="shared" si="214"/>
        <v>174.64696000000001</v>
      </c>
      <c r="R864" s="30">
        <f>COUNTIF(RAW_DATA[[#This Row],[CONVERTED]],"&gt;0")</f>
        <v>1</v>
      </c>
      <c r="S864" s="30">
        <f>COUNTIFS(RAW_DATA[[#This Row],[AM/PM]],"AM",RAW_DATA[[#This Row],[CONVERTED]],"&gt;0")</f>
        <v>1</v>
      </c>
      <c r="T864" s="19">
        <f t="shared" si="215"/>
        <v>0</v>
      </c>
      <c r="U864" s="20" t="str">
        <f t="shared" si="218"/>
        <v>DOUBLE</v>
      </c>
    </row>
    <row r="865" spans="1:21" x14ac:dyDescent="0.35">
      <c r="A865" s="70">
        <f t="shared" si="206"/>
        <v>45522</v>
      </c>
      <c r="B865" s="71" t="str">
        <f t="shared" si="207"/>
        <v>PM</v>
      </c>
      <c r="C865" s="72" t="str">
        <f t="shared" si="208"/>
        <v>August</v>
      </c>
      <c r="D865" s="13" t="str">
        <f t="shared" si="211"/>
        <v>SUN</v>
      </c>
      <c r="E865" s="73">
        <v>709</v>
      </c>
      <c r="F865" s="73">
        <v>124.9</v>
      </c>
      <c r="G865" s="73">
        <v>21</v>
      </c>
      <c r="H865" s="73">
        <f t="shared" si="217"/>
        <v>28.36</v>
      </c>
      <c r="I865" s="73">
        <f t="shared" si="212"/>
        <v>2.0983200000000002</v>
      </c>
      <c r="J865" s="73">
        <v>0</v>
      </c>
      <c r="K865" s="73">
        <f t="shared" si="213"/>
        <v>94.441680000000005</v>
      </c>
      <c r="L865" s="74">
        <v>3</v>
      </c>
      <c r="M865" s="74">
        <v>27</v>
      </c>
      <c r="N865" s="75">
        <f t="shared" si="209"/>
        <v>3.45</v>
      </c>
      <c r="O865" s="73">
        <f t="shared" si="216"/>
        <v>7.3484999999999996</v>
      </c>
      <c r="P865" s="73">
        <f t="shared" si="210"/>
        <v>101.79018000000001</v>
      </c>
      <c r="Q865" s="76">
        <f t="shared" si="214"/>
        <v>122.79018000000001</v>
      </c>
      <c r="R865" s="30">
        <f>COUNTIF(RAW_DATA[[#This Row],[CONVERTED]],"&gt;0")</f>
        <v>1</v>
      </c>
      <c r="S865" s="30">
        <f>COUNTIFS(RAW_DATA[[#This Row],[AM/PM]],"AM",RAW_DATA[[#This Row],[CONVERTED]],"&gt;0")</f>
        <v>0</v>
      </c>
      <c r="T865" s="19">
        <f t="shared" si="215"/>
        <v>1</v>
      </c>
      <c r="U865" s="20" t="str">
        <f t="shared" si="218"/>
        <v>DOUBLE</v>
      </c>
    </row>
    <row r="866" spans="1:21" x14ac:dyDescent="0.35">
      <c r="A866" s="70">
        <f t="shared" si="206"/>
        <v>45523</v>
      </c>
      <c r="B866" s="71" t="str">
        <f t="shared" si="207"/>
        <v>AM</v>
      </c>
      <c r="C866" s="72" t="str">
        <f t="shared" si="208"/>
        <v>August</v>
      </c>
      <c r="D866" s="13" t="str">
        <f t="shared" si="211"/>
        <v>MON</v>
      </c>
      <c r="E866" s="73">
        <v>831</v>
      </c>
      <c r="F866" s="73">
        <v>153.55000000000001</v>
      </c>
      <c r="G866" s="73">
        <v>0</v>
      </c>
      <c r="H866" s="73">
        <f t="shared" si="217"/>
        <v>33.24</v>
      </c>
      <c r="I866" s="73">
        <f t="shared" si="212"/>
        <v>2.5796399999999999</v>
      </c>
      <c r="J866" s="73">
        <v>0</v>
      </c>
      <c r="K866" s="73">
        <f t="shared" si="213"/>
        <v>117.73036000000002</v>
      </c>
      <c r="L866" s="74">
        <v>4</v>
      </c>
      <c r="M866" s="74">
        <v>14</v>
      </c>
      <c r="N866" s="75">
        <f t="shared" si="209"/>
        <v>4.2333333333333334</v>
      </c>
      <c r="O866" s="73">
        <f t="shared" si="216"/>
        <v>9.0169999999999995</v>
      </c>
      <c r="P866" s="73">
        <f t="shared" si="210"/>
        <v>126.74736000000001</v>
      </c>
      <c r="Q866" s="76">
        <f t="shared" si="214"/>
        <v>126.74736000000001</v>
      </c>
      <c r="R866" s="30">
        <f>COUNTIF(RAW_DATA[[#This Row],[CONVERTED]],"&gt;0")</f>
        <v>1</v>
      </c>
      <c r="S866" s="30">
        <f>COUNTIFS(RAW_DATA[[#This Row],[AM/PM]],"AM",RAW_DATA[[#This Row],[CONVERTED]],"&gt;0")</f>
        <v>1</v>
      </c>
      <c r="T866" s="19">
        <f t="shared" si="215"/>
        <v>0</v>
      </c>
      <c r="U866" s="20" t="str">
        <f t="shared" si="218"/>
        <v>DOUBLE</v>
      </c>
    </row>
    <row r="867" spans="1:21" x14ac:dyDescent="0.35">
      <c r="A867" s="70">
        <f t="shared" si="206"/>
        <v>45523</v>
      </c>
      <c r="B867" s="71" t="str">
        <f t="shared" si="207"/>
        <v>PM</v>
      </c>
      <c r="C867" s="72" t="str">
        <f t="shared" si="208"/>
        <v>August</v>
      </c>
      <c r="D867" s="13" t="str">
        <f t="shared" si="211"/>
        <v>MON</v>
      </c>
      <c r="E867" s="73">
        <v>966.5</v>
      </c>
      <c r="F867" s="73">
        <v>171.25</v>
      </c>
      <c r="G867" s="73">
        <v>40</v>
      </c>
      <c r="H867" s="73">
        <f t="shared" si="217"/>
        <v>38.660000000000004</v>
      </c>
      <c r="I867" s="73">
        <f t="shared" si="212"/>
        <v>2.8769999999999998</v>
      </c>
      <c r="J867" s="73">
        <v>0</v>
      </c>
      <c r="K867" s="73">
        <f t="shared" si="213"/>
        <v>129.71299999999999</v>
      </c>
      <c r="L867" s="74">
        <v>3</v>
      </c>
      <c r="M867" s="74">
        <v>46</v>
      </c>
      <c r="N867" s="75">
        <f t="shared" si="209"/>
        <v>3.7666666666666666</v>
      </c>
      <c r="O867" s="73">
        <f t="shared" si="216"/>
        <v>8.0229999999999997</v>
      </c>
      <c r="P867" s="73">
        <f t="shared" si="210"/>
        <v>137.73599999999999</v>
      </c>
      <c r="Q867" s="76">
        <f t="shared" si="214"/>
        <v>177.73599999999999</v>
      </c>
      <c r="R867" s="30">
        <f>COUNTIF(RAW_DATA[[#This Row],[CONVERTED]],"&gt;0")</f>
        <v>1</v>
      </c>
      <c r="S867" s="30">
        <f>COUNTIFS(RAW_DATA[[#This Row],[AM/PM]],"AM",RAW_DATA[[#This Row],[CONVERTED]],"&gt;0")</f>
        <v>0</v>
      </c>
      <c r="T867" s="19">
        <f t="shared" si="215"/>
        <v>1</v>
      </c>
      <c r="U867" s="20" t="str">
        <f t="shared" si="218"/>
        <v>DOUBLE</v>
      </c>
    </row>
    <row r="868" spans="1:21" x14ac:dyDescent="0.35">
      <c r="A868" s="70">
        <f t="shared" si="206"/>
        <v>45524</v>
      </c>
      <c r="B868" s="71" t="str">
        <f t="shared" si="207"/>
        <v>AM</v>
      </c>
      <c r="C868" s="72" t="str">
        <f t="shared" si="208"/>
        <v>August</v>
      </c>
      <c r="D868" s="13" t="str">
        <f t="shared" si="211"/>
        <v>TUE</v>
      </c>
      <c r="E868" s="73">
        <v>0</v>
      </c>
      <c r="F868" s="73">
        <v>0</v>
      </c>
      <c r="G868" s="73">
        <v>0</v>
      </c>
      <c r="H868" s="73">
        <f t="shared" si="217"/>
        <v>0</v>
      </c>
      <c r="I868" s="73">
        <f t="shared" si="212"/>
        <v>0</v>
      </c>
      <c r="J868" s="73">
        <v>0</v>
      </c>
      <c r="K868" s="73">
        <f t="shared" si="213"/>
        <v>0</v>
      </c>
      <c r="L868" s="74">
        <v>0</v>
      </c>
      <c r="M868" s="74">
        <v>0</v>
      </c>
      <c r="N868" s="75">
        <f t="shared" si="209"/>
        <v>0</v>
      </c>
      <c r="O868" s="73">
        <f t="shared" si="216"/>
        <v>0</v>
      </c>
      <c r="P868" s="73">
        <f t="shared" si="210"/>
        <v>0</v>
      </c>
      <c r="Q868" s="76">
        <f t="shared" si="214"/>
        <v>0</v>
      </c>
      <c r="R868" s="30">
        <f>COUNTIF(RAW_DATA[[#This Row],[CONVERTED]],"&gt;0")</f>
        <v>0</v>
      </c>
      <c r="S868" s="30">
        <f>COUNTIFS(RAW_DATA[[#This Row],[AM/PM]],"AM",RAW_DATA[[#This Row],[CONVERTED]],"&gt;0")</f>
        <v>0</v>
      </c>
      <c r="T868" s="19">
        <f t="shared" si="215"/>
        <v>0</v>
      </c>
      <c r="U868" s="20" t="str">
        <f t="shared" si="218"/>
        <v>SINGLE</v>
      </c>
    </row>
    <row r="869" spans="1:21" x14ac:dyDescent="0.35">
      <c r="A869" s="70">
        <f t="shared" si="206"/>
        <v>45524</v>
      </c>
      <c r="B869" s="71" t="str">
        <f t="shared" si="207"/>
        <v>PM</v>
      </c>
      <c r="C869" s="72" t="str">
        <f t="shared" si="208"/>
        <v>August</v>
      </c>
      <c r="D869" s="13" t="str">
        <f t="shared" si="211"/>
        <v>TUE</v>
      </c>
      <c r="E869" s="73">
        <v>0</v>
      </c>
      <c r="F869" s="73">
        <v>0</v>
      </c>
      <c r="G869" s="73">
        <v>0</v>
      </c>
      <c r="H869" s="73">
        <f t="shared" si="217"/>
        <v>0</v>
      </c>
      <c r="I869" s="73">
        <f t="shared" si="212"/>
        <v>0</v>
      </c>
      <c r="J869" s="73">
        <v>0</v>
      </c>
      <c r="K869" s="73">
        <f t="shared" si="213"/>
        <v>0</v>
      </c>
      <c r="L869" s="74">
        <v>0</v>
      </c>
      <c r="M869" s="74">
        <v>0</v>
      </c>
      <c r="N869" s="75">
        <f t="shared" si="209"/>
        <v>0</v>
      </c>
      <c r="O869" s="73">
        <f t="shared" si="216"/>
        <v>0</v>
      </c>
      <c r="P869" s="73">
        <f t="shared" si="210"/>
        <v>0</v>
      </c>
      <c r="Q869" s="76">
        <f t="shared" si="214"/>
        <v>0</v>
      </c>
      <c r="R869" s="30">
        <f>COUNTIF(RAW_DATA[[#This Row],[CONVERTED]],"&gt;0")</f>
        <v>0</v>
      </c>
      <c r="S869" s="30">
        <f>COUNTIFS(RAW_DATA[[#This Row],[AM/PM]],"AM",RAW_DATA[[#This Row],[CONVERTED]],"&gt;0")</f>
        <v>0</v>
      </c>
      <c r="T869" s="19">
        <f t="shared" si="215"/>
        <v>0</v>
      </c>
      <c r="U869" s="20" t="str">
        <f t="shared" si="218"/>
        <v>SINGLE</v>
      </c>
    </row>
    <row r="870" spans="1:21" x14ac:dyDescent="0.35">
      <c r="A870" s="104">
        <f t="shared" si="206"/>
        <v>45525</v>
      </c>
      <c r="B870" s="105" t="str">
        <f t="shared" si="207"/>
        <v>AM</v>
      </c>
      <c r="C870" s="106" t="str">
        <f t="shared" si="208"/>
        <v>August</v>
      </c>
      <c r="D870" s="107" t="str">
        <f t="shared" si="211"/>
        <v>WED</v>
      </c>
      <c r="E870" s="108">
        <v>0</v>
      </c>
      <c r="F870" s="108">
        <v>0</v>
      </c>
      <c r="G870" s="108">
        <v>0</v>
      </c>
      <c r="H870" s="108">
        <f t="shared" si="217"/>
        <v>0</v>
      </c>
      <c r="I870" s="108">
        <f t="shared" si="212"/>
        <v>0</v>
      </c>
      <c r="J870" s="108">
        <v>0</v>
      </c>
      <c r="K870" s="108">
        <f t="shared" si="213"/>
        <v>0</v>
      </c>
      <c r="L870" s="109">
        <v>0</v>
      </c>
      <c r="M870" s="109">
        <v>0</v>
      </c>
      <c r="N870" s="110">
        <f t="shared" si="209"/>
        <v>0</v>
      </c>
      <c r="O870" s="108">
        <f t="shared" si="216"/>
        <v>0</v>
      </c>
      <c r="P870" s="108">
        <f t="shared" si="210"/>
        <v>0</v>
      </c>
      <c r="Q870" s="111">
        <f t="shared" si="214"/>
        <v>0</v>
      </c>
      <c r="R870" s="112">
        <f>COUNTIF(RAW_DATA[[#This Row],[CONVERTED]],"&gt;0")</f>
        <v>0</v>
      </c>
      <c r="S870" s="112">
        <f>COUNTIFS(RAW_DATA[[#This Row],[AM/PM]],"AM",RAW_DATA[[#This Row],[CONVERTED]],"&gt;0")</f>
        <v>0</v>
      </c>
      <c r="T870" s="113">
        <f t="shared" si="215"/>
        <v>0</v>
      </c>
      <c r="U870" s="114" t="str">
        <f t="shared" si="218"/>
        <v>SINGLE</v>
      </c>
    </row>
    <row r="871" spans="1:21" x14ac:dyDescent="0.35">
      <c r="A871" s="70">
        <f t="shared" si="206"/>
        <v>45525</v>
      </c>
      <c r="B871" s="71" t="str">
        <f t="shared" si="207"/>
        <v>PM</v>
      </c>
      <c r="C871" s="72" t="str">
        <f t="shared" si="208"/>
        <v>August</v>
      </c>
      <c r="D871" s="13" t="str">
        <f t="shared" si="211"/>
        <v>WED</v>
      </c>
      <c r="E871" s="73">
        <v>762</v>
      </c>
      <c r="F871" s="73">
        <v>144.05000000000001</v>
      </c>
      <c r="G871" s="73">
        <v>0</v>
      </c>
      <c r="H871" s="73">
        <f t="shared" si="217"/>
        <v>30.48</v>
      </c>
      <c r="I871" s="73">
        <f t="shared" si="212"/>
        <v>2.4200400000000002</v>
      </c>
      <c r="J871" s="73">
        <v>0</v>
      </c>
      <c r="K871" s="73">
        <f t="shared" si="213"/>
        <v>111.14996000000001</v>
      </c>
      <c r="L871" s="74">
        <v>5</v>
      </c>
      <c r="M871" s="74">
        <v>25</v>
      </c>
      <c r="N871" s="75">
        <f t="shared" si="209"/>
        <v>5.416666666666667</v>
      </c>
      <c r="O871" s="73">
        <f t="shared" si="216"/>
        <v>11.5375</v>
      </c>
      <c r="P871" s="73">
        <f t="shared" si="210"/>
        <v>122.68746</v>
      </c>
      <c r="Q871" s="76">
        <f t="shared" si="214"/>
        <v>122.68746</v>
      </c>
      <c r="R871" s="30">
        <f>COUNTIF(RAW_DATA[[#This Row],[CONVERTED]],"&gt;0")</f>
        <v>1</v>
      </c>
      <c r="S871" s="30">
        <f>COUNTIFS(RAW_DATA[[#This Row],[AM/PM]],"AM",RAW_DATA[[#This Row],[CONVERTED]],"&gt;0")</f>
        <v>0</v>
      </c>
      <c r="T871" s="19">
        <f t="shared" si="215"/>
        <v>0</v>
      </c>
      <c r="U871" s="20" t="str">
        <f t="shared" si="218"/>
        <v>SINGLE</v>
      </c>
    </row>
    <row r="872" spans="1:21" x14ac:dyDescent="0.35">
      <c r="A872" s="70">
        <f t="shared" si="206"/>
        <v>45526</v>
      </c>
      <c r="B872" s="71" t="str">
        <f t="shared" si="207"/>
        <v>AM</v>
      </c>
      <c r="C872" s="72" t="str">
        <f t="shared" si="208"/>
        <v>August</v>
      </c>
      <c r="D872" s="13" t="str">
        <f t="shared" si="211"/>
        <v>THU</v>
      </c>
      <c r="E872" s="73">
        <v>0</v>
      </c>
      <c r="F872" s="73">
        <v>0</v>
      </c>
      <c r="G872" s="73">
        <v>0</v>
      </c>
      <c r="H872" s="73">
        <f t="shared" si="217"/>
        <v>0</v>
      </c>
      <c r="I872" s="73">
        <f t="shared" si="212"/>
        <v>0</v>
      </c>
      <c r="J872" s="73">
        <v>0</v>
      </c>
      <c r="K872" s="73">
        <f t="shared" si="213"/>
        <v>0</v>
      </c>
      <c r="L872" s="74">
        <v>0</v>
      </c>
      <c r="M872" s="74">
        <v>0</v>
      </c>
      <c r="N872" s="75">
        <f t="shared" si="209"/>
        <v>0</v>
      </c>
      <c r="O872" s="73">
        <f t="shared" si="216"/>
        <v>0</v>
      </c>
      <c r="P872" s="73">
        <f t="shared" si="210"/>
        <v>0</v>
      </c>
      <c r="Q872" s="76">
        <f t="shared" si="214"/>
        <v>0</v>
      </c>
      <c r="R872" s="30">
        <f>COUNTIF(RAW_DATA[[#This Row],[CONVERTED]],"&gt;0")</f>
        <v>0</v>
      </c>
      <c r="S872" s="30">
        <f>COUNTIFS(RAW_DATA[[#This Row],[AM/PM]],"AM",RAW_DATA[[#This Row],[CONVERTED]],"&gt;0")</f>
        <v>0</v>
      </c>
      <c r="T872" s="19">
        <f t="shared" si="215"/>
        <v>0</v>
      </c>
      <c r="U872" s="20" t="str">
        <f t="shared" si="218"/>
        <v>SINGLE</v>
      </c>
    </row>
    <row r="873" spans="1:21" x14ac:dyDescent="0.35">
      <c r="A873" s="70">
        <f t="shared" si="206"/>
        <v>45526</v>
      </c>
      <c r="B873" s="71" t="str">
        <f t="shared" si="207"/>
        <v>PM</v>
      </c>
      <c r="C873" s="72" t="str">
        <f t="shared" si="208"/>
        <v>August</v>
      </c>
      <c r="D873" s="13" t="str">
        <f t="shared" si="211"/>
        <v>THU</v>
      </c>
      <c r="E873" s="73">
        <v>844</v>
      </c>
      <c r="F873" s="73">
        <v>151.77000000000001</v>
      </c>
      <c r="G873" s="73">
        <v>20</v>
      </c>
      <c r="H873" s="73">
        <f t="shared" si="217"/>
        <v>33.76</v>
      </c>
      <c r="I873" s="73">
        <f t="shared" si="212"/>
        <v>2.5497360000000002</v>
      </c>
      <c r="J873" s="73">
        <v>7.68</v>
      </c>
      <c r="K873" s="73">
        <f t="shared" si="213"/>
        <v>115.46026400000001</v>
      </c>
      <c r="L873" s="74">
        <v>4</v>
      </c>
      <c r="M873" s="74">
        <v>21</v>
      </c>
      <c r="N873" s="75">
        <f t="shared" si="209"/>
        <v>4.3499999999999996</v>
      </c>
      <c r="O873" s="73">
        <f t="shared" si="216"/>
        <v>9.2654999999999994</v>
      </c>
      <c r="P873" s="73">
        <f t="shared" si="210"/>
        <v>132.405764</v>
      </c>
      <c r="Q873" s="76">
        <f t="shared" si="214"/>
        <v>144.725764</v>
      </c>
      <c r="R873" s="30">
        <f>COUNTIF(RAW_DATA[[#This Row],[CONVERTED]],"&gt;0")</f>
        <v>1</v>
      </c>
      <c r="S873" s="30">
        <f>COUNTIFS(RAW_DATA[[#This Row],[AM/PM]],"AM",RAW_DATA[[#This Row],[CONVERTED]],"&gt;0")</f>
        <v>0</v>
      </c>
      <c r="T873" s="19">
        <f t="shared" si="215"/>
        <v>0</v>
      </c>
      <c r="U873" s="20" t="str">
        <f t="shared" si="218"/>
        <v>SINGLE</v>
      </c>
    </row>
    <row r="874" spans="1:21" x14ac:dyDescent="0.35">
      <c r="A874" s="70">
        <f t="shared" si="206"/>
        <v>45527</v>
      </c>
      <c r="B874" s="71" t="str">
        <f t="shared" si="207"/>
        <v>AM</v>
      </c>
      <c r="C874" s="72" t="str">
        <f t="shared" si="208"/>
        <v>August</v>
      </c>
      <c r="D874" s="13" t="str">
        <f t="shared" si="211"/>
        <v>FRI</v>
      </c>
      <c r="E874" s="73">
        <v>0</v>
      </c>
      <c r="F874" s="73">
        <v>0</v>
      </c>
      <c r="G874" s="73">
        <v>0</v>
      </c>
      <c r="H874" s="73">
        <f t="shared" si="217"/>
        <v>0</v>
      </c>
      <c r="I874" s="73">
        <f t="shared" si="212"/>
        <v>0</v>
      </c>
      <c r="J874" s="73">
        <v>0</v>
      </c>
      <c r="K874" s="73">
        <f t="shared" si="213"/>
        <v>0</v>
      </c>
      <c r="L874" s="74">
        <v>0</v>
      </c>
      <c r="M874" s="74">
        <v>0</v>
      </c>
      <c r="N874" s="75">
        <f t="shared" si="209"/>
        <v>0</v>
      </c>
      <c r="O874" s="73">
        <f t="shared" si="216"/>
        <v>0</v>
      </c>
      <c r="P874" s="73">
        <f t="shared" si="210"/>
        <v>0</v>
      </c>
      <c r="Q874" s="76">
        <f t="shared" si="214"/>
        <v>0</v>
      </c>
      <c r="R874" s="30">
        <f>COUNTIF(RAW_DATA[[#This Row],[CONVERTED]],"&gt;0")</f>
        <v>0</v>
      </c>
      <c r="S874" s="30">
        <f>COUNTIFS(RAW_DATA[[#This Row],[AM/PM]],"AM",RAW_DATA[[#This Row],[CONVERTED]],"&gt;0")</f>
        <v>0</v>
      </c>
      <c r="T874" s="19">
        <f t="shared" si="215"/>
        <v>0</v>
      </c>
      <c r="U874" s="20" t="str">
        <f t="shared" si="218"/>
        <v>SINGLE</v>
      </c>
    </row>
    <row r="875" spans="1:21" x14ac:dyDescent="0.35">
      <c r="A875" s="70">
        <f t="shared" si="206"/>
        <v>45527</v>
      </c>
      <c r="B875" s="71" t="str">
        <f t="shared" si="207"/>
        <v>PM</v>
      </c>
      <c r="C875" s="72" t="str">
        <f t="shared" si="208"/>
        <v>August</v>
      </c>
      <c r="D875" s="13" t="str">
        <f t="shared" si="211"/>
        <v>FRI</v>
      </c>
      <c r="E875" s="73">
        <v>0</v>
      </c>
      <c r="F875" s="73">
        <v>0</v>
      </c>
      <c r="G875" s="73">
        <v>0</v>
      </c>
      <c r="H875" s="73">
        <f t="shared" si="217"/>
        <v>0</v>
      </c>
      <c r="I875" s="73">
        <f t="shared" si="212"/>
        <v>0</v>
      </c>
      <c r="J875" s="73">
        <v>0</v>
      </c>
      <c r="K875" s="73">
        <f t="shared" si="213"/>
        <v>0</v>
      </c>
      <c r="L875" s="74">
        <v>0</v>
      </c>
      <c r="M875" s="74">
        <v>0</v>
      </c>
      <c r="N875" s="75">
        <f t="shared" si="209"/>
        <v>0</v>
      </c>
      <c r="O875" s="73">
        <f t="shared" si="216"/>
        <v>0</v>
      </c>
      <c r="P875" s="73">
        <f t="shared" si="210"/>
        <v>0</v>
      </c>
      <c r="Q875" s="76">
        <f t="shared" si="214"/>
        <v>0</v>
      </c>
      <c r="R875" s="30">
        <f>COUNTIF(RAW_DATA[[#This Row],[CONVERTED]],"&gt;0")</f>
        <v>0</v>
      </c>
      <c r="S875" s="30">
        <f>COUNTIFS(RAW_DATA[[#This Row],[AM/PM]],"AM",RAW_DATA[[#This Row],[CONVERTED]],"&gt;0")</f>
        <v>0</v>
      </c>
      <c r="T875" s="19">
        <f t="shared" si="215"/>
        <v>0</v>
      </c>
      <c r="U875" s="20" t="str">
        <f t="shared" si="218"/>
        <v>SINGLE</v>
      </c>
    </row>
    <row r="876" spans="1:21" x14ac:dyDescent="0.35">
      <c r="A876" s="70">
        <f t="shared" si="206"/>
        <v>45528</v>
      </c>
      <c r="B876" s="71" t="str">
        <f t="shared" si="207"/>
        <v>AM</v>
      </c>
      <c r="C876" s="72" t="str">
        <f t="shared" si="208"/>
        <v>August</v>
      </c>
      <c r="D876" s="13" t="str">
        <f t="shared" si="211"/>
        <v>SAT</v>
      </c>
      <c r="E876" s="73">
        <f>1619.5/2</f>
        <v>809.75</v>
      </c>
      <c r="F876" s="73">
        <f>338.3/2</f>
        <v>169.15</v>
      </c>
      <c r="G876" s="73">
        <v>4</v>
      </c>
      <c r="H876" s="73">
        <f t="shared" si="217"/>
        <v>32.39</v>
      </c>
      <c r="I876" s="73">
        <f t="shared" si="212"/>
        <v>2.84172</v>
      </c>
      <c r="J876" s="73">
        <f>5.36/2</f>
        <v>2.68</v>
      </c>
      <c r="K876" s="73">
        <f t="shared" si="213"/>
        <v>133.91828000000001</v>
      </c>
      <c r="L876" s="74">
        <f>10/2</f>
        <v>5</v>
      </c>
      <c r="M876" s="103">
        <f>17/2</f>
        <v>8.5</v>
      </c>
      <c r="N876" s="75">
        <f t="shared" si="209"/>
        <v>5.1416666666666666</v>
      </c>
      <c r="O876" s="73">
        <f t="shared" si="216"/>
        <v>10.951749999999999</v>
      </c>
      <c r="P876" s="73">
        <f t="shared" si="210"/>
        <v>147.55003000000002</v>
      </c>
      <c r="Q876" s="76">
        <f t="shared" si="214"/>
        <v>148.87003000000001</v>
      </c>
      <c r="R876" s="30">
        <f>COUNTIF(RAW_DATA[[#This Row],[CONVERTED]],"&gt;0")</f>
        <v>1</v>
      </c>
      <c r="S876" s="30">
        <f>COUNTIFS(RAW_DATA[[#This Row],[AM/PM]],"AM",RAW_DATA[[#This Row],[CONVERTED]],"&gt;0")</f>
        <v>1</v>
      </c>
      <c r="T876" s="19">
        <f t="shared" si="215"/>
        <v>0</v>
      </c>
      <c r="U876" s="20" t="str">
        <f t="shared" si="218"/>
        <v>DOUBLE</v>
      </c>
    </row>
    <row r="877" spans="1:21" x14ac:dyDescent="0.35">
      <c r="A877" s="70">
        <f t="shared" si="206"/>
        <v>45528</v>
      </c>
      <c r="B877" s="71" t="str">
        <f t="shared" si="207"/>
        <v>PM</v>
      </c>
      <c r="C877" s="72" t="str">
        <f t="shared" si="208"/>
        <v>August</v>
      </c>
      <c r="D877" s="13" t="str">
        <f t="shared" si="211"/>
        <v>SAT</v>
      </c>
      <c r="E877" s="73">
        <f>1619.5/2</f>
        <v>809.75</v>
      </c>
      <c r="F877" s="73">
        <f>338.3/2</f>
        <v>169.15</v>
      </c>
      <c r="G877" s="73">
        <v>5</v>
      </c>
      <c r="H877" s="73">
        <f t="shared" si="217"/>
        <v>32.39</v>
      </c>
      <c r="I877" s="73">
        <f t="shared" si="212"/>
        <v>2.84172</v>
      </c>
      <c r="J877" s="73">
        <f>5.36/2</f>
        <v>2.68</v>
      </c>
      <c r="K877" s="73">
        <f t="shared" si="213"/>
        <v>133.91828000000001</v>
      </c>
      <c r="L877" s="74">
        <f>10/2</f>
        <v>5</v>
      </c>
      <c r="M877" s="103">
        <f>17/2</f>
        <v>8.5</v>
      </c>
      <c r="N877" s="75">
        <f t="shared" si="209"/>
        <v>5.1416666666666666</v>
      </c>
      <c r="O877" s="73">
        <f t="shared" si="216"/>
        <v>10.951749999999999</v>
      </c>
      <c r="P877" s="73">
        <f t="shared" si="210"/>
        <v>147.55003000000002</v>
      </c>
      <c r="Q877" s="76">
        <f t="shared" si="214"/>
        <v>149.87003000000001</v>
      </c>
      <c r="R877" s="30">
        <f>COUNTIF(RAW_DATA[[#This Row],[CONVERTED]],"&gt;0")</f>
        <v>1</v>
      </c>
      <c r="S877" s="30">
        <f>COUNTIFS(RAW_DATA[[#This Row],[AM/PM]],"AM",RAW_DATA[[#This Row],[CONVERTED]],"&gt;0")</f>
        <v>0</v>
      </c>
      <c r="T877" s="19">
        <f t="shared" si="215"/>
        <v>1</v>
      </c>
      <c r="U877" s="20" t="str">
        <f t="shared" si="218"/>
        <v>DOUBLE</v>
      </c>
    </row>
    <row r="878" spans="1:21" x14ac:dyDescent="0.35">
      <c r="A878" s="70">
        <f t="shared" si="206"/>
        <v>45529</v>
      </c>
      <c r="B878" s="71" t="str">
        <f t="shared" si="207"/>
        <v>AM</v>
      </c>
      <c r="C878" s="72" t="str">
        <f t="shared" si="208"/>
        <v>August</v>
      </c>
      <c r="D878" s="13" t="str">
        <f t="shared" si="211"/>
        <v>SUN</v>
      </c>
      <c r="E878" s="73">
        <v>720.5</v>
      </c>
      <c r="F878" s="73">
        <v>110.42</v>
      </c>
      <c r="G878" s="73">
        <v>22</v>
      </c>
      <c r="H878" s="73">
        <f t="shared" si="217"/>
        <v>28.82</v>
      </c>
      <c r="I878" s="73">
        <f t="shared" si="212"/>
        <v>1.8550559999999998</v>
      </c>
      <c r="J878" s="73">
        <v>7.6</v>
      </c>
      <c r="K878" s="73">
        <f t="shared" si="213"/>
        <v>79.744944000000004</v>
      </c>
      <c r="L878" s="74">
        <v>4</v>
      </c>
      <c r="M878" s="74">
        <v>8</v>
      </c>
      <c r="N878" s="75">
        <f t="shared" si="209"/>
        <v>4.1333333333333337</v>
      </c>
      <c r="O878" s="73">
        <f t="shared" si="216"/>
        <v>8.8040000000000003</v>
      </c>
      <c r="P878" s="73">
        <f t="shared" si="210"/>
        <v>96.148944</v>
      </c>
      <c r="Q878" s="76">
        <f t="shared" si="214"/>
        <v>110.54894400000001</v>
      </c>
      <c r="R878" s="30">
        <f>COUNTIF(RAW_DATA[[#This Row],[CONVERTED]],"&gt;0")</f>
        <v>1</v>
      </c>
      <c r="S878" s="30">
        <f>COUNTIFS(RAW_DATA[[#This Row],[AM/PM]],"AM",RAW_DATA[[#This Row],[CONVERTED]],"&gt;0")</f>
        <v>1</v>
      </c>
      <c r="T878" s="19">
        <f t="shared" si="215"/>
        <v>0</v>
      </c>
      <c r="U878" s="20" t="str">
        <f t="shared" si="218"/>
        <v>DOUBLE</v>
      </c>
    </row>
    <row r="879" spans="1:21" x14ac:dyDescent="0.35">
      <c r="A879" s="70">
        <f t="shared" si="206"/>
        <v>45529</v>
      </c>
      <c r="B879" s="71" t="str">
        <f t="shared" si="207"/>
        <v>PM</v>
      </c>
      <c r="C879" s="72" t="str">
        <f t="shared" si="208"/>
        <v>August</v>
      </c>
      <c r="D879" s="13" t="str">
        <f t="shared" si="211"/>
        <v>SUN</v>
      </c>
      <c r="E879" s="73">
        <v>995</v>
      </c>
      <c r="F879" s="73">
        <v>145.68</v>
      </c>
      <c r="G879" s="73">
        <v>50</v>
      </c>
      <c r="H879" s="73">
        <f t="shared" si="217"/>
        <v>39.800000000000004</v>
      </c>
      <c r="I879" s="73">
        <f t="shared" si="212"/>
        <v>2.4474239999999998</v>
      </c>
      <c r="J879" s="73">
        <v>0</v>
      </c>
      <c r="K879" s="73">
        <f t="shared" si="213"/>
        <v>103.43257600000001</v>
      </c>
      <c r="L879" s="74">
        <v>4</v>
      </c>
      <c r="M879" s="74">
        <v>1</v>
      </c>
      <c r="N879" s="75">
        <f t="shared" si="209"/>
        <v>4.0166666666666666</v>
      </c>
      <c r="O879" s="73">
        <f t="shared" si="216"/>
        <v>8.5555000000000003</v>
      </c>
      <c r="P879" s="73">
        <f t="shared" si="210"/>
        <v>111.98807600000001</v>
      </c>
      <c r="Q879" s="76">
        <f t="shared" si="214"/>
        <v>161.98807600000001</v>
      </c>
      <c r="R879" s="30">
        <f>COUNTIF(RAW_DATA[[#This Row],[CONVERTED]],"&gt;0")</f>
        <v>1</v>
      </c>
      <c r="S879" s="30">
        <f>COUNTIFS(RAW_DATA[[#This Row],[AM/PM]],"AM",RAW_DATA[[#This Row],[CONVERTED]],"&gt;0")</f>
        <v>0</v>
      </c>
      <c r="T879" s="19">
        <f t="shared" si="215"/>
        <v>1</v>
      </c>
      <c r="U879" s="20" t="str">
        <f t="shared" si="218"/>
        <v>DOUBLE</v>
      </c>
    </row>
    <row r="880" spans="1:21" x14ac:dyDescent="0.35">
      <c r="A880" s="70">
        <f t="shared" si="206"/>
        <v>45530</v>
      </c>
      <c r="B880" s="71" t="str">
        <f t="shared" si="207"/>
        <v>AM</v>
      </c>
      <c r="C880" s="72" t="str">
        <f t="shared" si="208"/>
        <v>August</v>
      </c>
      <c r="D880" s="13" t="str">
        <f t="shared" si="211"/>
        <v>MON</v>
      </c>
      <c r="E880" s="73">
        <v>319</v>
      </c>
      <c r="F880" s="73">
        <v>60.2</v>
      </c>
      <c r="G880" s="73">
        <v>0</v>
      </c>
      <c r="H880" s="73">
        <f t="shared" si="217"/>
        <v>12.76</v>
      </c>
      <c r="I880" s="73">
        <f t="shared" si="212"/>
        <v>1.01136</v>
      </c>
      <c r="J880" s="73">
        <v>0</v>
      </c>
      <c r="K880" s="73">
        <f t="shared" si="213"/>
        <v>46.428640000000001</v>
      </c>
      <c r="L880" s="74">
        <v>2</v>
      </c>
      <c r="M880" s="74">
        <v>47</v>
      </c>
      <c r="N880" s="75">
        <f t="shared" si="209"/>
        <v>2.7833333333333332</v>
      </c>
      <c r="O880" s="73">
        <f t="shared" si="216"/>
        <v>5.9284999999999997</v>
      </c>
      <c r="P880" s="73">
        <f t="shared" si="210"/>
        <v>52.357140000000001</v>
      </c>
      <c r="Q880" s="76">
        <f t="shared" si="214"/>
        <v>52.357140000000001</v>
      </c>
      <c r="R880" s="30">
        <f>COUNTIF(RAW_DATA[[#This Row],[CONVERTED]],"&gt;0")</f>
        <v>1</v>
      </c>
      <c r="S880" s="30">
        <f>COUNTIFS(RAW_DATA[[#This Row],[AM/PM]],"AM",RAW_DATA[[#This Row],[CONVERTED]],"&gt;0")</f>
        <v>1</v>
      </c>
      <c r="T880" s="19">
        <f t="shared" si="215"/>
        <v>0</v>
      </c>
      <c r="U880" s="20" t="str">
        <f t="shared" si="218"/>
        <v>DOUBLE</v>
      </c>
    </row>
    <row r="881" spans="1:21" x14ac:dyDescent="0.35">
      <c r="A881" s="70">
        <f t="shared" si="206"/>
        <v>45530</v>
      </c>
      <c r="B881" s="71" t="str">
        <f t="shared" si="207"/>
        <v>PM</v>
      </c>
      <c r="C881" s="72" t="str">
        <f t="shared" si="208"/>
        <v>August</v>
      </c>
      <c r="D881" s="13" t="str">
        <f t="shared" si="211"/>
        <v>MON</v>
      </c>
      <c r="E881" s="73">
        <v>1061.5</v>
      </c>
      <c r="F881" s="73">
        <v>170.45</v>
      </c>
      <c r="G881" s="73">
        <v>43</v>
      </c>
      <c r="H881" s="73">
        <f t="shared" si="217"/>
        <v>42.46</v>
      </c>
      <c r="I881" s="73">
        <f t="shared" si="212"/>
        <v>2.8635599999999997</v>
      </c>
      <c r="J881" s="73">
        <v>10.6</v>
      </c>
      <c r="K881" s="73">
        <f t="shared" si="213"/>
        <v>125.12643999999999</v>
      </c>
      <c r="L881" s="74">
        <v>3</v>
      </c>
      <c r="M881" s="74">
        <v>54</v>
      </c>
      <c r="N881" s="75">
        <f t="shared" si="209"/>
        <v>3.9</v>
      </c>
      <c r="O881" s="73">
        <f t="shared" si="216"/>
        <v>8.3069999999999986</v>
      </c>
      <c r="P881" s="73">
        <f t="shared" si="210"/>
        <v>144.03343999999998</v>
      </c>
      <c r="Q881" s="76">
        <f t="shared" si="214"/>
        <v>176.43343999999999</v>
      </c>
      <c r="R881" s="30">
        <f>COUNTIF(RAW_DATA[[#This Row],[CONVERTED]],"&gt;0")</f>
        <v>1</v>
      </c>
      <c r="S881" s="30">
        <f>COUNTIFS(RAW_DATA[[#This Row],[AM/PM]],"AM",RAW_DATA[[#This Row],[CONVERTED]],"&gt;0")</f>
        <v>0</v>
      </c>
      <c r="T881" s="19">
        <f t="shared" si="215"/>
        <v>1</v>
      </c>
      <c r="U881" s="20" t="str">
        <f t="shared" si="218"/>
        <v>DOUBLE</v>
      </c>
    </row>
    <row r="882" spans="1:21" x14ac:dyDescent="0.35">
      <c r="A882" s="70">
        <f t="shared" si="206"/>
        <v>45531</v>
      </c>
      <c r="B882" s="71" t="str">
        <f t="shared" si="207"/>
        <v>AM</v>
      </c>
      <c r="C882" s="72" t="str">
        <f t="shared" si="208"/>
        <v>August</v>
      </c>
      <c r="D882" s="13" t="str">
        <f t="shared" si="211"/>
        <v>TUE</v>
      </c>
      <c r="E882" s="73">
        <v>0</v>
      </c>
      <c r="F882" s="73">
        <v>0</v>
      </c>
      <c r="G882" s="73">
        <v>0</v>
      </c>
      <c r="H882" s="73">
        <f t="shared" si="217"/>
        <v>0</v>
      </c>
      <c r="I882" s="73">
        <f t="shared" si="212"/>
        <v>0</v>
      </c>
      <c r="J882" s="73">
        <v>0</v>
      </c>
      <c r="K882" s="73">
        <f t="shared" si="213"/>
        <v>0</v>
      </c>
      <c r="L882" s="74">
        <v>0</v>
      </c>
      <c r="M882" s="74">
        <v>0</v>
      </c>
      <c r="N882" s="75">
        <f t="shared" si="209"/>
        <v>0</v>
      </c>
      <c r="O882" s="73">
        <f t="shared" si="216"/>
        <v>0</v>
      </c>
      <c r="P882" s="73">
        <f t="shared" si="210"/>
        <v>0</v>
      </c>
      <c r="Q882" s="76">
        <f t="shared" si="214"/>
        <v>0</v>
      </c>
      <c r="R882" s="30">
        <f>COUNTIF(RAW_DATA[[#This Row],[CONVERTED]],"&gt;0")</f>
        <v>0</v>
      </c>
      <c r="S882" s="30">
        <f>COUNTIFS(RAW_DATA[[#This Row],[AM/PM]],"AM",RAW_DATA[[#This Row],[CONVERTED]],"&gt;0")</f>
        <v>0</v>
      </c>
      <c r="T882" s="19">
        <f t="shared" si="215"/>
        <v>0</v>
      </c>
      <c r="U882" s="20" t="str">
        <f t="shared" si="218"/>
        <v>SINGLE</v>
      </c>
    </row>
    <row r="883" spans="1:21" x14ac:dyDescent="0.35">
      <c r="A883" s="70">
        <f t="shared" si="206"/>
        <v>45531</v>
      </c>
      <c r="B883" s="71" t="str">
        <f t="shared" si="207"/>
        <v>PM</v>
      </c>
      <c r="C883" s="72" t="str">
        <f t="shared" si="208"/>
        <v>August</v>
      </c>
      <c r="D883" s="13" t="str">
        <f t="shared" si="211"/>
        <v>TUE</v>
      </c>
      <c r="E883" s="73">
        <v>0</v>
      </c>
      <c r="F883" s="73">
        <v>0</v>
      </c>
      <c r="G883" s="73">
        <v>0</v>
      </c>
      <c r="H883" s="73">
        <f t="shared" si="217"/>
        <v>0</v>
      </c>
      <c r="I883" s="73">
        <f t="shared" si="212"/>
        <v>0</v>
      </c>
      <c r="J883" s="73">
        <v>0</v>
      </c>
      <c r="K883" s="73">
        <f t="shared" si="213"/>
        <v>0</v>
      </c>
      <c r="L883" s="74">
        <v>0</v>
      </c>
      <c r="M883" s="74">
        <v>0</v>
      </c>
      <c r="N883" s="75">
        <f t="shared" si="209"/>
        <v>0</v>
      </c>
      <c r="O883" s="73">
        <f t="shared" si="216"/>
        <v>0</v>
      </c>
      <c r="P883" s="73">
        <f t="shared" si="210"/>
        <v>0</v>
      </c>
      <c r="Q883" s="76">
        <f t="shared" si="214"/>
        <v>0</v>
      </c>
      <c r="R883" s="30">
        <f>COUNTIF(RAW_DATA[[#This Row],[CONVERTED]],"&gt;0")</f>
        <v>0</v>
      </c>
      <c r="S883" s="30">
        <f>COUNTIFS(RAW_DATA[[#This Row],[AM/PM]],"AM",RAW_DATA[[#This Row],[CONVERTED]],"&gt;0")</f>
        <v>0</v>
      </c>
      <c r="T883" s="19">
        <f t="shared" si="215"/>
        <v>0</v>
      </c>
      <c r="U883" s="20" t="str">
        <f t="shared" si="218"/>
        <v>SINGLE</v>
      </c>
    </row>
    <row r="884" spans="1:21" x14ac:dyDescent="0.35">
      <c r="A884" s="70"/>
      <c r="B884" s="71"/>
      <c r="C884" s="72"/>
      <c r="D884" s="72"/>
      <c r="E884" s="73"/>
      <c r="F884" s="73"/>
      <c r="G884" s="73"/>
      <c r="H884" s="73"/>
      <c r="I884" s="73"/>
      <c r="J884" s="73"/>
      <c r="K884" s="73"/>
      <c r="L884" s="74"/>
      <c r="M884" s="74"/>
      <c r="N884" s="75"/>
      <c r="O884" s="73"/>
      <c r="P884" s="73"/>
      <c r="Q884" s="76"/>
      <c r="T884" s="19"/>
      <c r="U884" s="20"/>
    </row>
    <row r="885" spans="1:21" x14ac:dyDescent="0.35">
      <c r="A885" s="70"/>
      <c r="B885" s="71"/>
      <c r="C885" s="72"/>
      <c r="D885" s="72"/>
      <c r="E885" s="73"/>
      <c r="F885" s="73"/>
      <c r="G885" s="73"/>
      <c r="H885" s="73"/>
      <c r="I885" s="73"/>
      <c r="J885" s="73"/>
      <c r="K885" s="73"/>
      <c r="L885" s="74"/>
      <c r="M885" s="74"/>
      <c r="N885" s="75"/>
      <c r="O885" s="73"/>
      <c r="P885" s="73"/>
      <c r="Q885" s="76"/>
      <c r="T885" s="19"/>
      <c r="U885" s="20"/>
    </row>
    <row r="886" spans="1:21" x14ac:dyDescent="0.35">
      <c r="A886" s="21"/>
      <c r="Q886" s="29"/>
      <c r="T886" s="19"/>
      <c r="U886" s="20"/>
    </row>
    <row r="887" spans="1:21" x14ac:dyDescent="0.35">
      <c r="A887" s="70"/>
      <c r="B887" s="71"/>
      <c r="C887" s="72"/>
      <c r="E887" s="73"/>
      <c r="F887" s="73"/>
      <c r="G887" s="73"/>
      <c r="H887" s="73"/>
      <c r="I887" s="73"/>
      <c r="J887" s="73"/>
      <c r="K887" s="73"/>
      <c r="L887" s="74"/>
      <c r="M887" s="74"/>
      <c r="N887" s="75"/>
      <c r="O887" s="73"/>
      <c r="P887" s="73"/>
      <c r="Q887" s="76"/>
      <c r="T887" s="19"/>
      <c r="U887" s="20"/>
    </row>
    <row r="888" spans="1:21" x14ac:dyDescent="0.35">
      <c r="A888" s="21"/>
      <c r="Q888" s="29"/>
      <c r="T888" s="19"/>
      <c r="U888" s="115"/>
    </row>
    <row r="889" spans="1:21" x14ac:dyDescent="0.35">
      <c r="A889" s="21"/>
      <c r="Q889" s="29"/>
      <c r="T889" s="19"/>
      <c r="U889" s="115"/>
    </row>
    <row r="890" spans="1:21" x14ac:dyDescent="0.35">
      <c r="A890" s="21"/>
      <c r="Q890" s="29"/>
      <c r="T890" s="19"/>
      <c r="U890" s="115"/>
    </row>
    <row r="891" spans="1:21" x14ac:dyDescent="0.35">
      <c r="A891" s="21"/>
      <c r="Q891" s="29"/>
      <c r="T891" s="19"/>
      <c r="U891" s="115"/>
    </row>
    <row r="892" spans="1:21" x14ac:dyDescent="0.35">
      <c r="A892" s="21"/>
      <c r="Q892" s="29"/>
      <c r="T892" s="19"/>
      <c r="U892" s="115"/>
    </row>
    <row r="893" spans="1:21" x14ac:dyDescent="0.35">
      <c r="A893" s="21"/>
      <c r="Q893" s="29"/>
      <c r="T893" s="19"/>
      <c r="U893" s="115"/>
    </row>
    <row r="894" spans="1:21" x14ac:dyDescent="0.35">
      <c r="A894" s="21"/>
      <c r="Q894" s="29"/>
      <c r="T894" s="19"/>
      <c r="U894" s="115"/>
    </row>
    <row r="895" spans="1:21" x14ac:dyDescent="0.35">
      <c r="A895" s="70"/>
      <c r="B895" s="71"/>
      <c r="C895" s="72"/>
      <c r="D895" s="72"/>
      <c r="E895" s="73"/>
      <c r="F895" s="73"/>
      <c r="G895" s="73"/>
      <c r="H895" s="73"/>
      <c r="I895" s="73"/>
      <c r="J895" s="73"/>
      <c r="K895" s="73"/>
      <c r="L895" s="74"/>
      <c r="M895" s="74"/>
      <c r="N895" s="75"/>
      <c r="O895" s="73"/>
      <c r="P895" s="73"/>
      <c r="Q895" s="76"/>
      <c r="T895" s="19"/>
      <c r="U895" s="115"/>
    </row>
    <row r="896" spans="1:21" x14ac:dyDescent="0.35">
      <c r="A896" s="21"/>
      <c r="Q896" s="29"/>
      <c r="T896" s="19"/>
      <c r="U896" s="115"/>
    </row>
    <row r="897" spans="1:21" x14ac:dyDescent="0.35">
      <c r="A897" s="21"/>
      <c r="Q897" s="29"/>
      <c r="T897" s="19"/>
      <c r="U897" s="115"/>
    </row>
    <row r="898" spans="1:21" x14ac:dyDescent="0.35">
      <c r="A898" s="21"/>
      <c r="Q898" s="29"/>
      <c r="T898" s="19"/>
      <c r="U898" s="115"/>
    </row>
    <row r="899" spans="1:21" x14ac:dyDescent="0.35">
      <c r="A899" s="21"/>
      <c r="Q899" s="29"/>
      <c r="U899" s="115"/>
    </row>
    <row r="900" spans="1:21" x14ac:dyDescent="0.35">
      <c r="A900" s="21"/>
      <c r="Q900" s="29"/>
      <c r="U900" s="115"/>
    </row>
    <row r="901" spans="1:21" x14ac:dyDescent="0.35">
      <c r="A901" s="21"/>
      <c r="Q901" s="29"/>
      <c r="U901" s="115"/>
    </row>
    <row r="902" spans="1:21" x14ac:dyDescent="0.35">
      <c r="A902" s="21"/>
      <c r="Q902" s="29"/>
      <c r="U902" s="115"/>
    </row>
    <row r="903" spans="1:21" x14ac:dyDescent="0.35">
      <c r="A903" s="70"/>
      <c r="B903" s="71"/>
      <c r="C903" s="72"/>
      <c r="D903" s="72"/>
      <c r="E903" s="73"/>
      <c r="F903" s="73"/>
      <c r="G903" s="73"/>
      <c r="H903" s="73"/>
      <c r="I903" s="73"/>
      <c r="J903" s="73"/>
      <c r="K903" s="73"/>
      <c r="L903" s="74"/>
      <c r="M903" s="74"/>
      <c r="N903" s="75"/>
      <c r="O903" s="73"/>
      <c r="P903" s="73"/>
      <c r="Q903" s="76"/>
      <c r="U903" s="115"/>
    </row>
  </sheetData>
  <conditionalFormatting sqref="D1:D903">
    <cfRule type="cellIs" dxfId="0" priority="1" operator="equal">
      <formula>"WED"</formula>
    </cfRule>
  </conditionalFormatting>
  <pageMargins left="0.7" right="0.7" top="0.75" bottom="0.75" header="0.3" footer="0.3"/>
  <customProperties>
    <customPr name="LastActive" r:id="rId1"/>
  </customPropertie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C7B8-2479-4C54-A4D0-5F694ADEF918}">
  <sheetPr codeName="Sheet4">
    <tabColor rgb="FF00B0F0"/>
  </sheetPr>
  <dimension ref="A1:BP336"/>
  <sheetViews>
    <sheetView zoomScaleNormal="100" workbookViewId="0">
      <selection activeCell="J7" sqref="J7"/>
    </sheetView>
  </sheetViews>
  <sheetFormatPr defaultRowHeight="14.5" x14ac:dyDescent="0.35"/>
  <cols>
    <col min="1" max="1" width="13.453125" style="143" bestFit="1" customWidth="1"/>
    <col min="2" max="2" width="8.7265625" style="150"/>
    <col min="3" max="3" width="8.7265625" style="143"/>
    <col min="4" max="4" width="9.453125" style="143" customWidth="1"/>
    <col min="5" max="5" width="8.7265625" style="151"/>
    <col min="6" max="6" width="9" style="152" customWidth="1"/>
    <col min="7" max="8" width="9.54296875" style="152" customWidth="1"/>
    <col min="9" max="9" width="8.90625" style="152" customWidth="1"/>
    <col min="10" max="10" width="8.08984375" style="152" customWidth="1"/>
    <col min="11" max="11" width="8.453125" style="152" customWidth="1"/>
    <col min="12" max="22" width="9.453125" style="153" customWidth="1"/>
    <col min="23" max="23" width="10.90625" style="154" customWidth="1"/>
    <col min="24" max="24" width="16" style="149" customWidth="1"/>
    <col min="25" max="25" width="9.1796875" style="148" customWidth="1"/>
    <col min="26" max="26" width="17.08984375" style="148" customWidth="1"/>
    <col min="27" max="27" width="10.90625" style="149" customWidth="1"/>
    <col min="28" max="28" width="10.08984375" style="149" customWidth="1"/>
    <col min="29" max="29" width="18.453125" style="149" customWidth="1"/>
    <col min="30" max="30" width="20.36328125" style="149" customWidth="1"/>
    <col min="31" max="31" width="16.453125" bestFit="1" customWidth="1"/>
    <col min="32" max="32" width="12.54296875" customWidth="1"/>
    <col min="33" max="33" width="20.6328125" customWidth="1"/>
    <col min="34" max="34" width="12.1796875" customWidth="1"/>
    <col min="35" max="35" width="13.36328125" bestFit="1" customWidth="1"/>
    <col min="42" max="42" width="17.08984375" style="121" customWidth="1"/>
    <col min="43" max="43" width="15.81640625" style="122" bestFit="1" customWidth="1"/>
    <col min="44" max="44" width="16.1796875" style="124" bestFit="1" customWidth="1"/>
    <col min="45" max="45" width="11.81640625" style="124" bestFit="1" customWidth="1"/>
    <col min="46" max="50" width="11.81640625" bestFit="1" customWidth="1"/>
    <col min="51" max="51" width="6.90625" bestFit="1" customWidth="1"/>
    <col min="52" max="52" width="11.81640625" bestFit="1" customWidth="1"/>
    <col min="53" max="57" width="7.36328125" bestFit="1" customWidth="1"/>
    <col min="58" max="58" width="17" customWidth="1"/>
    <col min="59" max="59" width="17.81640625" bestFit="1" customWidth="1"/>
    <col min="60" max="60" width="28.453125" bestFit="1" customWidth="1"/>
    <col min="61" max="61" width="16.1796875" bestFit="1" customWidth="1"/>
    <col min="62" max="67" width="6.36328125" bestFit="1" customWidth="1"/>
    <col min="68" max="68" width="10.7265625" bestFit="1" customWidth="1"/>
    <col min="69" max="69" width="16.90625" bestFit="1" customWidth="1"/>
    <col min="70" max="70" width="25.36328125" bestFit="1" customWidth="1"/>
    <col min="71" max="71" width="16.90625" bestFit="1" customWidth="1"/>
    <col min="72" max="72" width="25.36328125" bestFit="1" customWidth="1"/>
    <col min="73" max="73" width="16.90625" bestFit="1" customWidth="1"/>
    <col min="74" max="74" width="25.36328125" bestFit="1" customWidth="1"/>
    <col min="75" max="75" width="21.6328125" bestFit="1" customWidth="1"/>
    <col min="76" max="76" width="30.08984375" bestFit="1" customWidth="1"/>
    <col min="77" max="79" width="3.81640625" bestFit="1" customWidth="1"/>
    <col min="80" max="81" width="5.81640625" bestFit="1" customWidth="1"/>
    <col min="82" max="87" width="3.81640625" bestFit="1" customWidth="1"/>
    <col min="88" max="88" width="5.81640625" bestFit="1" customWidth="1"/>
    <col min="89" max="93" width="3.81640625" bestFit="1" customWidth="1"/>
    <col min="94" max="94" width="5.81640625" bestFit="1" customWidth="1"/>
    <col min="95" max="101" width="3.81640625" bestFit="1" customWidth="1"/>
    <col min="102" max="102" width="5.81640625" bestFit="1" customWidth="1"/>
    <col min="103" max="104" width="3.81640625" bestFit="1" customWidth="1"/>
    <col min="105" max="105" width="5.81640625" bestFit="1" customWidth="1"/>
    <col min="106" max="106" width="3.81640625" bestFit="1" customWidth="1"/>
    <col min="107" max="107" width="6.81640625" bestFit="1" customWidth="1"/>
    <col min="108" max="110" width="3.81640625" bestFit="1" customWidth="1"/>
    <col min="111" max="111" width="5.81640625" bestFit="1" customWidth="1"/>
    <col min="112" max="114" width="3.81640625" bestFit="1" customWidth="1"/>
    <col min="115" max="115" width="5.81640625" bestFit="1" customWidth="1"/>
    <col min="116" max="116" width="3.81640625" bestFit="1" customWidth="1"/>
    <col min="117" max="118" width="5.81640625" bestFit="1" customWidth="1"/>
    <col min="119" max="120" width="3.81640625" bestFit="1" customWidth="1"/>
    <col min="121" max="121" width="5.81640625" bestFit="1" customWidth="1"/>
    <col min="122" max="122" width="3.81640625" bestFit="1" customWidth="1"/>
    <col min="123" max="124" width="5.81640625" bestFit="1" customWidth="1"/>
    <col min="125" max="126" width="3.81640625" bestFit="1" customWidth="1"/>
    <col min="127" max="127" width="5.81640625" bestFit="1" customWidth="1"/>
    <col min="128" max="130" width="3.81640625" bestFit="1" customWidth="1"/>
    <col min="131" max="132" width="5.81640625" bestFit="1" customWidth="1"/>
    <col min="133" max="134" width="3.81640625" bestFit="1" customWidth="1"/>
    <col min="135" max="135" width="5.81640625" bestFit="1" customWidth="1"/>
    <col min="136" max="139" width="3.81640625" bestFit="1" customWidth="1"/>
    <col min="140" max="142" width="5.81640625" bestFit="1" customWidth="1"/>
    <col min="143" max="145" width="3.81640625" bestFit="1" customWidth="1"/>
    <col min="146" max="146" width="6.81640625" bestFit="1" customWidth="1"/>
    <col min="147" max="147" width="5.81640625" bestFit="1" customWidth="1"/>
    <col min="148" max="148" width="3.81640625" bestFit="1" customWidth="1"/>
    <col min="149" max="149" width="5.81640625" bestFit="1" customWidth="1"/>
    <col min="150" max="150" width="6.81640625" bestFit="1" customWidth="1"/>
    <col min="151" max="151" width="3.81640625" bestFit="1" customWidth="1"/>
    <col min="152" max="152" width="5.81640625" bestFit="1" customWidth="1"/>
    <col min="153" max="153" width="3.81640625" bestFit="1" customWidth="1"/>
    <col min="154" max="155" width="5.81640625" bestFit="1" customWidth="1"/>
    <col min="156" max="156" width="3.81640625" bestFit="1" customWidth="1"/>
    <col min="157" max="157" width="5.81640625" bestFit="1" customWidth="1"/>
    <col min="158" max="158" width="3.81640625" bestFit="1" customWidth="1"/>
    <col min="159" max="159" width="5.81640625" bestFit="1" customWidth="1"/>
    <col min="160" max="160" width="3.81640625" bestFit="1" customWidth="1"/>
    <col min="161" max="161" width="5.81640625" bestFit="1" customWidth="1"/>
    <col min="162" max="166" width="3.81640625" bestFit="1" customWidth="1"/>
    <col min="167" max="167" width="5.81640625" bestFit="1" customWidth="1"/>
    <col min="168" max="168" width="3.81640625" bestFit="1" customWidth="1"/>
    <col min="169" max="169" width="5.81640625" bestFit="1" customWidth="1"/>
    <col min="170" max="174" width="3.81640625" bestFit="1" customWidth="1"/>
    <col min="175" max="175" width="5.81640625" bestFit="1" customWidth="1"/>
    <col min="176" max="176" width="3.81640625" bestFit="1" customWidth="1"/>
    <col min="177" max="178" width="5.81640625" bestFit="1" customWidth="1"/>
    <col min="179" max="179" width="3.81640625" bestFit="1" customWidth="1"/>
    <col min="180" max="181" width="5.81640625" bestFit="1" customWidth="1"/>
    <col min="182" max="183" width="3.81640625" bestFit="1" customWidth="1"/>
    <col min="184" max="184" width="5.81640625" bestFit="1" customWidth="1"/>
    <col min="185" max="185" width="3.81640625" bestFit="1" customWidth="1"/>
    <col min="186" max="186" width="5.81640625" bestFit="1" customWidth="1"/>
    <col min="187" max="187" width="3.81640625" bestFit="1" customWidth="1"/>
    <col min="188" max="188" width="6.81640625" bestFit="1" customWidth="1"/>
    <col min="189" max="189" width="3.81640625" bestFit="1" customWidth="1"/>
    <col min="190" max="192" width="5.81640625" bestFit="1" customWidth="1"/>
    <col min="193" max="195" width="3.81640625" bestFit="1" customWidth="1"/>
    <col min="196" max="197" width="4.81640625" bestFit="1" customWidth="1"/>
    <col min="198" max="198" width="7.81640625" bestFit="1" customWidth="1"/>
    <col min="199" max="199" width="6.81640625" bestFit="1" customWidth="1"/>
    <col min="200" max="200" width="4.81640625" bestFit="1" customWidth="1"/>
    <col min="201" max="201" width="7.81640625" bestFit="1" customWidth="1"/>
    <col min="202" max="202" width="6.81640625" bestFit="1" customWidth="1"/>
    <col min="203" max="203" width="4.81640625" bestFit="1" customWidth="1"/>
    <col min="204" max="204" width="6.81640625" bestFit="1" customWidth="1"/>
    <col min="205" max="205" width="4.81640625" bestFit="1" customWidth="1"/>
    <col min="206" max="206" width="6.81640625" bestFit="1" customWidth="1"/>
    <col min="207" max="207" width="7.81640625" bestFit="1" customWidth="1"/>
    <col min="208" max="208" width="4.81640625" bestFit="1" customWidth="1"/>
    <col min="209" max="211" width="6.81640625" bestFit="1" customWidth="1"/>
    <col min="212" max="212" width="4.81640625" bestFit="1" customWidth="1"/>
    <col min="213" max="213" width="6.81640625" bestFit="1" customWidth="1"/>
    <col min="214" max="215" width="4.81640625" bestFit="1" customWidth="1"/>
    <col min="216" max="216" width="7.81640625" bestFit="1" customWidth="1"/>
    <col min="217" max="217" width="4.81640625" bestFit="1" customWidth="1"/>
    <col min="218" max="219" width="6.81640625" bestFit="1" customWidth="1"/>
    <col min="220" max="220" width="4.81640625" bestFit="1" customWidth="1"/>
    <col min="221" max="221" width="6.81640625" bestFit="1" customWidth="1"/>
    <col min="222" max="222" width="4.81640625" bestFit="1" customWidth="1"/>
    <col min="223" max="223" width="6.81640625" bestFit="1" customWidth="1"/>
    <col min="224" max="226" width="4.81640625" bestFit="1" customWidth="1"/>
    <col min="227" max="228" width="6.81640625" bestFit="1" customWidth="1"/>
    <col min="229" max="234" width="4.81640625" bestFit="1" customWidth="1"/>
    <col min="235" max="235" width="6.81640625" bestFit="1" customWidth="1"/>
    <col min="236" max="236" width="7.81640625" bestFit="1" customWidth="1"/>
    <col min="237" max="237" width="4.81640625" bestFit="1" customWidth="1"/>
    <col min="238" max="240" width="6.81640625" bestFit="1" customWidth="1"/>
    <col min="241" max="242" width="4.81640625" bestFit="1" customWidth="1"/>
    <col min="243" max="243" width="6.81640625" bestFit="1" customWidth="1"/>
    <col min="244" max="246" width="4.81640625" bestFit="1" customWidth="1"/>
    <col min="247" max="249" width="6.81640625" bestFit="1" customWidth="1"/>
    <col min="250" max="252" width="4.81640625" bestFit="1" customWidth="1"/>
    <col min="253" max="253" width="8.81640625" bestFit="1" customWidth="1"/>
    <col min="254" max="255" width="4.81640625" bestFit="1" customWidth="1"/>
    <col min="256" max="257" width="6.81640625" bestFit="1" customWidth="1"/>
    <col min="258" max="258" width="4.81640625" bestFit="1" customWidth="1"/>
    <col min="259" max="259" width="6.81640625" bestFit="1" customWidth="1"/>
    <col min="260" max="261" width="4.81640625" bestFit="1" customWidth="1"/>
    <col min="262" max="263" width="6.81640625" bestFit="1" customWidth="1"/>
    <col min="264" max="264" width="4.81640625" bestFit="1" customWidth="1"/>
    <col min="265" max="265" width="6.81640625" bestFit="1" customWidth="1"/>
    <col min="266" max="268" width="4.81640625" bestFit="1" customWidth="1"/>
    <col min="269" max="269" width="6.81640625" bestFit="1" customWidth="1"/>
    <col min="270" max="270" width="7.81640625" bestFit="1" customWidth="1"/>
    <col min="271" max="272" width="4.81640625" bestFit="1" customWidth="1"/>
    <col min="273" max="273" width="7.81640625" bestFit="1" customWidth="1"/>
    <col min="274" max="275" width="4.81640625" bestFit="1" customWidth="1"/>
    <col min="276" max="276" width="7.81640625" bestFit="1" customWidth="1"/>
    <col min="277" max="278" width="6.81640625" bestFit="1" customWidth="1"/>
    <col min="279" max="279" width="4.81640625" bestFit="1" customWidth="1"/>
    <col min="280" max="283" width="6.81640625" bestFit="1" customWidth="1"/>
    <col min="284" max="284" width="4.81640625" bestFit="1" customWidth="1"/>
    <col min="285" max="285" width="6.81640625" bestFit="1" customWidth="1"/>
    <col min="286" max="286" width="4.81640625" bestFit="1" customWidth="1"/>
    <col min="287" max="287" width="6.81640625" bestFit="1" customWidth="1"/>
    <col min="288" max="290" width="4.81640625" bestFit="1" customWidth="1"/>
    <col min="291" max="293" width="6.81640625" bestFit="1" customWidth="1"/>
    <col min="294" max="294" width="4.81640625" bestFit="1" customWidth="1"/>
    <col min="295" max="296" width="6.81640625" bestFit="1" customWidth="1"/>
    <col min="297" max="298" width="4.81640625" bestFit="1" customWidth="1"/>
    <col min="299" max="299" width="7.81640625" bestFit="1" customWidth="1"/>
    <col min="300" max="300" width="6.81640625" bestFit="1" customWidth="1"/>
    <col min="301" max="302" width="4.81640625" bestFit="1" customWidth="1"/>
    <col min="303" max="303" width="6.81640625" bestFit="1" customWidth="1"/>
    <col min="304" max="306" width="4.81640625" bestFit="1" customWidth="1"/>
    <col min="307" max="307" width="6.81640625" bestFit="1" customWidth="1"/>
    <col min="308" max="310" width="4.81640625" bestFit="1" customWidth="1"/>
    <col min="311" max="311" width="6.81640625" bestFit="1" customWidth="1"/>
    <col min="312" max="314" width="4.81640625" bestFit="1" customWidth="1"/>
    <col min="315" max="316" width="6.81640625" bestFit="1" customWidth="1"/>
    <col min="317" max="319" width="4.81640625" bestFit="1" customWidth="1"/>
    <col min="320" max="321" width="6.81640625" bestFit="1" customWidth="1"/>
    <col min="322" max="322" width="4.81640625" bestFit="1" customWidth="1"/>
    <col min="323" max="323" width="6.81640625" bestFit="1" customWidth="1"/>
    <col min="324" max="324" width="4.81640625" bestFit="1" customWidth="1"/>
    <col min="325" max="325" width="6.81640625" bestFit="1" customWidth="1"/>
    <col min="326" max="327" width="4.81640625" bestFit="1" customWidth="1"/>
    <col min="328" max="328" width="6.81640625" bestFit="1" customWidth="1"/>
    <col min="329" max="330" width="4.81640625" bestFit="1" customWidth="1"/>
    <col min="331" max="331" width="6.81640625" bestFit="1" customWidth="1"/>
    <col min="332" max="332" width="4.81640625" bestFit="1" customWidth="1"/>
    <col min="333" max="333" width="6.81640625" bestFit="1" customWidth="1"/>
    <col min="334" max="334" width="4.81640625" bestFit="1" customWidth="1"/>
    <col min="335" max="337" width="6.81640625" bestFit="1" customWidth="1"/>
    <col min="338" max="338" width="4.81640625" bestFit="1" customWidth="1"/>
    <col min="339" max="339" width="6.81640625" bestFit="1" customWidth="1"/>
    <col min="340" max="341" width="4.81640625" bestFit="1" customWidth="1"/>
    <col min="342" max="342" width="6.81640625" bestFit="1" customWidth="1"/>
    <col min="343" max="343" width="4.81640625" bestFit="1" customWidth="1"/>
    <col min="344" max="347" width="6.81640625" bestFit="1" customWidth="1"/>
    <col min="348" max="348" width="10.7265625" bestFit="1" customWidth="1"/>
  </cols>
  <sheetData>
    <row r="1" spans="1:68" x14ac:dyDescent="0.35">
      <c r="A1" s="157" t="s">
        <v>0</v>
      </c>
      <c r="B1" s="158" t="s">
        <v>1</v>
      </c>
      <c r="C1" s="158" t="s">
        <v>3</v>
      </c>
      <c r="D1" s="158" t="s">
        <v>2</v>
      </c>
      <c r="E1" s="157" t="s">
        <v>193</v>
      </c>
      <c r="F1" s="157" t="s">
        <v>175</v>
      </c>
      <c r="G1" s="157" t="s">
        <v>176</v>
      </c>
      <c r="H1" s="157" t="s">
        <v>177</v>
      </c>
      <c r="I1" s="157" t="s">
        <v>178</v>
      </c>
      <c r="J1" s="157" t="s">
        <v>179</v>
      </c>
      <c r="K1" s="157" t="s">
        <v>180</v>
      </c>
      <c r="L1" s="157" t="s">
        <v>182</v>
      </c>
      <c r="M1" s="157" t="s">
        <v>183</v>
      </c>
      <c r="N1" s="157" t="s">
        <v>184</v>
      </c>
      <c r="O1" s="157" t="s">
        <v>185</v>
      </c>
      <c r="P1" s="157" t="s">
        <v>186</v>
      </c>
      <c r="Q1" s="157" t="s">
        <v>187</v>
      </c>
      <c r="R1" s="157" t="s">
        <v>188</v>
      </c>
      <c r="S1" s="157" t="s">
        <v>189</v>
      </c>
      <c r="T1" s="157" t="s">
        <v>190</v>
      </c>
      <c r="U1" s="157" t="s">
        <v>191</v>
      </c>
      <c r="V1" s="157" t="s">
        <v>192</v>
      </c>
      <c r="W1" s="157" t="s">
        <v>181</v>
      </c>
      <c r="X1" s="158" t="s">
        <v>172</v>
      </c>
      <c r="Y1" s="159" t="s">
        <v>11</v>
      </c>
      <c r="Z1" s="158" t="s">
        <v>20</v>
      </c>
      <c r="AA1" s="160" t="s">
        <v>4</v>
      </c>
      <c r="AB1" s="160" t="s">
        <v>156</v>
      </c>
      <c r="AC1" s="160" t="s">
        <v>65</v>
      </c>
      <c r="AD1" s="161" t="s">
        <v>66</v>
      </c>
      <c r="AE1" s="160" t="s">
        <v>227</v>
      </c>
      <c r="AF1" s="160" t="s">
        <v>228</v>
      </c>
      <c r="AG1" s="160" t="s">
        <v>229</v>
      </c>
      <c r="AH1" s="160" t="s">
        <v>230</v>
      </c>
      <c r="AI1" s="160" t="s">
        <v>231</v>
      </c>
      <c r="AJ1" s="160" t="s">
        <v>232</v>
      </c>
      <c r="AQ1"/>
      <c r="AR1"/>
      <c r="AS1"/>
      <c r="BH1" s="133" t="s">
        <v>167</v>
      </c>
      <c r="BI1" s="133" t="s">
        <v>161</v>
      </c>
    </row>
    <row r="2" spans="1:68" x14ac:dyDescent="0.35">
      <c r="A2" s="155">
        <v>45108</v>
      </c>
      <c r="B2" s="144" t="s">
        <v>46</v>
      </c>
      <c r="C2" s="144" t="s">
        <v>49</v>
      </c>
      <c r="D2" s="144" t="s">
        <v>53</v>
      </c>
      <c r="E2" s="145">
        <f>IF($B2="PM",1,0)</f>
        <v>1</v>
      </c>
      <c r="F2" s="146">
        <f t="shared" ref="F2:F65" si="0">IF(C2="SUN",1,0)</f>
        <v>0</v>
      </c>
      <c r="G2" s="146">
        <f t="shared" ref="G2:G65" si="1">IF($C2="MON",1,0)</f>
        <v>0</v>
      </c>
      <c r="H2" s="146">
        <f t="shared" ref="H2:H65" si="2">IF($C2="WED",1,0)</f>
        <v>0</v>
      </c>
      <c r="I2" s="146">
        <f t="shared" ref="I2:I65" si="3">IF($C2="THU",1,0)</f>
        <v>0</v>
      </c>
      <c r="J2" s="146">
        <f t="shared" ref="J2:J65" si="4">IF($C2="FRI",1,0)</f>
        <v>0</v>
      </c>
      <c r="K2" s="146">
        <f t="shared" ref="K2:K65" si="5">IF($C2="SAT",1,0)</f>
        <v>1</v>
      </c>
      <c r="L2" s="147">
        <f>IF($D2="January",1,0)</f>
        <v>0</v>
      </c>
      <c r="M2" s="147">
        <f t="shared" ref="M2:M65" si="6">IF($D2="February",1,0)</f>
        <v>0</v>
      </c>
      <c r="N2" s="147">
        <f t="shared" ref="N2:N65" si="7">IF($D2="March",1,0)</f>
        <v>0</v>
      </c>
      <c r="O2" s="147">
        <f t="shared" ref="O2:O65" si="8">IF($D2="April",1,0)</f>
        <v>0</v>
      </c>
      <c r="P2" s="147">
        <f t="shared" ref="P2:P65" si="9">IF($D2="May",1,0)</f>
        <v>0</v>
      </c>
      <c r="Q2" s="147">
        <f t="shared" ref="Q2:Q65" si="10">IF($D2="June",1,0)</f>
        <v>0</v>
      </c>
      <c r="R2" s="147">
        <f t="shared" ref="R2:R65" si="11">IF($D2="August",1,0)</f>
        <v>0</v>
      </c>
      <c r="S2" s="147">
        <f t="shared" ref="S2:S65" si="12">IF($D2="September",1,0)</f>
        <v>0</v>
      </c>
      <c r="T2" s="147">
        <f t="shared" ref="T2:T65" si="13">IF($D2="October",1,0)</f>
        <v>0</v>
      </c>
      <c r="U2" s="147">
        <f t="shared" ref="U2:U65" si="14">IF($D2="November",1,0)</f>
        <v>0</v>
      </c>
      <c r="V2" s="147">
        <f t="shared" ref="V2:V65" si="15">IF($D2="December",1,0)</f>
        <v>0</v>
      </c>
      <c r="W2" s="129">
        <v>1</v>
      </c>
      <c r="X2" s="144" t="str">
        <f t="shared" ref="X2:X65" si="16">IF(W2=0,"WEEKDAY","WEEKEND")</f>
        <v>WEEKEND</v>
      </c>
      <c r="Y2" s="148">
        <v>6.25</v>
      </c>
      <c r="Z2" s="144" t="s">
        <v>45</v>
      </c>
      <c r="AA2" s="149">
        <v>1537</v>
      </c>
      <c r="AB2" s="149">
        <v>221.20686000000001</v>
      </c>
      <c r="AC2" s="149">
        <v>245.92</v>
      </c>
      <c r="AD2" s="156">
        <v>35.393097600000004</v>
      </c>
      <c r="AE2" s="160" t="str">
        <f>IFERROR(_xlfn.XLOOKUP(DATA_MASTER[[#This Row],[DATE]],RODEO[DATE],RODEO[ARTIST]),"")</f>
        <v/>
      </c>
      <c r="AF2" s="171">
        <f>IF(DATA_MASTER[[#This Row],[RODEO_ARTIST]]="",0,1)</f>
        <v>0</v>
      </c>
      <c r="AG2" t="str">
        <f>IFERROR(RIGHT(_xlfn.XLOOKUP(DATA_MASTER[[#This Row],[DATE]],ASTROS[DATE],ASTROS[OPPONENT]),LEN(_xlfn.XLOOKUP(DATA_MASTER[[#This Row],[DATE]],ASTROS[DATE],ASTROS[OPPONENT]))-3),"NO GAME")</f>
        <v>NO GAME</v>
      </c>
      <c r="AH2">
        <f>IF(DATA_MASTER[[#This Row],[ASTROS_GAME]]="NO GAME",0,1)</f>
        <v>0</v>
      </c>
      <c r="AI2">
        <f>_xlfn.XLOOKUP(DATA_MASTER[[#This Row],[DATE]],WEATHER[DATE],WEATHER[tempmax])</f>
        <v>97.7</v>
      </c>
      <c r="AJ2">
        <f>_xlfn.XLOOKUP(DATA_MASTER[[#This Row],[DATE]],WEATHER[DATE],WEATHER[precip])</f>
        <v>0</v>
      </c>
      <c r="AP2" s="135"/>
      <c r="AQ2"/>
      <c r="AR2"/>
      <c r="AS2"/>
      <c r="BH2" s="133" t="s">
        <v>158</v>
      </c>
      <c r="BI2" t="s">
        <v>44</v>
      </c>
      <c r="BJ2" t="s">
        <v>47</v>
      </c>
      <c r="BK2" t="s">
        <v>48</v>
      </c>
      <c r="BL2" t="s">
        <v>49</v>
      </c>
      <c r="BM2" t="s">
        <v>50</v>
      </c>
      <c r="BN2" t="s">
        <v>51</v>
      </c>
      <c r="BO2" t="s">
        <v>52</v>
      </c>
      <c r="BP2" t="s">
        <v>159</v>
      </c>
    </row>
    <row r="3" spans="1:68" x14ac:dyDescent="0.35">
      <c r="A3" s="155">
        <v>45109</v>
      </c>
      <c r="B3" s="144" t="s">
        <v>46</v>
      </c>
      <c r="C3" s="144" t="s">
        <v>50</v>
      </c>
      <c r="D3" s="144" t="s">
        <v>53</v>
      </c>
      <c r="E3" s="145">
        <f t="shared" ref="E3:E66" si="17">IF($B3="PM",1,0)</f>
        <v>1</v>
      </c>
      <c r="F3" s="146">
        <f t="shared" si="0"/>
        <v>1</v>
      </c>
      <c r="G3" s="146">
        <f t="shared" si="1"/>
        <v>0</v>
      </c>
      <c r="H3" s="146">
        <f t="shared" si="2"/>
        <v>0</v>
      </c>
      <c r="I3" s="146">
        <f t="shared" si="3"/>
        <v>0</v>
      </c>
      <c r="J3" s="146">
        <f t="shared" si="4"/>
        <v>0</v>
      </c>
      <c r="K3" s="146">
        <f t="shared" si="5"/>
        <v>0</v>
      </c>
      <c r="L3" s="147">
        <f t="shared" ref="L3:L66" si="18">IF(D3="January",1,0)</f>
        <v>0</v>
      </c>
      <c r="M3" s="147">
        <f t="shared" si="6"/>
        <v>0</v>
      </c>
      <c r="N3" s="147">
        <f t="shared" si="7"/>
        <v>0</v>
      </c>
      <c r="O3" s="147">
        <f t="shared" si="8"/>
        <v>0</v>
      </c>
      <c r="P3" s="147">
        <f t="shared" si="9"/>
        <v>0</v>
      </c>
      <c r="Q3" s="147">
        <f t="shared" si="10"/>
        <v>0</v>
      </c>
      <c r="R3" s="147">
        <f t="shared" si="11"/>
        <v>0</v>
      </c>
      <c r="S3" s="147">
        <f t="shared" si="12"/>
        <v>0</v>
      </c>
      <c r="T3" s="147">
        <f t="shared" si="13"/>
        <v>0</v>
      </c>
      <c r="U3" s="147">
        <f t="shared" si="14"/>
        <v>0</v>
      </c>
      <c r="V3" s="147">
        <f t="shared" si="15"/>
        <v>0</v>
      </c>
      <c r="W3" s="129">
        <v>1</v>
      </c>
      <c r="X3" s="144" t="str">
        <f t="shared" si="16"/>
        <v>WEEKEND</v>
      </c>
      <c r="Y3" s="148">
        <v>6.2666666666666666</v>
      </c>
      <c r="Z3" s="144" t="s">
        <v>45</v>
      </c>
      <c r="AA3" s="149">
        <v>963</v>
      </c>
      <c r="AB3" s="149">
        <v>184.44623999999999</v>
      </c>
      <c r="AC3" s="149">
        <v>153.67021276595744</v>
      </c>
      <c r="AD3" s="156">
        <v>29.432910638297869</v>
      </c>
      <c r="AE3" s="149" t="str">
        <f>IFERROR(_xlfn.XLOOKUP(DATA_MASTER[[#This Row],[DATE]],RODEO[DATE],RODEO[ARTIST]),"")</f>
        <v/>
      </c>
      <c r="AF3" s="172">
        <f>IF(DATA_MASTER[[#This Row],[RODEO_ARTIST]]="",0,1)</f>
        <v>0</v>
      </c>
      <c r="AG3" t="str">
        <f>IFERROR(RIGHT(_xlfn.XLOOKUP(DATA_MASTER[[#This Row],[DATE]],ASTROS[DATE],ASTROS[OPPONENT]),LEN(_xlfn.XLOOKUP(DATA_MASTER[[#This Row],[DATE]],ASTROS[DATE],ASTROS[OPPONENT]))-3),"NO GAME")</f>
        <v>NO GAME</v>
      </c>
      <c r="AH3">
        <f>IF(DATA_MASTER[[#This Row],[ASTROS_GAME]]="NO GAME",0,1)</f>
        <v>0</v>
      </c>
      <c r="AI3">
        <f>_xlfn.XLOOKUP(DATA_MASTER[[#This Row],[DATE]],WEATHER[DATE],WEATHER[tempmax])</f>
        <v>95.1</v>
      </c>
      <c r="AJ3">
        <f>_xlfn.XLOOKUP(DATA_MASTER[[#This Row],[DATE]],WEATHER[DATE],WEATHER[precip])</f>
        <v>3.9E-2</v>
      </c>
      <c r="AP3" s="135"/>
      <c r="AQ3"/>
      <c r="AR3"/>
      <c r="AS3"/>
      <c r="BH3" s="134" t="s">
        <v>60</v>
      </c>
      <c r="BI3" s="122">
        <v>29.360070809189608</v>
      </c>
      <c r="BJ3" s="122">
        <v>35.351364742200332</v>
      </c>
      <c r="BK3" s="122">
        <v>41.741649536997066</v>
      </c>
      <c r="BL3" s="122">
        <v>40.455382739186881</v>
      </c>
      <c r="BM3" s="122">
        <v>38.996452533072024</v>
      </c>
      <c r="BN3" s="122">
        <v>23.277790212306858</v>
      </c>
      <c r="BO3" s="122"/>
      <c r="BP3" s="122">
        <v>34.447757331347411</v>
      </c>
    </row>
    <row r="4" spans="1:68" x14ac:dyDescent="0.35">
      <c r="A4" s="155">
        <v>45112</v>
      </c>
      <c r="B4" s="144" t="s">
        <v>46</v>
      </c>
      <c r="C4" s="144" t="s">
        <v>44</v>
      </c>
      <c r="D4" s="144" t="s">
        <v>53</v>
      </c>
      <c r="E4" s="145">
        <f t="shared" si="17"/>
        <v>1</v>
      </c>
      <c r="F4" s="146">
        <f t="shared" si="0"/>
        <v>0</v>
      </c>
      <c r="G4" s="146">
        <f t="shared" si="1"/>
        <v>0</v>
      </c>
      <c r="H4" s="146">
        <f t="shared" si="2"/>
        <v>1</v>
      </c>
      <c r="I4" s="146">
        <f t="shared" si="3"/>
        <v>0</v>
      </c>
      <c r="J4" s="146">
        <f t="shared" si="4"/>
        <v>0</v>
      </c>
      <c r="K4" s="146">
        <f t="shared" si="5"/>
        <v>0</v>
      </c>
      <c r="L4" s="147">
        <f t="shared" si="18"/>
        <v>0</v>
      </c>
      <c r="M4" s="147">
        <f t="shared" si="6"/>
        <v>0</v>
      </c>
      <c r="N4" s="147">
        <f t="shared" si="7"/>
        <v>0</v>
      </c>
      <c r="O4" s="147">
        <f t="shared" si="8"/>
        <v>0</v>
      </c>
      <c r="P4" s="147">
        <f t="shared" si="9"/>
        <v>0</v>
      </c>
      <c r="Q4" s="147">
        <f t="shared" si="10"/>
        <v>0</v>
      </c>
      <c r="R4" s="147">
        <f t="shared" si="11"/>
        <v>0</v>
      </c>
      <c r="S4" s="147">
        <f t="shared" si="12"/>
        <v>0</v>
      </c>
      <c r="T4" s="147">
        <f t="shared" si="13"/>
        <v>0</v>
      </c>
      <c r="U4" s="147">
        <f t="shared" si="14"/>
        <v>0</v>
      </c>
      <c r="V4" s="147">
        <f t="shared" si="15"/>
        <v>0</v>
      </c>
      <c r="W4" s="129">
        <v>0</v>
      </c>
      <c r="X4" s="144" t="str">
        <f t="shared" si="16"/>
        <v>WEEKDAY</v>
      </c>
      <c r="Y4" s="148">
        <v>5.7</v>
      </c>
      <c r="Z4" s="144" t="s">
        <v>45</v>
      </c>
      <c r="AA4" s="149">
        <v>1227.5</v>
      </c>
      <c r="AB4" s="149">
        <v>203.96432799999999</v>
      </c>
      <c r="AC4" s="149">
        <v>215.35087719298244</v>
      </c>
      <c r="AD4" s="156">
        <v>35.783215438596493</v>
      </c>
      <c r="AE4" s="149" t="str">
        <f>IFERROR(_xlfn.XLOOKUP(DATA_MASTER[[#This Row],[DATE]],RODEO[DATE],RODEO[ARTIST]),"")</f>
        <v/>
      </c>
      <c r="AF4" s="172">
        <f>IF(DATA_MASTER[[#This Row],[RODEO_ARTIST]]="",0,1)</f>
        <v>0</v>
      </c>
      <c r="AG4" t="str">
        <f>IFERROR(RIGHT(_xlfn.XLOOKUP(DATA_MASTER[[#This Row],[DATE]],ASTROS[DATE],ASTROS[OPPONENT]),LEN(_xlfn.XLOOKUP(DATA_MASTER[[#This Row],[DATE]],ASTROS[DATE],ASTROS[OPPONENT]))-3),"NO GAME")</f>
        <v>Colorado Rockies</v>
      </c>
      <c r="AH4">
        <f>IF(DATA_MASTER[[#This Row],[ASTROS_GAME]]="NO GAME",0,1)</f>
        <v>1</v>
      </c>
      <c r="AI4">
        <f>_xlfn.XLOOKUP(DATA_MASTER[[#This Row],[DATE]],WEATHER[DATE],WEATHER[tempmax])</f>
        <v>91.5</v>
      </c>
      <c r="AJ4">
        <f>_xlfn.XLOOKUP(DATA_MASTER[[#This Row],[DATE]],WEATHER[DATE],WEATHER[precip])</f>
        <v>3.7999999999999999E-2</v>
      </c>
      <c r="AQ4"/>
      <c r="AR4"/>
      <c r="AS4"/>
      <c r="BH4" s="134" t="s">
        <v>61</v>
      </c>
      <c r="BI4" s="122">
        <v>46.637360099418636</v>
      </c>
      <c r="BJ4" s="122">
        <v>33.335216051389644</v>
      </c>
      <c r="BK4" s="122">
        <v>34.683396150627608</v>
      </c>
      <c r="BL4" s="122">
        <v>35.910254510216234</v>
      </c>
      <c r="BM4" s="122">
        <v>36.661163256917867</v>
      </c>
      <c r="BN4" s="122">
        <v>27.098554103749102</v>
      </c>
      <c r="BO4" s="122"/>
      <c r="BP4" s="122">
        <v>34.649384860312864</v>
      </c>
    </row>
    <row r="5" spans="1:68" ht="15" thickBot="1" x14ac:dyDescent="0.4">
      <c r="A5" s="155">
        <v>45113</v>
      </c>
      <c r="B5" s="144" t="s">
        <v>46</v>
      </c>
      <c r="C5" s="144" t="s">
        <v>47</v>
      </c>
      <c r="D5" s="144" t="s">
        <v>53</v>
      </c>
      <c r="E5" s="145">
        <f t="shared" si="17"/>
        <v>1</v>
      </c>
      <c r="F5" s="146">
        <f t="shared" si="0"/>
        <v>0</v>
      </c>
      <c r="G5" s="146">
        <f t="shared" si="1"/>
        <v>0</v>
      </c>
      <c r="H5" s="146">
        <f t="shared" si="2"/>
        <v>0</v>
      </c>
      <c r="I5" s="146">
        <f t="shared" si="3"/>
        <v>1</v>
      </c>
      <c r="J5" s="146">
        <f t="shared" si="4"/>
        <v>0</v>
      </c>
      <c r="K5" s="146">
        <f t="shared" si="5"/>
        <v>0</v>
      </c>
      <c r="L5" s="147">
        <f t="shared" si="18"/>
        <v>0</v>
      </c>
      <c r="M5" s="147">
        <f t="shared" si="6"/>
        <v>0</v>
      </c>
      <c r="N5" s="147">
        <f t="shared" si="7"/>
        <v>0</v>
      </c>
      <c r="O5" s="147">
        <f t="shared" si="8"/>
        <v>0</v>
      </c>
      <c r="P5" s="147">
        <f t="shared" si="9"/>
        <v>0</v>
      </c>
      <c r="Q5" s="147">
        <f t="shared" si="10"/>
        <v>0</v>
      </c>
      <c r="R5" s="147">
        <f t="shared" si="11"/>
        <v>0</v>
      </c>
      <c r="S5" s="147">
        <f t="shared" si="12"/>
        <v>0</v>
      </c>
      <c r="T5" s="147">
        <f t="shared" si="13"/>
        <v>0</v>
      </c>
      <c r="U5" s="147">
        <f t="shared" si="14"/>
        <v>0</v>
      </c>
      <c r="V5" s="147">
        <f t="shared" si="15"/>
        <v>0</v>
      </c>
      <c r="W5" s="129">
        <v>0</v>
      </c>
      <c r="X5" s="144" t="str">
        <f t="shared" si="16"/>
        <v>WEEKDAY</v>
      </c>
      <c r="Y5" s="148">
        <v>5.916666666666667</v>
      </c>
      <c r="Z5" s="144" t="s">
        <v>45</v>
      </c>
      <c r="AA5" s="149">
        <v>1315.5</v>
      </c>
      <c r="AB5" s="149">
        <v>191.58984399999997</v>
      </c>
      <c r="AC5" s="149">
        <v>222.33802816901408</v>
      </c>
      <c r="AD5" s="156">
        <v>32.381382084507038</v>
      </c>
      <c r="AE5" s="149" t="str">
        <f>IFERROR(_xlfn.XLOOKUP(DATA_MASTER[[#This Row],[DATE]],RODEO[DATE],RODEO[ARTIST]),"")</f>
        <v/>
      </c>
      <c r="AF5" s="172">
        <f>IF(DATA_MASTER[[#This Row],[RODEO_ARTIST]]="",0,1)</f>
        <v>0</v>
      </c>
      <c r="AG5" t="str">
        <f>IFERROR(RIGHT(_xlfn.XLOOKUP(DATA_MASTER[[#This Row],[DATE]],ASTROS[DATE],ASTROS[OPPONENT]),LEN(_xlfn.XLOOKUP(DATA_MASTER[[#This Row],[DATE]],ASTROS[DATE],ASTROS[OPPONENT]))-3),"NO GAME")</f>
        <v>Seattle Mariners</v>
      </c>
      <c r="AH5">
        <f>IF(DATA_MASTER[[#This Row],[ASTROS_GAME]]="NO GAME",0,1)</f>
        <v>1</v>
      </c>
      <c r="AI5">
        <f>_xlfn.XLOOKUP(DATA_MASTER[[#This Row],[DATE]],WEATHER[DATE],WEATHER[tempmax])</f>
        <v>84.3</v>
      </c>
      <c r="AJ5">
        <f>_xlfn.XLOOKUP(DATA_MASTER[[#This Row],[DATE]],WEATHER[DATE],WEATHER[precip])</f>
        <v>0.41799999999999998</v>
      </c>
      <c r="AQ5"/>
      <c r="AR5"/>
      <c r="AS5"/>
      <c r="BH5" s="134" t="s">
        <v>62</v>
      </c>
      <c r="BI5" s="122">
        <v>33.325154921013301</v>
      </c>
      <c r="BJ5" s="122"/>
      <c r="BK5" s="122">
        <v>34.196606443293568</v>
      </c>
      <c r="BL5" s="122">
        <v>36.411933834069657</v>
      </c>
      <c r="BM5" s="122">
        <v>29.055880664108052</v>
      </c>
      <c r="BN5" s="122">
        <v>37.375151086917505</v>
      </c>
      <c r="BO5" s="122"/>
      <c r="BP5" s="122">
        <v>33.990294148137544</v>
      </c>
    </row>
    <row r="6" spans="1:68" ht="15" thickBot="1" x14ac:dyDescent="0.4">
      <c r="A6" s="155">
        <v>45114</v>
      </c>
      <c r="B6" s="144" t="s">
        <v>46</v>
      </c>
      <c r="C6" s="144" t="s">
        <v>48</v>
      </c>
      <c r="D6" s="144" t="s">
        <v>53</v>
      </c>
      <c r="E6" s="145">
        <f t="shared" si="17"/>
        <v>1</v>
      </c>
      <c r="F6" s="146">
        <f t="shared" si="0"/>
        <v>0</v>
      </c>
      <c r="G6" s="146">
        <f t="shared" si="1"/>
        <v>0</v>
      </c>
      <c r="H6" s="146">
        <f t="shared" si="2"/>
        <v>0</v>
      </c>
      <c r="I6" s="146">
        <f t="shared" si="3"/>
        <v>0</v>
      </c>
      <c r="J6" s="146">
        <f t="shared" si="4"/>
        <v>1</v>
      </c>
      <c r="K6" s="146">
        <f t="shared" si="5"/>
        <v>0</v>
      </c>
      <c r="L6" s="147">
        <f t="shared" si="18"/>
        <v>0</v>
      </c>
      <c r="M6" s="147">
        <f t="shared" si="6"/>
        <v>0</v>
      </c>
      <c r="N6" s="147">
        <f t="shared" si="7"/>
        <v>0</v>
      </c>
      <c r="O6" s="147">
        <f t="shared" si="8"/>
        <v>0</v>
      </c>
      <c r="P6" s="147">
        <f t="shared" si="9"/>
        <v>0</v>
      </c>
      <c r="Q6" s="147">
        <f t="shared" si="10"/>
        <v>0</v>
      </c>
      <c r="R6" s="147">
        <f t="shared" si="11"/>
        <v>0</v>
      </c>
      <c r="S6" s="147">
        <f t="shared" si="12"/>
        <v>0</v>
      </c>
      <c r="T6" s="147">
        <f t="shared" si="13"/>
        <v>0</v>
      </c>
      <c r="U6" s="147">
        <f t="shared" si="14"/>
        <v>0</v>
      </c>
      <c r="V6" s="147">
        <f t="shared" si="15"/>
        <v>0</v>
      </c>
      <c r="W6" s="129">
        <v>1</v>
      </c>
      <c r="X6" s="144" t="str">
        <f t="shared" si="16"/>
        <v>WEEKEND</v>
      </c>
      <c r="Y6" s="148">
        <v>5.666666666666667</v>
      </c>
      <c r="Z6" s="144" t="s">
        <v>45</v>
      </c>
      <c r="AA6" s="149">
        <v>1166.5</v>
      </c>
      <c r="AB6" s="149">
        <v>167.95578399999999</v>
      </c>
      <c r="AC6" s="149">
        <v>205.85294117647058</v>
      </c>
      <c r="AD6" s="156">
        <v>29.639255999999996</v>
      </c>
      <c r="AE6" s="149" t="str">
        <f>IFERROR(_xlfn.XLOOKUP(DATA_MASTER[[#This Row],[DATE]],RODEO[DATE],RODEO[ARTIST]),"")</f>
        <v/>
      </c>
      <c r="AF6" s="172">
        <f>IF(DATA_MASTER[[#This Row],[RODEO_ARTIST]]="",0,1)</f>
        <v>0</v>
      </c>
      <c r="AG6" t="str">
        <f>IFERROR(RIGHT(_xlfn.XLOOKUP(DATA_MASTER[[#This Row],[DATE]],ASTROS[DATE],ASTROS[OPPONENT]),LEN(_xlfn.XLOOKUP(DATA_MASTER[[#This Row],[DATE]],ASTROS[DATE],ASTROS[OPPONENT]))-3),"NO GAME")</f>
        <v>Seattle Mariners</v>
      </c>
      <c r="AH6">
        <f>IF(DATA_MASTER[[#This Row],[ASTROS_GAME]]="NO GAME",0,1)</f>
        <v>1</v>
      </c>
      <c r="AI6">
        <f>_xlfn.XLOOKUP(DATA_MASTER[[#This Row],[DATE]],WEATHER[DATE],WEATHER[tempmax])</f>
        <v>88.9</v>
      </c>
      <c r="AJ6">
        <f>_xlfn.XLOOKUP(DATA_MASTER[[#This Row],[DATE]],WEATHER[DATE],WEATHER[precip])</f>
        <v>0.151</v>
      </c>
      <c r="AQ6"/>
      <c r="AR6"/>
      <c r="AS6"/>
      <c r="BH6" s="134" t="s">
        <v>63</v>
      </c>
      <c r="BI6" s="122">
        <v>27.089077525447504</v>
      </c>
      <c r="BJ6" s="122">
        <v>22.770442797731572</v>
      </c>
      <c r="BK6" s="122">
        <v>34.915299753892327</v>
      </c>
      <c r="BL6" s="122">
        <v>44.023480761302231</v>
      </c>
      <c r="BM6" s="136">
        <v>44.70373201886963</v>
      </c>
      <c r="BN6" s="122">
        <v>26.630921110691467</v>
      </c>
      <c r="BO6" s="122">
        <v>28.05985982943697</v>
      </c>
      <c r="BP6" s="122">
        <v>32.859373668911978</v>
      </c>
    </row>
    <row r="7" spans="1:68" x14ac:dyDescent="0.35">
      <c r="A7" s="155">
        <v>45115</v>
      </c>
      <c r="B7" s="144" t="s">
        <v>46</v>
      </c>
      <c r="C7" s="144" t="s">
        <v>49</v>
      </c>
      <c r="D7" s="144" t="s">
        <v>53</v>
      </c>
      <c r="E7" s="145">
        <f t="shared" si="17"/>
        <v>1</v>
      </c>
      <c r="F7" s="146">
        <f t="shared" si="0"/>
        <v>0</v>
      </c>
      <c r="G7" s="146">
        <f t="shared" si="1"/>
        <v>0</v>
      </c>
      <c r="H7" s="146">
        <f t="shared" si="2"/>
        <v>0</v>
      </c>
      <c r="I7" s="146">
        <f t="shared" si="3"/>
        <v>0</v>
      </c>
      <c r="J7" s="146">
        <f t="shared" si="4"/>
        <v>0</v>
      </c>
      <c r="K7" s="146">
        <f t="shared" si="5"/>
        <v>1</v>
      </c>
      <c r="L7" s="147">
        <f t="shared" si="18"/>
        <v>0</v>
      </c>
      <c r="M7" s="147">
        <f t="shared" si="6"/>
        <v>0</v>
      </c>
      <c r="N7" s="147">
        <f t="shared" si="7"/>
        <v>0</v>
      </c>
      <c r="O7" s="147">
        <f t="shared" si="8"/>
        <v>0</v>
      </c>
      <c r="P7" s="147">
        <f t="shared" si="9"/>
        <v>0</v>
      </c>
      <c r="Q7" s="147">
        <f t="shared" si="10"/>
        <v>0</v>
      </c>
      <c r="R7" s="147">
        <f t="shared" si="11"/>
        <v>0</v>
      </c>
      <c r="S7" s="147">
        <f t="shared" si="12"/>
        <v>0</v>
      </c>
      <c r="T7" s="147">
        <f t="shared" si="13"/>
        <v>0</v>
      </c>
      <c r="U7" s="147">
        <f t="shared" si="14"/>
        <v>0</v>
      </c>
      <c r="V7" s="147">
        <f t="shared" si="15"/>
        <v>0</v>
      </c>
      <c r="W7" s="129">
        <v>1</v>
      </c>
      <c r="X7" s="144" t="str">
        <f t="shared" si="16"/>
        <v>WEEKEND</v>
      </c>
      <c r="Y7" s="148">
        <v>5.5166666666666666</v>
      </c>
      <c r="Z7" s="144" t="s">
        <v>45</v>
      </c>
      <c r="AA7" s="149">
        <v>1261</v>
      </c>
      <c r="AB7" s="149">
        <v>238.67122000000001</v>
      </c>
      <c r="AC7" s="149">
        <v>228.58006042296074</v>
      </c>
      <c r="AD7" s="156">
        <v>43.263665256797587</v>
      </c>
      <c r="AE7" s="149" t="str">
        <f>IFERROR(_xlfn.XLOOKUP(DATA_MASTER[[#This Row],[DATE]],RODEO[DATE],RODEO[ARTIST]),"")</f>
        <v/>
      </c>
      <c r="AF7" s="172">
        <f>IF(DATA_MASTER[[#This Row],[RODEO_ARTIST]]="",0,1)</f>
        <v>0</v>
      </c>
      <c r="AG7" t="str">
        <f>IFERROR(RIGHT(_xlfn.XLOOKUP(DATA_MASTER[[#This Row],[DATE]],ASTROS[DATE],ASTROS[OPPONENT]),LEN(_xlfn.XLOOKUP(DATA_MASTER[[#This Row],[DATE]],ASTROS[DATE],ASTROS[OPPONENT]))-3),"NO GAME")</f>
        <v>Seattle Mariners</v>
      </c>
      <c r="AH7">
        <f>IF(DATA_MASTER[[#This Row],[ASTROS_GAME]]="NO GAME",0,1)</f>
        <v>1</v>
      </c>
      <c r="AI7">
        <f>_xlfn.XLOOKUP(DATA_MASTER[[#This Row],[DATE]],WEATHER[DATE],WEATHER[tempmax])</f>
        <v>89.7</v>
      </c>
      <c r="AJ7">
        <f>_xlfn.XLOOKUP(DATA_MASTER[[#This Row],[DATE]],WEATHER[DATE],WEATHER[precip])</f>
        <v>0.22</v>
      </c>
      <c r="AQ7"/>
      <c r="AR7"/>
      <c r="AS7"/>
      <c r="BH7" s="134" t="s">
        <v>64</v>
      </c>
      <c r="BI7" s="122">
        <v>32.627159287657179</v>
      </c>
      <c r="BJ7" s="122">
        <v>37.618493131034484</v>
      </c>
      <c r="BK7" s="122">
        <v>33.542705170300479</v>
      </c>
      <c r="BL7" s="122">
        <v>32.884256836985422</v>
      </c>
      <c r="BM7" s="122">
        <v>42.413400425953441</v>
      </c>
      <c r="BN7" s="122">
        <v>26.519104384363192</v>
      </c>
      <c r="BO7" s="122"/>
      <c r="BP7" s="122">
        <v>34.342295309640626</v>
      </c>
    </row>
    <row r="8" spans="1:68" x14ac:dyDescent="0.35">
      <c r="A8" s="155">
        <v>45117</v>
      </c>
      <c r="B8" s="144" t="s">
        <v>46</v>
      </c>
      <c r="C8" s="144" t="s">
        <v>51</v>
      </c>
      <c r="D8" s="144" t="s">
        <v>53</v>
      </c>
      <c r="E8" s="145">
        <f t="shared" si="17"/>
        <v>1</v>
      </c>
      <c r="F8" s="146">
        <f t="shared" si="0"/>
        <v>0</v>
      </c>
      <c r="G8" s="146">
        <f t="shared" si="1"/>
        <v>1</v>
      </c>
      <c r="H8" s="146">
        <f t="shared" si="2"/>
        <v>0</v>
      </c>
      <c r="I8" s="146">
        <f t="shared" si="3"/>
        <v>0</v>
      </c>
      <c r="J8" s="146">
        <f t="shared" si="4"/>
        <v>0</v>
      </c>
      <c r="K8" s="146">
        <f t="shared" si="5"/>
        <v>0</v>
      </c>
      <c r="L8" s="147">
        <f t="shared" si="18"/>
        <v>0</v>
      </c>
      <c r="M8" s="147">
        <f t="shared" si="6"/>
        <v>0</v>
      </c>
      <c r="N8" s="147">
        <f t="shared" si="7"/>
        <v>0</v>
      </c>
      <c r="O8" s="147">
        <f t="shared" si="8"/>
        <v>0</v>
      </c>
      <c r="P8" s="147">
        <f t="shared" si="9"/>
        <v>0</v>
      </c>
      <c r="Q8" s="147">
        <f t="shared" si="10"/>
        <v>0</v>
      </c>
      <c r="R8" s="147">
        <f t="shared" si="11"/>
        <v>0</v>
      </c>
      <c r="S8" s="147">
        <f t="shared" si="12"/>
        <v>0</v>
      </c>
      <c r="T8" s="147">
        <f t="shared" si="13"/>
        <v>0</v>
      </c>
      <c r="U8" s="147">
        <f t="shared" si="14"/>
        <v>0</v>
      </c>
      <c r="V8" s="147">
        <f t="shared" si="15"/>
        <v>0</v>
      </c>
      <c r="W8" s="129">
        <v>0</v>
      </c>
      <c r="X8" s="144" t="str">
        <f t="shared" si="16"/>
        <v>WEEKDAY</v>
      </c>
      <c r="Y8" s="148">
        <v>4.95</v>
      </c>
      <c r="Z8" s="144" t="s">
        <v>45</v>
      </c>
      <c r="AA8" s="149">
        <v>1123</v>
      </c>
      <c r="AB8" s="149">
        <v>190.56170799999998</v>
      </c>
      <c r="AC8" s="149">
        <v>226.86868686868686</v>
      </c>
      <c r="AD8" s="156">
        <v>38.497314747474739</v>
      </c>
      <c r="AE8" s="149" t="str">
        <f>IFERROR(_xlfn.XLOOKUP(DATA_MASTER[[#This Row],[DATE]],RODEO[DATE],RODEO[ARTIST]),"")</f>
        <v/>
      </c>
      <c r="AF8" s="172">
        <f>IF(DATA_MASTER[[#This Row],[RODEO_ARTIST]]="",0,1)</f>
        <v>0</v>
      </c>
      <c r="AG8" t="str">
        <f>IFERROR(RIGHT(_xlfn.XLOOKUP(DATA_MASTER[[#This Row],[DATE]],ASTROS[DATE],ASTROS[OPPONENT]),LEN(_xlfn.XLOOKUP(DATA_MASTER[[#This Row],[DATE]],ASTROS[DATE],ASTROS[OPPONENT]))-3),"NO GAME")</f>
        <v>NO GAME</v>
      </c>
      <c r="AH8">
        <f>IF(DATA_MASTER[[#This Row],[ASTROS_GAME]]="NO GAME",0,1)</f>
        <v>0</v>
      </c>
      <c r="AI8">
        <f>_xlfn.XLOOKUP(DATA_MASTER[[#This Row],[DATE]],WEATHER[DATE],WEATHER[tempmax])</f>
        <v>96.1</v>
      </c>
      <c r="AJ8">
        <f>_xlfn.XLOOKUP(DATA_MASTER[[#This Row],[DATE]],WEATHER[DATE],WEATHER[precip])</f>
        <v>0</v>
      </c>
      <c r="AQ8"/>
      <c r="AR8"/>
      <c r="AS8"/>
      <c r="BH8" s="134" t="s">
        <v>43</v>
      </c>
      <c r="BI8" s="122">
        <v>27.746366549456837</v>
      </c>
      <c r="BJ8" s="122">
        <v>40.085343797468354</v>
      </c>
      <c r="BK8" s="122">
        <v>28.054166746907981</v>
      </c>
      <c r="BL8" s="122">
        <v>36.018010268799515</v>
      </c>
      <c r="BM8" s="122">
        <v>34.223412692822713</v>
      </c>
      <c r="BN8" s="122">
        <v>21.916289235783516</v>
      </c>
      <c r="BO8" s="122"/>
      <c r="BP8" s="122">
        <v>32.187090338795279</v>
      </c>
    </row>
    <row r="9" spans="1:68" x14ac:dyDescent="0.35">
      <c r="A9" s="155">
        <v>45118</v>
      </c>
      <c r="B9" s="144" t="s">
        <v>46</v>
      </c>
      <c r="C9" s="144" t="s">
        <v>52</v>
      </c>
      <c r="D9" s="144" t="s">
        <v>53</v>
      </c>
      <c r="E9" s="145">
        <f t="shared" si="17"/>
        <v>1</v>
      </c>
      <c r="F9" s="146">
        <f t="shared" si="0"/>
        <v>0</v>
      </c>
      <c r="G9" s="146">
        <f t="shared" si="1"/>
        <v>0</v>
      </c>
      <c r="H9" s="146">
        <f t="shared" si="2"/>
        <v>0</v>
      </c>
      <c r="I9" s="146">
        <f t="shared" si="3"/>
        <v>0</v>
      </c>
      <c r="J9" s="146">
        <f t="shared" si="4"/>
        <v>0</v>
      </c>
      <c r="K9" s="146">
        <f t="shared" si="5"/>
        <v>0</v>
      </c>
      <c r="L9" s="147">
        <f t="shared" si="18"/>
        <v>0</v>
      </c>
      <c r="M9" s="147">
        <f t="shared" si="6"/>
        <v>0</v>
      </c>
      <c r="N9" s="147">
        <f t="shared" si="7"/>
        <v>0</v>
      </c>
      <c r="O9" s="147">
        <f t="shared" si="8"/>
        <v>0</v>
      </c>
      <c r="P9" s="147">
        <f t="shared" si="9"/>
        <v>0</v>
      </c>
      <c r="Q9" s="147">
        <f t="shared" si="10"/>
        <v>0</v>
      </c>
      <c r="R9" s="147">
        <f t="shared" si="11"/>
        <v>0</v>
      </c>
      <c r="S9" s="147">
        <f t="shared" si="12"/>
        <v>0</v>
      </c>
      <c r="T9" s="147">
        <f t="shared" si="13"/>
        <v>0</v>
      </c>
      <c r="U9" s="147">
        <f t="shared" si="14"/>
        <v>0</v>
      </c>
      <c r="V9" s="147">
        <f t="shared" si="15"/>
        <v>0</v>
      </c>
      <c r="W9" s="129">
        <v>0</v>
      </c>
      <c r="X9" s="144" t="str">
        <f t="shared" si="16"/>
        <v>WEEKDAY</v>
      </c>
      <c r="Y9" s="148">
        <v>4.55</v>
      </c>
      <c r="Z9" s="144" t="s">
        <v>45</v>
      </c>
      <c r="AA9" s="149">
        <v>1161</v>
      </c>
      <c r="AB9" s="149">
        <v>175.82314799999997</v>
      </c>
      <c r="AC9" s="149">
        <v>255.16483516483518</v>
      </c>
      <c r="AD9" s="156">
        <v>38.642450109890106</v>
      </c>
      <c r="AE9" s="149" t="str">
        <f>IFERROR(_xlfn.XLOOKUP(DATA_MASTER[[#This Row],[DATE]],RODEO[DATE],RODEO[ARTIST]),"")</f>
        <v/>
      </c>
      <c r="AF9" s="172">
        <f>IF(DATA_MASTER[[#This Row],[RODEO_ARTIST]]="",0,1)</f>
        <v>0</v>
      </c>
      <c r="AG9" t="str">
        <f>IFERROR(RIGHT(_xlfn.XLOOKUP(DATA_MASTER[[#This Row],[DATE]],ASTROS[DATE],ASTROS[OPPONENT]),LEN(_xlfn.XLOOKUP(DATA_MASTER[[#This Row],[DATE]],ASTROS[DATE],ASTROS[OPPONENT]))-3),"NO GAME")</f>
        <v>NO GAME</v>
      </c>
      <c r="AH9">
        <f>IF(DATA_MASTER[[#This Row],[ASTROS_GAME]]="NO GAME",0,1)</f>
        <v>0</v>
      </c>
      <c r="AI9">
        <f>_xlfn.XLOOKUP(DATA_MASTER[[#This Row],[DATE]],WEATHER[DATE],WEATHER[tempmax])</f>
        <v>95.1</v>
      </c>
      <c r="AJ9">
        <f>_xlfn.XLOOKUP(DATA_MASTER[[#This Row],[DATE]],WEATHER[DATE],WEATHER[precip])</f>
        <v>0</v>
      </c>
      <c r="AQ9"/>
      <c r="AR9"/>
      <c r="AS9"/>
      <c r="BH9" s="134" t="s">
        <v>53</v>
      </c>
      <c r="BI9" s="122">
        <v>34.788849848265755</v>
      </c>
      <c r="BJ9" s="122">
        <v>32.381382084507038</v>
      </c>
      <c r="BK9" s="122">
        <v>39.672777386118163</v>
      </c>
      <c r="BL9" s="122">
        <v>39.82661739375083</v>
      </c>
      <c r="BM9" s="122">
        <v>26.572952880124546</v>
      </c>
      <c r="BN9" s="122">
        <v>41.089825590788315</v>
      </c>
      <c r="BO9" s="122">
        <v>33.326082498371193</v>
      </c>
      <c r="BP9" s="122">
        <v>36.625209455387477</v>
      </c>
    </row>
    <row r="10" spans="1:68" x14ac:dyDescent="0.35">
      <c r="A10" s="155">
        <v>45119</v>
      </c>
      <c r="B10" s="144" t="s">
        <v>46</v>
      </c>
      <c r="C10" s="144" t="s">
        <v>44</v>
      </c>
      <c r="D10" s="144" t="s">
        <v>53</v>
      </c>
      <c r="E10" s="145">
        <f t="shared" si="17"/>
        <v>1</v>
      </c>
      <c r="F10" s="146">
        <f t="shared" si="0"/>
        <v>0</v>
      </c>
      <c r="G10" s="146">
        <f t="shared" si="1"/>
        <v>0</v>
      </c>
      <c r="H10" s="146">
        <f t="shared" si="2"/>
        <v>1</v>
      </c>
      <c r="I10" s="146">
        <f t="shared" si="3"/>
        <v>0</v>
      </c>
      <c r="J10" s="146">
        <f t="shared" si="4"/>
        <v>0</v>
      </c>
      <c r="K10" s="146">
        <f t="shared" si="5"/>
        <v>0</v>
      </c>
      <c r="L10" s="147">
        <f t="shared" si="18"/>
        <v>0</v>
      </c>
      <c r="M10" s="147">
        <f t="shared" si="6"/>
        <v>0</v>
      </c>
      <c r="N10" s="147">
        <f t="shared" si="7"/>
        <v>0</v>
      </c>
      <c r="O10" s="147">
        <f t="shared" si="8"/>
        <v>0</v>
      </c>
      <c r="P10" s="147">
        <f t="shared" si="9"/>
        <v>0</v>
      </c>
      <c r="Q10" s="147">
        <f t="shared" si="10"/>
        <v>0</v>
      </c>
      <c r="R10" s="147">
        <f t="shared" si="11"/>
        <v>0</v>
      </c>
      <c r="S10" s="147">
        <f t="shared" si="12"/>
        <v>0</v>
      </c>
      <c r="T10" s="147">
        <f t="shared" si="13"/>
        <v>0</v>
      </c>
      <c r="U10" s="147">
        <f t="shared" si="14"/>
        <v>0</v>
      </c>
      <c r="V10" s="147">
        <f t="shared" si="15"/>
        <v>0</v>
      </c>
      <c r="W10" s="129">
        <v>0</v>
      </c>
      <c r="X10" s="144" t="str">
        <f t="shared" si="16"/>
        <v>WEEKDAY</v>
      </c>
      <c r="Y10" s="148">
        <v>4.333333333333333</v>
      </c>
      <c r="Z10" s="144" t="s">
        <v>45</v>
      </c>
      <c r="AA10" s="149">
        <v>836.5</v>
      </c>
      <c r="AB10" s="149">
        <v>147.38756000000001</v>
      </c>
      <c r="AC10" s="149">
        <v>193.03846153846155</v>
      </c>
      <c r="AD10" s="156">
        <v>34.012513846153851</v>
      </c>
      <c r="AE10" s="149" t="str">
        <f>IFERROR(_xlfn.XLOOKUP(DATA_MASTER[[#This Row],[DATE]],RODEO[DATE],RODEO[ARTIST]),"")</f>
        <v/>
      </c>
      <c r="AF10" s="172">
        <f>IF(DATA_MASTER[[#This Row],[RODEO_ARTIST]]="",0,1)</f>
        <v>0</v>
      </c>
      <c r="AG10" t="str">
        <f>IFERROR(RIGHT(_xlfn.XLOOKUP(DATA_MASTER[[#This Row],[DATE]],ASTROS[DATE],ASTROS[OPPONENT]),LEN(_xlfn.XLOOKUP(DATA_MASTER[[#This Row],[DATE]],ASTROS[DATE],ASTROS[OPPONENT]))-3),"NO GAME")</f>
        <v>NO GAME</v>
      </c>
      <c r="AH10">
        <f>IF(DATA_MASTER[[#This Row],[ASTROS_GAME]]="NO GAME",0,1)</f>
        <v>0</v>
      </c>
      <c r="AI10">
        <f>_xlfn.XLOOKUP(DATA_MASTER[[#This Row],[DATE]],WEATHER[DATE],WEATHER[tempmax])</f>
        <v>95.2</v>
      </c>
      <c r="AJ10">
        <f>_xlfn.XLOOKUP(DATA_MASTER[[#This Row],[DATE]],WEATHER[DATE],WEATHER[precip])</f>
        <v>0</v>
      </c>
      <c r="AQ10"/>
      <c r="AR10"/>
      <c r="AS10"/>
      <c r="BH10" s="134" t="s">
        <v>54</v>
      </c>
      <c r="BI10" s="122">
        <v>32.596063341697679</v>
      </c>
      <c r="BJ10" s="122"/>
      <c r="BK10" s="122">
        <v>35.505358517407672</v>
      </c>
      <c r="BL10" s="122">
        <v>39.74895727433401</v>
      </c>
      <c r="BM10" s="122">
        <v>40.071515113443354</v>
      </c>
      <c r="BN10" s="122">
        <v>24.679548993038811</v>
      </c>
      <c r="BO10" s="122">
        <v>23.962740586021393</v>
      </c>
      <c r="BP10" s="122">
        <v>31.564633840461681</v>
      </c>
    </row>
    <row r="11" spans="1:68" x14ac:dyDescent="0.35">
      <c r="A11" s="155">
        <v>45121</v>
      </c>
      <c r="B11" s="144" t="s">
        <v>46</v>
      </c>
      <c r="C11" s="144" t="s">
        <v>48</v>
      </c>
      <c r="D11" s="144" t="s">
        <v>53</v>
      </c>
      <c r="E11" s="145">
        <f t="shared" si="17"/>
        <v>1</v>
      </c>
      <c r="F11" s="146">
        <f t="shared" si="0"/>
        <v>0</v>
      </c>
      <c r="G11" s="146">
        <f t="shared" si="1"/>
        <v>0</v>
      </c>
      <c r="H11" s="146">
        <f t="shared" si="2"/>
        <v>0</v>
      </c>
      <c r="I11" s="146">
        <f t="shared" si="3"/>
        <v>0</v>
      </c>
      <c r="J11" s="146">
        <f t="shared" si="4"/>
        <v>1</v>
      </c>
      <c r="K11" s="146">
        <f t="shared" si="5"/>
        <v>0</v>
      </c>
      <c r="L11" s="147">
        <f t="shared" si="18"/>
        <v>0</v>
      </c>
      <c r="M11" s="147">
        <f t="shared" si="6"/>
        <v>0</v>
      </c>
      <c r="N11" s="147">
        <f t="shared" si="7"/>
        <v>0</v>
      </c>
      <c r="O11" s="147">
        <f t="shared" si="8"/>
        <v>0</v>
      </c>
      <c r="P11" s="147">
        <f t="shared" si="9"/>
        <v>0</v>
      </c>
      <c r="Q11" s="147">
        <f t="shared" si="10"/>
        <v>0</v>
      </c>
      <c r="R11" s="147">
        <f t="shared" si="11"/>
        <v>0</v>
      </c>
      <c r="S11" s="147">
        <f t="shared" si="12"/>
        <v>0</v>
      </c>
      <c r="T11" s="147">
        <f t="shared" si="13"/>
        <v>0</v>
      </c>
      <c r="U11" s="147">
        <f t="shared" si="14"/>
        <v>0</v>
      </c>
      <c r="V11" s="147">
        <f t="shared" si="15"/>
        <v>0</v>
      </c>
      <c r="W11" s="129">
        <v>1</v>
      </c>
      <c r="X11" s="144" t="str">
        <f t="shared" si="16"/>
        <v>WEEKEND</v>
      </c>
      <c r="Y11" s="148">
        <v>4.7833333333333332</v>
      </c>
      <c r="Z11" s="144" t="s">
        <v>45</v>
      </c>
      <c r="AA11" s="149">
        <v>1286</v>
      </c>
      <c r="AB11" s="149">
        <v>203.24042800000001</v>
      </c>
      <c r="AC11" s="149">
        <v>268.85017421602788</v>
      </c>
      <c r="AD11" s="156">
        <v>42.489288083623698</v>
      </c>
      <c r="AE11" s="149" t="str">
        <f>IFERROR(_xlfn.XLOOKUP(DATA_MASTER[[#This Row],[DATE]],RODEO[DATE],RODEO[ARTIST]),"")</f>
        <v/>
      </c>
      <c r="AF11" s="172">
        <f>IF(DATA_MASTER[[#This Row],[RODEO_ARTIST]]="",0,1)</f>
        <v>0</v>
      </c>
      <c r="AG11" t="str">
        <f>IFERROR(RIGHT(_xlfn.XLOOKUP(DATA_MASTER[[#This Row],[DATE]],ASTROS[DATE],ASTROS[OPPONENT]),LEN(_xlfn.XLOOKUP(DATA_MASTER[[#This Row],[DATE]],ASTROS[DATE],ASTROS[OPPONENT]))-3),"NO GAME")</f>
        <v>NO GAME</v>
      </c>
      <c r="AH11">
        <f>IF(DATA_MASTER[[#This Row],[ASTROS_GAME]]="NO GAME",0,1)</f>
        <v>0</v>
      </c>
      <c r="AI11">
        <f>_xlfn.XLOOKUP(DATA_MASTER[[#This Row],[DATE]],WEATHER[DATE],WEATHER[tempmax])</f>
        <v>95.1</v>
      </c>
      <c r="AJ11">
        <f>_xlfn.XLOOKUP(DATA_MASTER[[#This Row],[DATE]],WEATHER[DATE],WEATHER[precip])</f>
        <v>0</v>
      </c>
      <c r="AQ11"/>
      <c r="AR11"/>
      <c r="AS11"/>
      <c r="BH11" s="134" t="s">
        <v>56</v>
      </c>
      <c r="BI11" s="122">
        <v>20.685016356560414</v>
      </c>
      <c r="BJ11" s="122"/>
      <c r="BK11" s="122">
        <v>30.913575178368802</v>
      </c>
      <c r="BL11" s="122">
        <v>28.913648590066664</v>
      </c>
      <c r="BM11" s="122">
        <v>40.348604310184832</v>
      </c>
      <c r="BN11" s="122">
        <v>23.702323196511191</v>
      </c>
      <c r="BO11" s="122">
        <v>24.476761967213115</v>
      </c>
      <c r="BP11" s="122">
        <v>29.977250925040909</v>
      </c>
    </row>
    <row r="12" spans="1:68" x14ac:dyDescent="0.35">
      <c r="A12" s="155">
        <v>45122</v>
      </c>
      <c r="B12" s="144" t="s">
        <v>46</v>
      </c>
      <c r="C12" s="144" t="s">
        <v>49</v>
      </c>
      <c r="D12" s="144" t="s">
        <v>53</v>
      </c>
      <c r="E12" s="145">
        <f t="shared" si="17"/>
        <v>1</v>
      </c>
      <c r="F12" s="146">
        <f t="shared" si="0"/>
        <v>0</v>
      </c>
      <c r="G12" s="146">
        <f t="shared" si="1"/>
        <v>0</v>
      </c>
      <c r="H12" s="146">
        <f t="shared" si="2"/>
        <v>0</v>
      </c>
      <c r="I12" s="146">
        <f t="shared" si="3"/>
        <v>0</v>
      </c>
      <c r="J12" s="146">
        <f t="shared" si="4"/>
        <v>0</v>
      </c>
      <c r="K12" s="146">
        <f t="shared" si="5"/>
        <v>1</v>
      </c>
      <c r="L12" s="147">
        <f t="shared" si="18"/>
        <v>0</v>
      </c>
      <c r="M12" s="147">
        <f t="shared" si="6"/>
        <v>0</v>
      </c>
      <c r="N12" s="147">
        <f t="shared" si="7"/>
        <v>0</v>
      </c>
      <c r="O12" s="147">
        <f t="shared" si="8"/>
        <v>0</v>
      </c>
      <c r="P12" s="147">
        <f t="shared" si="9"/>
        <v>0</v>
      </c>
      <c r="Q12" s="147">
        <f t="shared" si="10"/>
        <v>0</v>
      </c>
      <c r="R12" s="147">
        <f t="shared" si="11"/>
        <v>0</v>
      </c>
      <c r="S12" s="147">
        <f t="shared" si="12"/>
        <v>0</v>
      </c>
      <c r="T12" s="147">
        <f t="shared" si="13"/>
        <v>0</v>
      </c>
      <c r="U12" s="147">
        <f t="shared" si="14"/>
        <v>0</v>
      </c>
      <c r="V12" s="147">
        <f t="shared" si="15"/>
        <v>0</v>
      </c>
      <c r="W12" s="129">
        <v>1</v>
      </c>
      <c r="X12" s="144" t="str">
        <f t="shared" si="16"/>
        <v>WEEKEND</v>
      </c>
      <c r="Y12" s="148">
        <v>4.3</v>
      </c>
      <c r="Z12" s="144" t="s">
        <v>45</v>
      </c>
      <c r="AA12" s="149">
        <v>764.5</v>
      </c>
      <c r="AB12" s="149">
        <v>116.77434399999999</v>
      </c>
      <c r="AC12" s="149">
        <v>177.79069767441862</v>
      </c>
      <c r="AD12" s="156">
        <v>27.15682418604651</v>
      </c>
      <c r="AE12" s="149" t="str">
        <f>IFERROR(_xlfn.XLOOKUP(DATA_MASTER[[#This Row],[DATE]],RODEO[DATE],RODEO[ARTIST]),"")</f>
        <v/>
      </c>
      <c r="AF12" s="172">
        <f>IF(DATA_MASTER[[#This Row],[RODEO_ARTIST]]="",0,1)</f>
        <v>0</v>
      </c>
      <c r="AG12" t="str">
        <f>IFERROR(RIGHT(_xlfn.XLOOKUP(DATA_MASTER[[#This Row],[DATE]],ASTROS[DATE],ASTROS[OPPONENT]),LEN(_xlfn.XLOOKUP(DATA_MASTER[[#This Row],[DATE]],ASTROS[DATE],ASTROS[OPPONENT]))-3),"NO GAME")</f>
        <v>NO GAME</v>
      </c>
      <c r="AH12">
        <f>IF(DATA_MASTER[[#This Row],[ASTROS_GAME]]="NO GAME",0,1)</f>
        <v>0</v>
      </c>
      <c r="AI12">
        <f>_xlfn.XLOOKUP(DATA_MASTER[[#This Row],[DATE]],WEATHER[DATE],WEATHER[tempmax])</f>
        <v>96.9</v>
      </c>
      <c r="AJ12">
        <f>_xlfn.XLOOKUP(DATA_MASTER[[#This Row],[DATE]],WEATHER[DATE],WEATHER[precip])</f>
        <v>0</v>
      </c>
      <c r="AQ12"/>
      <c r="AR12"/>
      <c r="AS12"/>
      <c r="BH12" s="134" t="s">
        <v>57</v>
      </c>
      <c r="BI12" s="122">
        <v>19.993962095245735</v>
      </c>
      <c r="BJ12" s="122">
        <v>19.598591206611573</v>
      </c>
      <c r="BK12" s="122">
        <v>36.567803190184051</v>
      </c>
      <c r="BL12" s="122">
        <v>24.995215805202921</v>
      </c>
      <c r="BM12" s="122">
        <v>35.16716471881881</v>
      </c>
      <c r="BN12" s="122">
        <v>33.665183353327969</v>
      </c>
      <c r="BO12" s="122">
        <v>25.281616913433236</v>
      </c>
      <c r="BP12" s="122">
        <v>27.956320167290869</v>
      </c>
    </row>
    <row r="13" spans="1:68" x14ac:dyDescent="0.35">
      <c r="A13" s="155">
        <v>45125</v>
      </c>
      <c r="B13" s="144" t="s">
        <v>46</v>
      </c>
      <c r="C13" s="144" t="s">
        <v>52</v>
      </c>
      <c r="D13" s="144" t="s">
        <v>53</v>
      </c>
      <c r="E13" s="145">
        <f t="shared" si="17"/>
        <v>1</v>
      </c>
      <c r="F13" s="146">
        <f t="shared" si="0"/>
        <v>0</v>
      </c>
      <c r="G13" s="146">
        <f t="shared" si="1"/>
        <v>0</v>
      </c>
      <c r="H13" s="146">
        <f t="shared" si="2"/>
        <v>0</v>
      </c>
      <c r="I13" s="146">
        <f t="shared" si="3"/>
        <v>0</v>
      </c>
      <c r="J13" s="146">
        <f t="shared" si="4"/>
        <v>0</v>
      </c>
      <c r="K13" s="146">
        <f t="shared" si="5"/>
        <v>0</v>
      </c>
      <c r="L13" s="147">
        <f t="shared" si="18"/>
        <v>0</v>
      </c>
      <c r="M13" s="147">
        <f t="shared" si="6"/>
        <v>0</v>
      </c>
      <c r="N13" s="147">
        <f t="shared" si="7"/>
        <v>0</v>
      </c>
      <c r="O13" s="147">
        <f t="shared" si="8"/>
        <v>0</v>
      </c>
      <c r="P13" s="147">
        <f t="shared" si="9"/>
        <v>0</v>
      </c>
      <c r="Q13" s="147">
        <f t="shared" si="10"/>
        <v>0</v>
      </c>
      <c r="R13" s="147">
        <f t="shared" si="11"/>
        <v>0</v>
      </c>
      <c r="S13" s="147">
        <f t="shared" si="12"/>
        <v>0</v>
      </c>
      <c r="T13" s="147">
        <f t="shared" si="13"/>
        <v>0</v>
      </c>
      <c r="U13" s="147">
        <f t="shared" si="14"/>
        <v>0</v>
      </c>
      <c r="V13" s="147">
        <f t="shared" si="15"/>
        <v>0</v>
      </c>
      <c r="W13" s="129">
        <v>0</v>
      </c>
      <c r="X13" s="144" t="str">
        <f t="shared" si="16"/>
        <v>WEEKDAY</v>
      </c>
      <c r="Y13" s="148">
        <v>4.2166666666666668</v>
      </c>
      <c r="Z13" s="144" t="s">
        <v>45</v>
      </c>
      <c r="AA13" s="149">
        <v>662</v>
      </c>
      <c r="AB13" s="149">
        <v>124.95961999999999</v>
      </c>
      <c r="AC13" s="149">
        <v>156.99604743083003</v>
      </c>
      <c r="AD13" s="156">
        <v>29.634692490118574</v>
      </c>
      <c r="AE13" s="149" t="str">
        <f>IFERROR(_xlfn.XLOOKUP(DATA_MASTER[[#This Row],[DATE]],RODEO[DATE],RODEO[ARTIST]),"")</f>
        <v/>
      </c>
      <c r="AF13" s="172">
        <f>IF(DATA_MASTER[[#This Row],[RODEO_ARTIST]]="",0,1)</f>
        <v>0</v>
      </c>
      <c r="AG13" t="str">
        <f>IFERROR(RIGHT(_xlfn.XLOOKUP(DATA_MASTER[[#This Row],[DATE]],ASTROS[DATE],ASTROS[OPPONENT]),LEN(_xlfn.XLOOKUP(DATA_MASTER[[#This Row],[DATE]],ASTROS[DATE],ASTROS[OPPONENT]))-3),"NO GAME")</f>
        <v>NO GAME</v>
      </c>
      <c r="AH13">
        <f>IF(DATA_MASTER[[#This Row],[ASTROS_GAME]]="NO GAME",0,1)</f>
        <v>0</v>
      </c>
      <c r="AI13">
        <f>_xlfn.XLOOKUP(DATA_MASTER[[#This Row],[DATE]],WEATHER[DATE],WEATHER[tempmax])</f>
        <v>98.6</v>
      </c>
      <c r="AJ13">
        <f>_xlfn.XLOOKUP(DATA_MASTER[[#This Row],[DATE]],WEATHER[DATE],WEATHER[precip])</f>
        <v>0</v>
      </c>
      <c r="AQ13"/>
      <c r="AR13"/>
      <c r="AS13"/>
      <c r="BH13" s="134" t="s">
        <v>58</v>
      </c>
      <c r="BI13" s="122">
        <v>19.406742630410299</v>
      </c>
      <c r="BJ13" s="122">
        <v>21.422736824034338</v>
      </c>
      <c r="BK13" s="122">
        <v>34.707145111911785</v>
      </c>
      <c r="BL13" s="122">
        <v>35.640370245906553</v>
      </c>
      <c r="BM13" s="122">
        <v>32.081185343511457</v>
      </c>
      <c r="BN13" s="122">
        <v>26.777927737268971</v>
      </c>
      <c r="BO13" s="122">
        <v>31.925224961519149</v>
      </c>
      <c r="BP13" s="122">
        <v>30.320483777710667</v>
      </c>
    </row>
    <row r="14" spans="1:68" x14ac:dyDescent="0.35">
      <c r="A14" s="155">
        <v>45126</v>
      </c>
      <c r="B14" s="144" t="s">
        <v>46</v>
      </c>
      <c r="C14" s="144" t="s">
        <v>44</v>
      </c>
      <c r="D14" s="144" t="s">
        <v>53</v>
      </c>
      <c r="E14" s="145">
        <f t="shared" si="17"/>
        <v>1</v>
      </c>
      <c r="F14" s="146">
        <f t="shared" si="0"/>
        <v>0</v>
      </c>
      <c r="G14" s="146">
        <f t="shared" si="1"/>
        <v>0</v>
      </c>
      <c r="H14" s="146">
        <f t="shared" si="2"/>
        <v>1</v>
      </c>
      <c r="I14" s="146">
        <f t="shared" si="3"/>
        <v>0</v>
      </c>
      <c r="J14" s="146">
        <f t="shared" si="4"/>
        <v>0</v>
      </c>
      <c r="K14" s="146">
        <f t="shared" si="5"/>
        <v>0</v>
      </c>
      <c r="L14" s="147">
        <f t="shared" si="18"/>
        <v>0</v>
      </c>
      <c r="M14" s="147">
        <f t="shared" si="6"/>
        <v>0</v>
      </c>
      <c r="N14" s="147">
        <f t="shared" si="7"/>
        <v>0</v>
      </c>
      <c r="O14" s="147">
        <f t="shared" si="8"/>
        <v>0</v>
      </c>
      <c r="P14" s="147">
        <f t="shared" si="9"/>
        <v>0</v>
      </c>
      <c r="Q14" s="147">
        <f t="shared" si="10"/>
        <v>0</v>
      </c>
      <c r="R14" s="147">
        <f t="shared" si="11"/>
        <v>0</v>
      </c>
      <c r="S14" s="147">
        <f t="shared" si="12"/>
        <v>0</v>
      </c>
      <c r="T14" s="147">
        <f t="shared" si="13"/>
        <v>0</v>
      </c>
      <c r="U14" s="147">
        <f t="shared" si="14"/>
        <v>0</v>
      </c>
      <c r="V14" s="147">
        <f t="shared" si="15"/>
        <v>0</v>
      </c>
      <c r="W14" s="129">
        <v>0</v>
      </c>
      <c r="X14" s="144" t="str">
        <f t="shared" si="16"/>
        <v>WEEKDAY</v>
      </c>
      <c r="Y14" s="148">
        <v>4.8499999999999996</v>
      </c>
      <c r="Z14" s="144" t="s">
        <v>45</v>
      </c>
      <c r="AA14" s="149">
        <v>892</v>
      </c>
      <c r="AB14" s="149">
        <v>165.92441199999999</v>
      </c>
      <c r="AC14" s="149">
        <v>183.91752577319588</v>
      </c>
      <c r="AD14" s="156">
        <v>34.211218969072164</v>
      </c>
      <c r="AE14" s="149" t="str">
        <f>IFERROR(_xlfn.XLOOKUP(DATA_MASTER[[#This Row],[DATE]],RODEO[DATE],RODEO[ARTIST]),"")</f>
        <v/>
      </c>
      <c r="AF14" s="172">
        <f>IF(DATA_MASTER[[#This Row],[RODEO_ARTIST]]="",0,1)</f>
        <v>0</v>
      </c>
      <c r="AG14" t="str">
        <f>IFERROR(RIGHT(_xlfn.XLOOKUP(DATA_MASTER[[#This Row],[DATE]],ASTROS[DATE],ASTROS[OPPONENT]),LEN(_xlfn.XLOOKUP(DATA_MASTER[[#This Row],[DATE]],ASTROS[DATE],ASTROS[OPPONENT]))-3),"NO GAME")</f>
        <v>NO GAME</v>
      </c>
      <c r="AH14">
        <f>IF(DATA_MASTER[[#This Row],[ASTROS_GAME]]="NO GAME",0,1)</f>
        <v>0</v>
      </c>
      <c r="AI14">
        <f>_xlfn.XLOOKUP(DATA_MASTER[[#This Row],[DATE]],WEATHER[DATE],WEATHER[tempmax])</f>
        <v>97.6</v>
      </c>
      <c r="AJ14">
        <f>_xlfn.XLOOKUP(DATA_MASTER[[#This Row],[DATE]],WEATHER[DATE],WEATHER[precip])</f>
        <v>0</v>
      </c>
      <c r="AQ14"/>
      <c r="AR14"/>
      <c r="AS14"/>
      <c r="BH14" s="134" t="s">
        <v>59</v>
      </c>
      <c r="BI14" s="122">
        <v>39.111705313045547</v>
      </c>
      <c r="BJ14" s="122">
        <v>37.102598757763985</v>
      </c>
      <c r="BK14" s="122">
        <v>40.689907760035979</v>
      </c>
      <c r="BL14" s="122">
        <v>35.72060646419397</v>
      </c>
      <c r="BM14" s="122">
        <v>41.84640445037671</v>
      </c>
      <c r="BN14" s="122">
        <v>31.029666887805764</v>
      </c>
      <c r="BO14" s="122"/>
      <c r="BP14" s="122">
        <v>37.619190034763321</v>
      </c>
    </row>
    <row r="15" spans="1:68" x14ac:dyDescent="0.35">
      <c r="A15" s="155">
        <v>45128</v>
      </c>
      <c r="B15" s="144" t="s">
        <v>46</v>
      </c>
      <c r="C15" s="144" t="s">
        <v>48</v>
      </c>
      <c r="D15" s="144" t="s">
        <v>53</v>
      </c>
      <c r="E15" s="145">
        <f t="shared" si="17"/>
        <v>1</v>
      </c>
      <c r="F15" s="146">
        <f t="shared" si="0"/>
        <v>0</v>
      </c>
      <c r="G15" s="146">
        <f t="shared" si="1"/>
        <v>0</v>
      </c>
      <c r="H15" s="146">
        <f t="shared" si="2"/>
        <v>0</v>
      </c>
      <c r="I15" s="146">
        <f t="shared" si="3"/>
        <v>0</v>
      </c>
      <c r="J15" s="146">
        <f t="shared" si="4"/>
        <v>1</v>
      </c>
      <c r="K15" s="146">
        <f t="shared" si="5"/>
        <v>0</v>
      </c>
      <c r="L15" s="147">
        <f t="shared" si="18"/>
        <v>0</v>
      </c>
      <c r="M15" s="147">
        <f t="shared" si="6"/>
        <v>0</v>
      </c>
      <c r="N15" s="147">
        <f t="shared" si="7"/>
        <v>0</v>
      </c>
      <c r="O15" s="147">
        <f t="shared" si="8"/>
        <v>0</v>
      </c>
      <c r="P15" s="147">
        <f t="shared" si="9"/>
        <v>0</v>
      </c>
      <c r="Q15" s="147">
        <f t="shared" si="10"/>
        <v>0</v>
      </c>
      <c r="R15" s="147">
        <f t="shared" si="11"/>
        <v>0</v>
      </c>
      <c r="S15" s="147">
        <f t="shared" si="12"/>
        <v>0</v>
      </c>
      <c r="T15" s="147">
        <f t="shared" si="13"/>
        <v>0</v>
      </c>
      <c r="U15" s="147">
        <f t="shared" si="14"/>
        <v>0</v>
      </c>
      <c r="V15" s="147">
        <f t="shared" si="15"/>
        <v>0</v>
      </c>
      <c r="W15" s="129">
        <v>1</v>
      </c>
      <c r="X15" s="144" t="str">
        <f t="shared" si="16"/>
        <v>WEEKEND</v>
      </c>
      <c r="Y15" s="148">
        <v>5.9666666666666668</v>
      </c>
      <c r="Z15" s="144" t="s">
        <v>45</v>
      </c>
      <c r="AA15" s="149">
        <v>1455</v>
      </c>
      <c r="AB15" s="149">
        <v>241.94436000000002</v>
      </c>
      <c r="AC15" s="149">
        <v>243.85474860335194</v>
      </c>
      <c r="AD15" s="156">
        <v>40.54933407821229</v>
      </c>
      <c r="AE15" s="149" t="str">
        <f>IFERROR(_xlfn.XLOOKUP(DATA_MASTER[[#This Row],[DATE]],RODEO[DATE],RODEO[ARTIST]),"")</f>
        <v/>
      </c>
      <c r="AF15" s="172">
        <f>IF(DATA_MASTER[[#This Row],[RODEO_ARTIST]]="",0,1)</f>
        <v>0</v>
      </c>
      <c r="AG15" t="str">
        <f>IFERROR(RIGHT(_xlfn.XLOOKUP(DATA_MASTER[[#This Row],[DATE]],ASTROS[DATE],ASTROS[OPPONENT]),LEN(_xlfn.XLOOKUP(DATA_MASTER[[#This Row],[DATE]],ASTROS[DATE],ASTROS[OPPONENT]))-3),"NO GAME")</f>
        <v>NO GAME</v>
      </c>
      <c r="AH15">
        <f>IF(DATA_MASTER[[#This Row],[ASTROS_GAME]]="NO GAME",0,1)</f>
        <v>0</v>
      </c>
      <c r="AI15">
        <f>_xlfn.XLOOKUP(DATA_MASTER[[#This Row],[DATE]],WEATHER[DATE],WEATHER[tempmax])</f>
        <v>98.6</v>
      </c>
      <c r="AJ15">
        <f>_xlfn.XLOOKUP(DATA_MASTER[[#This Row],[DATE]],WEATHER[DATE],WEATHER[precip])</f>
        <v>0</v>
      </c>
      <c r="AQ15"/>
      <c r="AR15"/>
      <c r="AS15"/>
      <c r="BH15" s="134" t="s">
        <v>159</v>
      </c>
      <c r="BI15" s="122">
        <v>30.939474725046608</v>
      </c>
      <c r="BJ15" s="122">
        <v>30.778366224873235</v>
      </c>
      <c r="BK15" s="122">
        <v>35.513745150957384</v>
      </c>
      <c r="BL15" s="122">
        <v>36.406741179053896</v>
      </c>
      <c r="BM15" s="122">
        <v>36.421005007786889</v>
      </c>
      <c r="BN15" s="122">
        <v>28.679643603033401</v>
      </c>
      <c r="BO15" s="122">
        <v>27.728219254996677</v>
      </c>
      <c r="BP15" s="122">
        <v>32.910035051602236</v>
      </c>
    </row>
    <row r="16" spans="1:68" x14ac:dyDescent="0.35">
      <c r="A16" s="155">
        <v>45129</v>
      </c>
      <c r="B16" s="144" t="s">
        <v>46</v>
      </c>
      <c r="C16" s="144" t="s">
        <v>49</v>
      </c>
      <c r="D16" s="144" t="s">
        <v>53</v>
      </c>
      <c r="E16" s="145">
        <f t="shared" si="17"/>
        <v>1</v>
      </c>
      <c r="F16" s="146">
        <f t="shared" si="0"/>
        <v>0</v>
      </c>
      <c r="G16" s="146">
        <f t="shared" si="1"/>
        <v>0</v>
      </c>
      <c r="H16" s="146">
        <f t="shared" si="2"/>
        <v>0</v>
      </c>
      <c r="I16" s="146">
        <f t="shared" si="3"/>
        <v>0</v>
      </c>
      <c r="J16" s="146">
        <f t="shared" si="4"/>
        <v>0</v>
      </c>
      <c r="K16" s="146">
        <f t="shared" si="5"/>
        <v>1</v>
      </c>
      <c r="L16" s="147">
        <f t="shared" si="18"/>
        <v>0</v>
      </c>
      <c r="M16" s="147">
        <f t="shared" si="6"/>
        <v>0</v>
      </c>
      <c r="N16" s="147">
        <f t="shared" si="7"/>
        <v>0</v>
      </c>
      <c r="O16" s="147">
        <f t="shared" si="8"/>
        <v>0</v>
      </c>
      <c r="P16" s="147">
        <f t="shared" si="9"/>
        <v>0</v>
      </c>
      <c r="Q16" s="147">
        <f t="shared" si="10"/>
        <v>0</v>
      </c>
      <c r="R16" s="147">
        <f t="shared" si="11"/>
        <v>0</v>
      </c>
      <c r="S16" s="147">
        <f t="shared" si="12"/>
        <v>0</v>
      </c>
      <c r="T16" s="147">
        <f t="shared" si="13"/>
        <v>0</v>
      </c>
      <c r="U16" s="147">
        <f t="shared" si="14"/>
        <v>0</v>
      </c>
      <c r="V16" s="147">
        <f t="shared" si="15"/>
        <v>0</v>
      </c>
      <c r="W16" s="129">
        <v>1</v>
      </c>
      <c r="X16" s="144" t="str">
        <f t="shared" si="16"/>
        <v>WEEKEND</v>
      </c>
      <c r="Y16" s="148">
        <v>6.1166666666666663</v>
      </c>
      <c r="Z16" s="144" t="s">
        <v>45</v>
      </c>
      <c r="AA16" s="149">
        <v>1817.5</v>
      </c>
      <c r="AB16" s="149">
        <v>333.681308</v>
      </c>
      <c r="AC16" s="149">
        <v>297.13896457765668</v>
      </c>
      <c r="AD16" s="156">
        <v>54.552802397820166</v>
      </c>
      <c r="AE16" s="149" t="str">
        <f>IFERROR(_xlfn.XLOOKUP(DATA_MASTER[[#This Row],[DATE]],RODEO[DATE],RODEO[ARTIST]),"")</f>
        <v/>
      </c>
      <c r="AF16" s="172">
        <f>IF(DATA_MASTER[[#This Row],[RODEO_ARTIST]]="",0,1)</f>
        <v>0</v>
      </c>
      <c r="AG16" t="str">
        <f>IFERROR(RIGHT(_xlfn.XLOOKUP(DATA_MASTER[[#This Row],[DATE]],ASTROS[DATE],ASTROS[OPPONENT]),LEN(_xlfn.XLOOKUP(DATA_MASTER[[#This Row],[DATE]],ASTROS[DATE],ASTROS[OPPONENT]))-3),"NO GAME")</f>
        <v>NO GAME</v>
      </c>
      <c r="AH16">
        <f>IF(DATA_MASTER[[#This Row],[ASTROS_GAME]]="NO GAME",0,1)</f>
        <v>0</v>
      </c>
      <c r="AI16">
        <f>_xlfn.XLOOKUP(DATA_MASTER[[#This Row],[DATE]],WEATHER[DATE],WEATHER[tempmax])</f>
        <v>99.6</v>
      </c>
      <c r="AJ16">
        <f>_xlfn.XLOOKUP(DATA_MASTER[[#This Row],[DATE]],WEATHER[DATE],WEATHER[precip])</f>
        <v>0</v>
      </c>
      <c r="AQ16"/>
      <c r="AR16"/>
      <c r="AS16"/>
    </row>
    <row r="17" spans="1:60" x14ac:dyDescent="0.35">
      <c r="A17" s="155">
        <v>45131</v>
      </c>
      <c r="B17" s="144" t="s">
        <v>46</v>
      </c>
      <c r="C17" s="144" t="s">
        <v>51</v>
      </c>
      <c r="D17" s="144" t="s">
        <v>53</v>
      </c>
      <c r="E17" s="145">
        <f t="shared" si="17"/>
        <v>1</v>
      </c>
      <c r="F17" s="146">
        <f t="shared" si="0"/>
        <v>0</v>
      </c>
      <c r="G17" s="146">
        <f t="shared" si="1"/>
        <v>1</v>
      </c>
      <c r="H17" s="146">
        <f t="shared" si="2"/>
        <v>0</v>
      </c>
      <c r="I17" s="146">
        <f t="shared" si="3"/>
        <v>0</v>
      </c>
      <c r="J17" s="146">
        <f t="shared" si="4"/>
        <v>0</v>
      </c>
      <c r="K17" s="146">
        <f t="shared" si="5"/>
        <v>0</v>
      </c>
      <c r="L17" s="147">
        <f t="shared" si="18"/>
        <v>0</v>
      </c>
      <c r="M17" s="147">
        <f t="shared" si="6"/>
        <v>0</v>
      </c>
      <c r="N17" s="147">
        <f t="shared" si="7"/>
        <v>0</v>
      </c>
      <c r="O17" s="147">
        <f t="shared" si="8"/>
        <v>0</v>
      </c>
      <c r="P17" s="147">
        <f t="shared" si="9"/>
        <v>0</v>
      </c>
      <c r="Q17" s="147">
        <f t="shared" si="10"/>
        <v>0</v>
      </c>
      <c r="R17" s="147">
        <f t="shared" si="11"/>
        <v>0</v>
      </c>
      <c r="S17" s="147">
        <f t="shared" si="12"/>
        <v>0</v>
      </c>
      <c r="T17" s="147">
        <f t="shared" si="13"/>
        <v>0</v>
      </c>
      <c r="U17" s="147">
        <f t="shared" si="14"/>
        <v>0</v>
      </c>
      <c r="V17" s="147">
        <f t="shared" si="15"/>
        <v>0</v>
      </c>
      <c r="W17" s="129">
        <v>0</v>
      </c>
      <c r="X17" s="144" t="str">
        <f t="shared" si="16"/>
        <v>WEEKDAY</v>
      </c>
      <c r="Y17" s="148">
        <v>4.5166666666666666</v>
      </c>
      <c r="Z17" s="144" t="s">
        <v>45</v>
      </c>
      <c r="AA17" s="149">
        <v>1036</v>
      </c>
      <c r="AB17" s="149">
        <v>170.00901999999999</v>
      </c>
      <c r="AC17" s="149">
        <v>229.37269372693729</v>
      </c>
      <c r="AD17" s="156">
        <v>37.640373431734318</v>
      </c>
      <c r="AE17" s="149" t="str">
        <f>IFERROR(_xlfn.XLOOKUP(DATA_MASTER[[#This Row],[DATE]],RODEO[DATE],RODEO[ARTIST]),"")</f>
        <v/>
      </c>
      <c r="AF17" s="172">
        <f>IF(DATA_MASTER[[#This Row],[RODEO_ARTIST]]="",0,1)</f>
        <v>0</v>
      </c>
      <c r="AG17" t="str">
        <f>IFERROR(RIGHT(_xlfn.XLOOKUP(DATA_MASTER[[#This Row],[DATE]],ASTROS[DATE],ASTROS[OPPONENT]),LEN(_xlfn.XLOOKUP(DATA_MASTER[[#This Row],[DATE]],ASTROS[DATE],ASTROS[OPPONENT]))-3),"NO GAME")</f>
        <v>Texas Rangers</v>
      </c>
      <c r="AH17">
        <f>IF(DATA_MASTER[[#This Row],[ASTROS_GAME]]="NO GAME",0,1)</f>
        <v>1</v>
      </c>
      <c r="AI17">
        <f>_xlfn.XLOOKUP(DATA_MASTER[[#This Row],[DATE]],WEATHER[DATE],WEATHER[tempmax])</f>
        <v>94.1</v>
      </c>
      <c r="AJ17">
        <f>_xlfn.XLOOKUP(DATA_MASTER[[#This Row],[DATE]],WEATHER[DATE],WEATHER[precip])</f>
        <v>4.0000000000000001E-3</v>
      </c>
      <c r="AQ17"/>
      <c r="AR17"/>
      <c r="AS17"/>
    </row>
    <row r="18" spans="1:60" x14ac:dyDescent="0.35">
      <c r="A18" s="155">
        <v>45132</v>
      </c>
      <c r="B18" s="144" t="s">
        <v>46</v>
      </c>
      <c r="C18" s="144" t="s">
        <v>52</v>
      </c>
      <c r="D18" s="144" t="s">
        <v>53</v>
      </c>
      <c r="E18" s="145">
        <f t="shared" si="17"/>
        <v>1</v>
      </c>
      <c r="F18" s="146">
        <f t="shared" si="0"/>
        <v>0</v>
      </c>
      <c r="G18" s="146">
        <f t="shared" si="1"/>
        <v>0</v>
      </c>
      <c r="H18" s="146">
        <f t="shared" si="2"/>
        <v>0</v>
      </c>
      <c r="I18" s="146">
        <f t="shared" si="3"/>
        <v>0</v>
      </c>
      <c r="J18" s="146">
        <f t="shared" si="4"/>
        <v>0</v>
      </c>
      <c r="K18" s="146">
        <f t="shared" si="5"/>
        <v>0</v>
      </c>
      <c r="L18" s="147">
        <f t="shared" si="18"/>
        <v>0</v>
      </c>
      <c r="M18" s="147">
        <f t="shared" si="6"/>
        <v>0</v>
      </c>
      <c r="N18" s="147">
        <f t="shared" si="7"/>
        <v>0</v>
      </c>
      <c r="O18" s="147">
        <f t="shared" si="8"/>
        <v>0</v>
      </c>
      <c r="P18" s="147">
        <f t="shared" si="9"/>
        <v>0</v>
      </c>
      <c r="Q18" s="147">
        <f t="shared" si="10"/>
        <v>0</v>
      </c>
      <c r="R18" s="147">
        <f t="shared" si="11"/>
        <v>0</v>
      </c>
      <c r="S18" s="147">
        <f t="shared" si="12"/>
        <v>0</v>
      </c>
      <c r="T18" s="147">
        <f t="shared" si="13"/>
        <v>0</v>
      </c>
      <c r="U18" s="147">
        <f t="shared" si="14"/>
        <v>0</v>
      </c>
      <c r="V18" s="147">
        <f t="shared" si="15"/>
        <v>0</v>
      </c>
      <c r="W18" s="129">
        <v>0</v>
      </c>
      <c r="X18" s="144" t="str">
        <f t="shared" si="16"/>
        <v>WEEKDAY</v>
      </c>
      <c r="Y18" s="148">
        <v>4.7666666666666666</v>
      </c>
      <c r="Z18" s="144" t="s">
        <v>45</v>
      </c>
      <c r="AA18" s="149">
        <v>967</v>
      </c>
      <c r="AB18" s="149">
        <v>151.1086</v>
      </c>
      <c r="AC18" s="149">
        <v>202.86713286713288</v>
      </c>
      <c r="AD18" s="156">
        <v>31.701104895104894</v>
      </c>
      <c r="AE18" s="149" t="str">
        <f>IFERROR(_xlfn.XLOOKUP(DATA_MASTER[[#This Row],[DATE]],RODEO[DATE],RODEO[ARTIST]),"")</f>
        <v/>
      </c>
      <c r="AF18" s="172">
        <f>IF(DATA_MASTER[[#This Row],[RODEO_ARTIST]]="",0,1)</f>
        <v>0</v>
      </c>
      <c r="AG18" t="str">
        <f>IFERROR(RIGHT(_xlfn.XLOOKUP(DATA_MASTER[[#This Row],[DATE]],ASTROS[DATE],ASTROS[OPPONENT]),LEN(_xlfn.XLOOKUP(DATA_MASTER[[#This Row],[DATE]],ASTROS[DATE],ASTROS[OPPONENT]))-3),"NO GAME")</f>
        <v>Texas Rangers</v>
      </c>
      <c r="AH18">
        <f>IF(DATA_MASTER[[#This Row],[ASTROS_GAME]]="NO GAME",0,1)</f>
        <v>1</v>
      </c>
      <c r="AI18">
        <f>_xlfn.XLOOKUP(DATA_MASTER[[#This Row],[DATE]],WEATHER[DATE],WEATHER[tempmax])</f>
        <v>93.2</v>
      </c>
      <c r="AJ18">
        <f>_xlfn.XLOOKUP(DATA_MASTER[[#This Row],[DATE]],WEATHER[DATE],WEATHER[precip])</f>
        <v>4.9000000000000002E-2</v>
      </c>
      <c r="AQ18"/>
      <c r="AR18"/>
      <c r="AS18"/>
    </row>
    <row r="19" spans="1:60" x14ac:dyDescent="0.35">
      <c r="A19" s="155">
        <v>45133</v>
      </c>
      <c r="B19" s="144" t="s">
        <v>46</v>
      </c>
      <c r="C19" s="144" t="s">
        <v>44</v>
      </c>
      <c r="D19" s="144" t="s">
        <v>53</v>
      </c>
      <c r="E19" s="145">
        <f t="shared" si="17"/>
        <v>1</v>
      </c>
      <c r="F19" s="146">
        <f t="shared" si="0"/>
        <v>0</v>
      </c>
      <c r="G19" s="146">
        <f t="shared" si="1"/>
        <v>0</v>
      </c>
      <c r="H19" s="146">
        <f t="shared" si="2"/>
        <v>1</v>
      </c>
      <c r="I19" s="146">
        <f t="shared" si="3"/>
        <v>0</v>
      </c>
      <c r="J19" s="146">
        <f t="shared" si="4"/>
        <v>0</v>
      </c>
      <c r="K19" s="146">
        <f t="shared" si="5"/>
        <v>0</v>
      </c>
      <c r="L19" s="147">
        <f t="shared" si="18"/>
        <v>0</v>
      </c>
      <c r="M19" s="147">
        <f t="shared" si="6"/>
        <v>0</v>
      </c>
      <c r="N19" s="147">
        <f t="shared" si="7"/>
        <v>0</v>
      </c>
      <c r="O19" s="147">
        <f t="shared" si="8"/>
        <v>0</v>
      </c>
      <c r="P19" s="147">
        <f t="shared" si="9"/>
        <v>0</v>
      </c>
      <c r="Q19" s="147">
        <f t="shared" si="10"/>
        <v>0</v>
      </c>
      <c r="R19" s="147">
        <f t="shared" si="11"/>
        <v>0</v>
      </c>
      <c r="S19" s="147">
        <f t="shared" si="12"/>
        <v>0</v>
      </c>
      <c r="T19" s="147">
        <f t="shared" si="13"/>
        <v>0</v>
      </c>
      <c r="U19" s="147">
        <f t="shared" si="14"/>
        <v>0</v>
      </c>
      <c r="V19" s="147">
        <f t="shared" si="15"/>
        <v>0</v>
      </c>
      <c r="W19" s="129">
        <v>0</v>
      </c>
      <c r="X19" s="144" t="str">
        <f t="shared" si="16"/>
        <v>WEEKDAY</v>
      </c>
      <c r="Y19" s="148">
        <v>5.2666666666666666</v>
      </c>
      <c r="Z19" s="144" t="s">
        <v>45</v>
      </c>
      <c r="AA19" s="149">
        <v>997</v>
      </c>
      <c r="AB19" s="149">
        <v>185.11517599999999</v>
      </c>
      <c r="AC19" s="149">
        <v>189.30379746835445</v>
      </c>
      <c r="AD19" s="156">
        <v>35.148451139240507</v>
      </c>
      <c r="AE19" s="149" t="str">
        <f>IFERROR(_xlfn.XLOOKUP(DATA_MASTER[[#This Row],[DATE]],RODEO[DATE],RODEO[ARTIST]),"")</f>
        <v/>
      </c>
      <c r="AF19" s="172">
        <f>IF(DATA_MASTER[[#This Row],[RODEO_ARTIST]]="",0,1)</f>
        <v>0</v>
      </c>
      <c r="AG19" t="str">
        <f>IFERROR(RIGHT(_xlfn.XLOOKUP(DATA_MASTER[[#This Row],[DATE]],ASTROS[DATE],ASTROS[OPPONENT]),LEN(_xlfn.XLOOKUP(DATA_MASTER[[#This Row],[DATE]],ASTROS[DATE],ASTROS[OPPONENT]))-3),"NO GAME")</f>
        <v>Texas Rangers</v>
      </c>
      <c r="AH19">
        <f>IF(DATA_MASTER[[#This Row],[ASTROS_GAME]]="NO GAME",0,1)</f>
        <v>1</v>
      </c>
      <c r="AI19">
        <f>_xlfn.XLOOKUP(DATA_MASTER[[#This Row],[DATE]],WEATHER[DATE],WEATHER[tempmax])</f>
        <v>96.8</v>
      </c>
      <c r="AJ19">
        <f>_xlfn.XLOOKUP(DATA_MASTER[[#This Row],[DATE]],WEATHER[DATE],WEATHER[precip])</f>
        <v>0</v>
      </c>
      <c r="AQ19"/>
      <c r="AR19"/>
      <c r="AS19"/>
    </row>
    <row r="20" spans="1:60" x14ac:dyDescent="0.35">
      <c r="A20" s="155">
        <v>45135</v>
      </c>
      <c r="B20" s="144" t="s">
        <v>46</v>
      </c>
      <c r="C20" s="144" t="s">
        <v>48</v>
      </c>
      <c r="D20" s="144" t="s">
        <v>53</v>
      </c>
      <c r="E20" s="145">
        <f t="shared" si="17"/>
        <v>1</v>
      </c>
      <c r="F20" s="146">
        <f t="shared" si="0"/>
        <v>0</v>
      </c>
      <c r="G20" s="146">
        <f t="shared" si="1"/>
        <v>0</v>
      </c>
      <c r="H20" s="146">
        <f t="shared" si="2"/>
        <v>0</v>
      </c>
      <c r="I20" s="146">
        <f t="shared" si="3"/>
        <v>0</v>
      </c>
      <c r="J20" s="146">
        <f t="shared" si="4"/>
        <v>1</v>
      </c>
      <c r="K20" s="146">
        <f t="shared" si="5"/>
        <v>0</v>
      </c>
      <c r="L20" s="147">
        <f t="shared" si="18"/>
        <v>0</v>
      </c>
      <c r="M20" s="147">
        <f t="shared" si="6"/>
        <v>0</v>
      </c>
      <c r="N20" s="147">
        <f t="shared" si="7"/>
        <v>0</v>
      </c>
      <c r="O20" s="147">
        <f t="shared" si="8"/>
        <v>0</v>
      </c>
      <c r="P20" s="147">
        <f t="shared" si="9"/>
        <v>0</v>
      </c>
      <c r="Q20" s="147">
        <f t="shared" si="10"/>
        <v>0</v>
      </c>
      <c r="R20" s="147">
        <f t="shared" si="11"/>
        <v>0</v>
      </c>
      <c r="S20" s="147">
        <f t="shared" si="12"/>
        <v>0</v>
      </c>
      <c r="T20" s="147">
        <f t="shared" si="13"/>
        <v>0</v>
      </c>
      <c r="U20" s="147">
        <f t="shared" si="14"/>
        <v>0</v>
      </c>
      <c r="V20" s="147">
        <f t="shared" si="15"/>
        <v>0</v>
      </c>
      <c r="W20" s="129">
        <v>1</v>
      </c>
      <c r="X20" s="144" t="str">
        <f t="shared" si="16"/>
        <v>WEEKEND</v>
      </c>
      <c r="Y20" s="148">
        <v>5.1833333333333336</v>
      </c>
      <c r="Z20" s="144" t="s">
        <v>45</v>
      </c>
      <c r="AA20" s="149">
        <v>1281.51</v>
      </c>
      <c r="AB20" s="149">
        <v>238.50191599999999</v>
      </c>
      <c r="AC20" s="149">
        <v>247.23665594855305</v>
      </c>
      <c r="AD20" s="156">
        <v>46.013231382636654</v>
      </c>
      <c r="AE20" s="149" t="str">
        <f>IFERROR(_xlfn.XLOOKUP(DATA_MASTER[[#This Row],[DATE]],RODEO[DATE],RODEO[ARTIST]),"")</f>
        <v/>
      </c>
      <c r="AF20" s="172">
        <f>IF(DATA_MASTER[[#This Row],[RODEO_ARTIST]]="",0,1)</f>
        <v>0</v>
      </c>
      <c r="AG20" t="str">
        <f>IFERROR(RIGHT(_xlfn.XLOOKUP(DATA_MASTER[[#This Row],[DATE]],ASTROS[DATE],ASTROS[OPPONENT]),LEN(_xlfn.XLOOKUP(DATA_MASTER[[#This Row],[DATE]],ASTROS[DATE],ASTROS[OPPONENT]))-3),"NO GAME")</f>
        <v>Tampa Bay Rays</v>
      </c>
      <c r="AH20">
        <f>IF(DATA_MASTER[[#This Row],[ASTROS_GAME]]="NO GAME",0,1)</f>
        <v>1</v>
      </c>
      <c r="AI20">
        <f>_xlfn.XLOOKUP(DATA_MASTER[[#This Row],[DATE]],WEATHER[DATE],WEATHER[tempmax])</f>
        <v>95</v>
      </c>
      <c r="AJ20">
        <f>_xlfn.XLOOKUP(DATA_MASTER[[#This Row],[DATE]],WEATHER[DATE],WEATHER[precip])</f>
        <v>4.2999999999999997E-2</v>
      </c>
      <c r="AQ20"/>
      <c r="AR20"/>
      <c r="AS20"/>
    </row>
    <row r="21" spans="1:60" x14ac:dyDescent="0.35">
      <c r="A21" s="155">
        <v>45136</v>
      </c>
      <c r="B21" s="144" t="s">
        <v>46</v>
      </c>
      <c r="C21" s="144" t="s">
        <v>49</v>
      </c>
      <c r="D21" s="144" t="s">
        <v>53</v>
      </c>
      <c r="E21" s="145">
        <f t="shared" si="17"/>
        <v>1</v>
      </c>
      <c r="F21" s="146">
        <f t="shared" si="0"/>
        <v>0</v>
      </c>
      <c r="G21" s="146">
        <f t="shared" si="1"/>
        <v>0</v>
      </c>
      <c r="H21" s="146">
        <f t="shared" si="2"/>
        <v>0</v>
      </c>
      <c r="I21" s="146">
        <f t="shared" si="3"/>
        <v>0</v>
      </c>
      <c r="J21" s="146">
        <f t="shared" si="4"/>
        <v>0</v>
      </c>
      <c r="K21" s="146">
        <f t="shared" si="5"/>
        <v>1</v>
      </c>
      <c r="L21" s="147">
        <f t="shared" si="18"/>
        <v>0</v>
      </c>
      <c r="M21" s="147">
        <f t="shared" si="6"/>
        <v>0</v>
      </c>
      <c r="N21" s="147">
        <f t="shared" si="7"/>
        <v>0</v>
      </c>
      <c r="O21" s="147">
        <f t="shared" si="8"/>
        <v>0</v>
      </c>
      <c r="P21" s="147">
        <f t="shared" si="9"/>
        <v>0</v>
      </c>
      <c r="Q21" s="147">
        <f t="shared" si="10"/>
        <v>0</v>
      </c>
      <c r="R21" s="147">
        <f t="shared" si="11"/>
        <v>0</v>
      </c>
      <c r="S21" s="147">
        <f t="shared" si="12"/>
        <v>0</v>
      </c>
      <c r="T21" s="147">
        <f t="shared" si="13"/>
        <v>0</v>
      </c>
      <c r="U21" s="147">
        <f t="shared" si="14"/>
        <v>0</v>
      </c>
      <c r="V21" s="147">
        <f t="shared" si="15"/>
        <v>0</v>
      </c>
      <c r="W21" s="129">
        <v>1</v>
      </c>
      <c r="X21" s="144" t="str">
        <f t="shared" si="16"/>
        <v>WEEKEND</v>
      </c>
      <c r="Y21" s="148">
        <v>4.45</v>
      </c>
      <c r="Z21" s="144" t="s">
        <v>45</v>
      </c>
      <c r="AA21" s="149">
        <v>1011.49</v>
      </c>
      <c r="AB21" s="149">
        <v>172.51180399999998</v>
      </c>
      <c r="AC21" s="149">
        <v>227.3011235955056</v>
      </c>
      <c r="AD21" s="156">
        <v>38.766697528089885</v>
      </c>
      <c r="AE21" s="149" t="str">
        <f>IFERROR(_xlfn.XLOOKUP(DATA_MASTER[[#This Row],[DATE]],RODEO[DATE],RODEO[ARTIST]),"")</f>
        <v/>
      </c>
      <c r="AF21" s="172">
        <f>IF(DATA_MASTER[[#This Row],[RODEO_ARTIST]]="",0,1)</f>
        <v>0</v>
      </c>
      <c r="AG21" t="str">
        <f>IFERROR(RIGHT(_xlfn.XLOOKUP(DATA_MASTER[[#This Row],[DATE]],ASTROS[DATE],ASTROS[OPPONENT]),LEN(_xlfn.XLOOKUP(DATA_MASTER[[#This Row],[DATE]],ASTROS[DATE],ASTROS[OPPONENT]))-3),"NO GAME")</f>
        <v>Tampa Bay Rays</v>
      </c>
      <c r="AH21">
        <f>IF(DATA_MASTER[[#This Row],[ASTROS_GAME]]="NO GAME",0,1)</f>
        <v>1</v>
      </c>
      <c r="AI21">
        <f>_xlfn.XLOOKUP(DATA_MASTER[[#This Row],[DATE]],WEATHER[DATE],WEATHER[tempmax])</f>
        <v>96</v>
      </c>
      <c r="AJ21">
        <f>_xlfn.XLOOKUP(DATA_MASTER[[#This Row],[DATE]],WEATHER[DATE],WEATHER[precip])</f>
        <v>0</v>
      </c>
      <c r="AQ21"/>
      <c r="AR21"/>
      <c r="AS21"/>
    </row>
    <row r="22" spans="1:60" x14ac:dyDescent="0.35">
      <c r="A22" s="155">
        <v>45137</v>
      </c>
      <c r="B22" s="144" t="s">
        <v>42</v>
      </c>
      <c r="C22" s="144" t="s">
        <v>50</v>
      </c>
      <c r="D22" s="144" t="s">
        <v>53</v>
      </c>
      <c r="E22" s="145">
        <f t="shared" si="17"/>
        <v>0</v>
      </c>
      <c r="F22" s="146">
        <f t="shared" si="0"/>
        <v>1</v>
      </c>
      <c r="G22" s="146">
        <f t="shared" si="1"/>
        <v>0</v>
      </c>
      <c r="H22" s="146">
        <f t="shared" si="2"/>
        <v>0</v>
      </c>
      <c r="I22" s="146">
        <f t="shared" si="3"/>
        <v>0</v>
      </c>
      <c r="J22" s="146">
        <f t="shared" si="4"/>
        <v>0</v>
      </c>
      <c r="K22" s="146">
        <f t="shared" si="5"/>
        <v>0</v>
      </c>
      <c r="L22" s="147">
        <f t="shared" si="18"/>
        <v>0</v>
      </c>
      <c r="M22" s="147">
        <f t="shared" si="6"/>
        <v>0</v>
      </c>
      <c r="N22" s="147">
        <f t="shared" si="7"/>
        <v>0</v>
      </c>
      <c r="O22" s="147">
        <f t="shared" si="8"/>
        <v>0</v>
      </c>
      <c r="P22" s="147">
        <f t="shared" si="9"/>
        <v>0</v>
      </c>
      <c r="Q22" s="147">
        <f t="shared" si="10"/>
        <v>0</v>
      </c>
      <c r="R22" s="147">
        <f t="shared" si="11"/>
        <v>0</v>
      </c>
      <c r="S22" s="147">
        <f t="shared" si="12"/>
        <v>0</v>
      </c>
      <c r="T22" s="147">
        <f t="shared" si="13"/>
        <v>0</v>
      </c>
      <c r="U22" s="147">
        <f t="shared" si="14"/>
        <v>0</v>
      </c>
      <c r="V22" s="147">
        <f t="shared" si="15"/>
        <v>0</v>
      </c>
      <c r="W22" s="129">
        <v>1</v>
      </c>
      <c r="X22" s="144" t="str">
        <f t="shared" si="16"/>
        <v>WEEKEND</v>
      </c>
      <c r="Y22" s="148">
        <v>5.4666666666666668</v>
      </c>
      <c r="Z22" s="144" t="s">
        <v>45</v>
      </c>
      <c r="AA22" s="149">
        <v>804</v>
      </c>
      <c r="AB22" s="149">
        <v>129.63104000000001</v>
      </c>
      <c r="AC22" s="149">
        <v>147.07317073170731</v>
      </c>
      <c r="AD22" s="156">
        <v>23.71299512195122</v>
      </c>
      <c r="AE22" s="149" t="str">
        <f>IFERROR(_xlfn.XLOOKUP(DATA_MASTER[[#This Row],[DATE]],RODEO[DATE],RODEO[ARTIST]),"")</f>
        <v/>
      </c>
      <c r="AF22" s="172">
        <f>IF(DATA_MASTER[[#This Row],[RODEO_ARTIST]]="",0,1)</f>
        <v>0</v>
      </c>
      <c r="AG22" t="str">
        <f>IFERROR(RIGHT(_xlfn.XLOOKUP(DATA_MASTER[[#This Row],[DATE]],ASTROS[DATE],ASTROS[OPPONENT]),LEN(_xlfn.XLOOKUP(DATA_MASTER[[#This Row],[DATE]],ASTROS[DATE],ASTROS[OPPONENT]))-3),"NO GAME")</f>
        <v>Tampa Bay Rays</v>
      </c>
      <c r="AH22">
        <f>IF(DATA_MASTER[[#This Row],[ASTROS_GAME]]="NO GAME",0,1)</f>
        <v>1</v>
      </c>
      <c r="AI22">
        <f>_xlfn.XLOOKUP(DATA_MASTER[[#This Row],[DATE]],WEATHER[DATE],WEATHER[tempmax])</f>
        <v>98.5</v>
      </c>
      <c r="AJ22">
        <f>_xlfn.XLOOKUP(DATA_MASTER[[#This Row],[DATE]],WEATHER[DATE],WEATHER[precip])</f>
        <v>0</v>
      </c>
      <c r="AQ22"/>
      <c r="AR22"/>
      <c r="AS22"/>
      <c r="BH22" s="122" t="e">
        <f>GETPIVOTDATA("INCOME",$AX$1,"MONTH","April","DOW","SUN")/GETPIVOTDATA("HOURS",$AX$17,"MONTH","April","DOW","SUN")</f>
        <v>#REF!</v>
      </c>
    </row>
    <row r="23" spans="1:60" x14ac:dyDescent="0.35">
      <c r="A23" s="155">
        <v>45138</v>
      </c>
      <c r="B23" s="144" t="s">
        <v>46</v>
      </c>
      <c r="C23" s="144" t="s">
        <v>51</v>
      </c>
      <c r="D23" s="144" t="s">
        <v>53</v>
      </c>
      <c r="E23" s="145">
        <f t="shared" si="17"/>
        <v>1</v>
      </c>
      <c r="F23" s="146">
        <f t="shared" si="0"/>
        <v>0</v>
      </c>
      <c r="G23" s="146">
        <f t="shared" si="1"/>
        <v>1</v>
      </c>
      <c r="H23" s="146">
        <f t="shared" si="2"/>
        <v>0</v>
      </c>
      <c r="I23" s="146">
        <f t="shared" si="3"/>
        <v>0</v>
      </c>
      <c r="J23" s="146">
        <f t="shared" si="4"/>
        <v>0</v>
      </c>
      <c r="K23" s="146">
        <f t="shared" si="5"/>
        <v>0</v>
      </c>
      <c r="L23" s="147">
        <f t="shared" si="18"/>
        <v>0</v>
      </c>
      <c r="M23" s="147">
        <f t="shared" si="6"/>
        <v>0</v>
      </c>
      <c r="N23" s="147">
        <f t="shared" si="7"/>
        <v>0</v>
      </c>
      <c r="O23" s="147">
        <f t="shared" si="8"/>
        <v>0</v>
      </c>
      <c r="P23" s="147">
        <f t="shared" si="9"/>
        <v>0</v>
      </c>
      <c r="Q23" s="147">
        <f t="shared" si="10"/>
        <v>0</v>
      </c>
      <c r="R23" s="147">
        <f t="shared" si="11"/>
        <v>0</v>
      </c>
      <c r="S23" s="147">
        <f t="shared" si="12"/>
        <v>0</v>
      </c>
      <c r="T23" s="147">
        <f t="shared" si="13"/>
        <v>0</v>
      </c>
      <c r="U23" s="147">
        <f t="shared" si="14"/>
        <v>0</v>
      </c>
      <c r="V23" s="147">
        <f t="shared" si="15"/>
        <v>0</v>
      </c>
      <c r="W23" s="129">
        <v>0</v>
      </c>
      <c r="X23" s="144" t="str">
        <f t="shared" si="16"/>
        <v>WEEKDAY</v>
      </c>
      <c r="Y23" s="148">
        <v>4.3833333333333337</v>
      </c>
      <c r="Z23" s="144" t="s">
        <v>45</v>
      </c>
      <c r="AA23" s="149">
        <v>1304.5</v>
      </c>
      <c r="AB23" s="149">
        <v>206.59433999999999</v>
      </c>
      <c r="AC23" s="149">
        <v>297.60456273764254</v>
      </c>
      <c r="AD23" s="156">
        <v>47.131788593155889</v>
      </c>
      <c r="AE23" s="149" t="str">
        <f>IFERROR(_xlfn.XLOOKUP(DATA_MASTER[[#This Row],[DATE]],RODEO[DATE],RODEO[ARTIST]),"")</f>
        <v/>
      </c>
      <c r="AF23" s="172">
        <f>IF(DATA_MASTER[[#This Row],[RODEO_ARTIST]]="",0,1)</f>
        <v>0</v>
      </c>
      <c r="AG23" t="str">
        <f>IFERROR(RIGHT(_xlfn.XLOOKUP(DATA_MASTER[[#This Row],[DATE]],ASTROS[DATE],ASTROS[OPPONENT]),LEN(_xlfn.XLOOKUP(DATA_MASTER[[#This Row],[DATE]],ASTROS[DATE],ASTROS[OPPONENT]))-3),"NO GAME")</f>
        <v>Cleveland Guardians</v>
      </c>
      <c r="AH23">
        <f>IF(DATA_MASTER[[#This Row],[ASTROS_GAME]]="NO GAME",0,1)</f>
        <v>1</v>
      </c>
      <c r="AI23">
        <f>_xlfn.XLOOKUP(DATA_MASTER[[#This Row],[DATE]],WEATHER[DATE],WEATHER[tempmax])</f>
        <v>99.7</v>
      </c>
      <c r="AJ23">
        <f>_xlfn.XLOOKUP(DATA_MASTER[[#This Row],[DATE]],WEATHER[DATE],WEATHER[precip])</f>
        <v>0</v>
      </c>
      <c r="AQ23"/>
      <c r="AR23"/>
      <c r="AS23"/>
    </row>
    <row r="24" spans="1:60" x14ac:dyDescent="0.35">
      <c r="A24" s="155">
        <v>45139</v>
      </c>
      <c r="B24" s="144" t="s">
        <v>46</v>
      </c>
      <c r="C24" s="144" t="s">
        <v>52</v>
      </c>
      <c r="D24" s="144" t="s">
        <v>54</v>
      </c>
      <c r="E24" s="145">
        <f t="shared" si="17"/>
        <v>1</v>
      </c>
      <c r="F24" s="146">
        <f t="shared" si="0"/>
        <v>0</v>
      </c>
      <c r="G24" s="146">
        <f t="shared" si="1"/>
        <v>0</v>
      </c>
      <c r="H24" s="146">
        <f t="shared" si="2"/>
        <v>0</v>
      </c>
      <c r="I24" s="146">
        <f t="shared" si="3"/>
        <v>0</v>
      </c>
      <c r="J24" s="146">
        <f t="shared" si="4"/>
        <v>0</v>
      </c>
      <c r="K24" s="146">
        <f t="shared" si="5"/>
        <v>0</v>
      </c>
      <c r="L24" s="147">
        <f t="shared" si="18"/>
        <v>0</v>
      </c>
      <c r="M24" s="147">
        <f t="shared" si="6"/>
        <v>0</v>
      </c>
      <c r="N24" s="147">
        <f t="shared" si="7"/>
        <v>0</v>
      </c>
      <c r="O24" s="147">
        <f t="shared" si="8"/>
        <v>0</v>
      </c>
      <c r="P24" s="147">
        <f t="shared" si="9"/>
        <v>0</v>
      </c>
      <c r="Q24" s="147">
        <f t="shared" si="10"/>
        <v>0</v>
      </c>
      <c r="R24" s="147">
        <f t="shared" si="11"/>
        <v>1</v>
      </c>
      <c r="S24" s="147">
        <f t="shared" si="12"/>
        <v>0</v>
      </c>
      <c r="T24" s="147">
        <f t="shared" si="13"/>
        <v>0</v>
      </c>
      <c r="U24" s="147">
        <f t="shared" si="14"/>
        <v>0</v>
      </c>
      <c r="V24" s="147">
        <f t="shared" si="15"/>
        <v>0</v>
      </c>
      <c r="W24" s="129">
        <v>0</v>
      </c>
      <c r="X24" s="144" t="str">
        <f t="shared" si="16"/>
        <v>WEEKDAY</v>
      </c>
      <c r="Y24" s="148">
        <v>5.4333333333333336</v>
      </c>
      <c r="Z24" s="144" t="s">
        <v>45</v>
      </c>
      <c r="AA24" s="149">
        <v>706.5</v>
      </c>
      <c r="AB24" s="149">
        <v>138.13836000000001</v>
      </c>
      <c r="AC24" s="149">
        <v>130.03067484662577</v>
      </c>
      <c r="AD24" s="156">
        <v>25.424238036809815</v>
      </c>
      <c r="AE24" s="149" t="str">
        <f>IFERROR(_xlfn.XLOOKUP(DATA_MASTER[[#This Row],[DATE]],RODEO[DATE],RODEO[ARTIST]),"")</f>
        <v/>
      </c>
      <c r="AF24" s="172">
        <f>IF(DATA_MASTER[[#This Row],[RODEO_ARTIST]]="",0,1)</f>
        <v>0</v>
      </c>
      <c r="AG24" t="str">
        <f>IFERROR(RIGHT(_xlfn.XLOOKUP(DATA_MASTER[[#This Row],[DATE]],ASTROS[DATE],ASTROS[OPPONENT]),LEN(_xlfn.XLOOKUP(DATA_MASTER[[#This Row],[DATE]],ASTROS[DATE],ASTROS[OPPONENT]))-3),"NO GAME")</f>
        <v>Cleveland Guardians</v>
      </c>
      <c r="AH24">
        <f>IF(DATA_MASTER[[#This Row],[ASTROS_GAME]]="NO GAME",0,1)</f>
        <v>1</v>
      </c>
      <c r="AI24">
        <f>_xlfn.XLOOKUP(DATA_MASTER[[#This Row],[DATE]],WEATHER[DATE],WEATHER[tempmax])</f>
        <v>99.4</v>
      </c>
      <c r="AJ24">
        <f>_xlfn.XLOOKUP(DATA_MASTER[[#This Row],[DATE]],WEATHER[DATE],WEATHER[precip])</f>
        <v>0</v>
      </c>
      <c r="AQ24"/>
      <c r="AR24"/>
      <c r="AS24"/>
    </row>
    <row r="25" spans="1:60" x14ac:dyDescent="0.35">
      <c r="A25" s="155">
        <v>45140</v>
      </c>
      <c r="B25" s="144" t="s">
        <v>42</v>
      </c>
      <c r="C25" s="144" t="s">
        <v>44</v>
      </c>
      <c r="D25" s="144" t="s">
        <v>54</v>
      </c>
      <c r="E25" s="145">
        <f t="shared" si="17"/>
        <v>0</v>
      </c>
      <c r="F25" s="146">
        <f t="shared" si="0"/>
        <v>0</v>
      </c>
      <c r="G25" s="146">
        <f t="shared" si="1"/>
        <v>0</v>
      </c>
      <c r="H25" s="146">
        <f t="shared" si="2"/>
        <v>1</v>
      </c>
      <c r="I25" s="146">
        <f t="shared" si="3"/>
        <v>0</v>
      </c>
      <c r="J25" s="146">
        <f t="shared" si="4"/>
        <v>0</v>
      </c>
      <c r="K25" s="146">
        <f t="shared" si="5"/>
        <v>0</v>
      </c>
      <c r="L25" s="147">
        <f t="shared" si="18"/>
        <v>0</v>
      </c>
      <c r="M25" s="147">
        <f t="shared" si="6"/>
        <v>0</v>
      </c>
      <c r="N25" s="147">
        <f t="shared" si="7"/>
        <v>0</v>
      </c>
      <c r="O25" s="147">
        <f t="shared" si="8"/>
        <v>0</v>
      </c>
      <c r="P25" s="147">
        <f t="shared" si="9"/>
        <v>0</v>
      </c>
      <c r="Q25" s="147">
        <f t="shared" si="10"/>
        <v>0</v>
      </c>
      <c r="R25" s="147">
        <f t="shared" si="11"/>
        <v>1</v>
      </c>
      <c r="S25" s="147">
        <f t="shared" si="12"/>
        <v>0</v>
      </c>
      <c r="T25" s="147">
        <f t="shared" si="13"/>
        <v>0</v>
      </c>
      <c r="U25" s="147">
        <f t="shared" si="14"/>
        <v>0</v>
      </c>
      <c r="V25" s="147">
        <f t="shared" si="15"/>
        <v>0</v>
      </c>
      <c r="W25" s="129">
        <v>0</v>
      </c>
      <c r="X25" s="144" t="str">
        <f t="shared" si="16"/>
        <v>WEEKDAY</v>
      </c>
      <c r="Y25" s="148">
        <v>3.5833333333333335</v>
      </c>
      <c r="Z25" s="144" t="s">
        <v>55</v>
      </c>
      <c r="AA25" s="149">
        <v>763</v>
      </c>
      <c r="AB25" s="149">
        <v>114.396716</v>
      </c>
      <c r="AC25" s="149">
        <v>212.93023255813952</v>
      </c>
      <c r="AD25" s="156">
        <v>31.924664930232556</v>
      </c>
      <c r="AE25" s="149" t="str">
        <f>IFERROR(_xlfn.XLOOKUP(DATA_MASTER[[#This Row],[DATE]],RODEO[DATE],RODEO[ARTIST]),"")</f>
        <v/>
      </c>
      <c r="AF25" s="172">
        <f>IF(DATA_MASTER[[#This Row],[RODEO_ARTIST]]="",0,1)</f>
        <v>0</v>
      </c>
      <c r="AG25" t="str">
        <f>IFERROR(RIGHT(_xlfn.XLOOKUP(DATA_MASTER[[#This Row],[DATE]],ASTROS[DATE],ASTROS[OPPONENT]),LEN(_xlfn.XLOOKUP(DATA_MASTER[[#This Row],[DATE]],ASTROS[DATE],ASTROS[OPPONENT]))-3),"NO GAME")</f>
        <v>Cleveland Guardians</v>
      </c>
      <c r="AH25">
        <f>IF(DATA_MASTER[[#This Row],[ASTROS_GAME]]="NO GAME",0,1)</f>
        <v>1</v>
      </c>
      <c r="AI25">
        <f>_xlfn.XLOOKUP(DATA_MASTER[[#This Row],[DATE]],WEATHER[DATE],WEATHER[tempmax])</f>
        <v>98.7</v>
      </c>
      <c r="AJ25">
        <f>_xlfn.XLOOKUP(DATA_MASTER[[#This Row],[DATE]],WEATHER[DATE],WEATHER[precip])</f>
        <v>0</v>
      </c>
      <c r="AQ25"/>
      <c r="AR25"/>
      <c r="AS25"/>
    </row>
    <row r="26" spans="1:60" x14ac:dyDescent="0.35">
      <c r="A26" s="155">
        <v>45140</v>
      </c>
      <c r="B26" s="144" t="s">
        <v>46</v>
      </c>
      <c r="C26" s="144" t="s">
        <v>44</v>
      </c>
      <c r="D26" s="144" t="s">
        <v>54</v>
      </c>
      <c r="E26" s="145">
        <f t="shared" si="17"/>
        <v>1</v>
      </c>
      <c r="F26" s="146">
        <f t="shared" si="0"/>
        <v>0</v>
      </c>
      <c r="G26" s="146">
        <f t="shared" si="1"/>
        <v>0</v>
      </c>
      <c r="H26" s="146">
        <f t="shared" si="2"/>
        <v>1</v>
      </c>
      <c r="I26" s="146">
        <f t="shared" si="3"/>
        <v>0</v>
      </c>
      <c r="J26" s="146">
        <f t="shared" si="4"/>
        <v>0</v>
      </c>
      <c r="K26" s="146">
        <f t="shared" si="5"/>
        <v>0</v>
      </c>
      <c r="L26" s="147">
        <f t="shared" si="18"/>
        <v>0</v>
      </c>
      <c r="M26" s="147">
        <f t="shared" si="6"/>
        <v>0</v>
      </c>
      <c r="N26" s="147">
        <f t="shared" si="7"/>
        <v>0</v>
      </c>
      <c r="O26" s="147">
        <f t="shared" si="8"/>
        <v>0</v>
      </c>
      <c r="P26" s="147">
        <f t="shared" si="9"/>
        <v>0</v>
      </c>
      <c r="Q26" s="147">
        <f t="shared" si="10"/>
        <v>0</v>
      </c>
      <c r="R26" s="147">
        <f t="shared" si="11"/>
        <v>1</v>
      </c>
      <c r="S26" s="147">
        <f t="shared" si="12"/>
        <v>0</v>
      </c>
      <c r="T26" s="147">
        <f t="shared" si="13"/>
        <v>0</v>
      </c>
      <c r="U26" s="147">
        <f t="shared" si="14"/>
        <v>0</v>
      </c>
      <c r="V26" s="147">
        <f t="shared" si="15"/>
        <v>0</v>
      </c>
      <c r="W26" s="129">
        <v>0</v>
      </c>
      <c r="X26" s="144" t="str">
        <f t="shared" si="16"/>
        <v>WEEKDAY</v>
      </c>
      <c r="Y26" s="148">
        <v>3.5</v>
      </c>
      <c r="Z26" s="144" t="s">
        <v>55</v>
      </c>
      <c r="AA26" s="149">
        <v>477</v>
      </c>
      <c r="AB26" s="149">
        <v>94.560599999999994</v>
      </c>
      <c r="AC26" s="149">
        <v>136.28571428571428</v>
      </c>
      <c r="AD26" s="156">
        <v>27.017314285714285</v>
      </c>
      <c r="AE26" s="149" t="str">
        <f>IFERROR(_xlfn.XLOOKUP(DATA_MASTER[[#This Row],[DATE]],RODEO[DATE],RODEO[ARTIST]),"")</f>
        <v/>
      </c>
      <c r="AF26" s="172">
        <f>IF(DATA_MASTER[[#This Row],[RODEO_ARTIST]]="",0,1)</f>
        <v>0</v>
      </c>
      <c r="AG26" t="str">
        <f>IFERROR(RIGHT(_xlfn.XLOOKUP(DATA_MASTER[[#This Row],[DATE]],ASTROS[DATE],ASTROS[OPPONENT]),LEN(_xlfn.XLOOKUP(DATA_MASTER[[#This Row],[DATE]],ASTROS[DATE],ASTROS[OPPONENT]))-3),"NO GAME")</f>
        <v>Cleveland Guardians</v>
      </c>
      <c r="AH26">
        <f>IF(DATA_MASTER[[#This Row],[ASTROS_GAME]]="NO GAME",0,1)</f>
        <v>1</v>
      </c>
      <c r="AI26">
        <f>_xlfn.XLOOKUP(DATA_MASTER[[#This Row],[DATE]],WEATHER[DATE],WEATHER[tempmax])</f>
        <v>98.7</v>
      </c>
      <c r="AJ26">
        <f>_xlfn.XLOOKUP(DATA_MASTER[[#This Row],[DATE]],WEATHER[DATE],WEATHER[precip])</f>
        <v>0</v>
      </c>
      <c r="AQ26"/>
      <c r="AR26"/>
      <c r="AS26"/>
    </row>
    <row r="27" spans="1:60" x14ac:dyDescent="0.35">
      <c r="A27" s="155">
        <v>45142</v>
      </c>
      <c r="B27" s="144" t="s">
        <v>42</v>
      </c>
      <c r="C27" s="144" t="s">
        <v>48</v>
      </c>
      <c r="D27" s="144" t="s">
        <v>54</v>
      </c>
      <c r="E27" s="145">
        <f t="shared" si="17"/>
        <v>0</v>
      </c>
      <c r="F27" s="146">
        <f t="shared" si="0"/>
        <v>0</v>
      </c>
      <c r="G27" s="146">
        <f t="shared" si="1"/>
        <v>0</v>
      </c>
      <c r="H27" s="146">
        <f t="shared" si="2"/>
        <v>0</v>
      </c>
      <c r="I27" s="146">
        <f t="shared" si="3"/>
        <v>0</v>
      </c>
      <c r="J27" s="146">
        <f t="shared" si="4"/>
        <v>1</v>
      </c>
      <c r="K27" s="146">
        <f t="shared" si="5"/>
        <v>0</v>
      </c>
      <c r="L27" s="147">
        <f t="shared" si="18"/>
        <v>0</v>
      </c>
      <c r="M27" s="147">
        <f t="shared" si="6"/>
        <v>0</v>
      </c>
      <c r="N27" s="147">
        <f t="shared" si="7"/>
        <v>0</v>
      </c>
      <c r="O27" s="147">
        <f t="shared" si="8"/>
        <v>0</v>
      </c>
      <c r="P27" s="147">
        <f t="shared" si="9"/>
        <v>0</v>
      </c>
      <c r="Q27" s="147">
        <f t="shared" si="10"/>
        <v>0</v>
      </c>
      <c r="R27" s="147">
        <f t="shared" si="11"/>
        <v>1</v>
      </c>
      <c r="S27" s="147">
        <f t="shared" si="12"/>
        <v>0</v>
      </c>
      <c r="T27" s="147">
        <f t="shared" si="13"/>
        <v>0</v>
      </c>
      <c r="U27" s="147">
        <f t="shared" si="14"/>
        <v>0</v>
      </c>
      <c r="V27" s="147">
        <f t="shared" si="15"/>
        <v>0</v>
      </c>
      <c r="W27" s="129">
        <v>0</v>
      </c>
      <c r="X27" s="144" t="str">
        <f t="shared" si="16"/>
        <v>WEEKDAY</v>
      </c>
      <c r="Y27" s="148">
        <v>4.7833333333333332</v>
      </c>
      <c r="Z27" s="144" t="s">
        <v>55</v>
      </c>
      <c r="AA27" s="149">
        <v>1016.33</v>
      </c>
      <c r="AB27" s="149">
        <v>162.478084</v>
      </c>
      <c r="AC27" s="149">
        <v>212.47317073170734</v>
      </c>
      <c r="AD27" s="156">
        <v>33.967543693379788</v>
      </c>
      <c r="AE27" s="149" t="str">
        <f>IFERROR(_xlfn.XLOOKUP(DATA_MASTER[[#This Row],[DATE]],RODEO[DATE],RODEO[ARTIST]),"")</f>
        <v/>
      </c>
      <c r="AF27" s="172">
        <f>IF(DATA_MASTER[[#This Row],[RODEO_ARTIST]]="",0,1)</f>
        <v>0</v>
      </c>
      <c r="AG27" t="str">
        <f>IFERROR(RIGHT(_xlfn.XLOOKUP(DATA_MASTER[[#This Row],[DATE]],ASTROS[DATE],ASTROS[OPPONENT]),LEN(_xlfn.XLOOKUP(DATA_MASTER[[#This Row],[DATE]],ASTROS[DATE],ASTROS[OPPONENT]))-3),"NO GAME")</f>
        <v>NO GAME</v>
      </c>
      <c r="AH27">
        <f>IF(DATA_MASTER[[#This Row],[ASTROS_GAME]]="NO GAME",0,1)</f>
        <v>0</v>
      </c>
      <c r="AI27">
        <f>_xlfn.XLOOKUP(DATA_MASTER[[#This Row],[DATE]],WEATHER[DATE],WEATHER[tempmax])</f>
        <v>100.4</v>
      </c>
      <c r="AJ27">
        <f>_xlfn.XLOOKUP(DATA_MASTER[[#This Row],[DATE]],WEATHER[DATE],WEATHER[precip])</f>
        <v>0</v>
      </c>
      <c r="AQ27"/>
      <c r="AR27"/>
      <c r="AS27"/>
    </row>
    <row r="28" spans="1:60" x14ac:dyDescent="0.35">
      <c r="A28" s="155">
        <v>45142</v>
      </c>
      <c r="B28" s="144" t="s">
        <v>46</v>
      </c>
      <c r="C28" s="144" t="s">
        <v>48</v>
      </c>
      <c r="D28" s="144" t="s">
        <v>54</v>
      </c>
      <c r="E28" s="145">
        <f t="shared" si="17"/>
        <v>1</v>
      </c>
      <c r="F28" s="146">
        <f t="shared" si="0"/>
        <v>0</v>
      </c>
      <c r="G28" s="146">
        <f t="shared" si="1"/>
        <v>0</v>
      </c>
      <c r="H28" s="146">
        <f t="shared" si="2"/>
        <v>0</v>
      </c>
      <c r="I28" s="146">
        <f t="shared" si="3"/>
        <v>0</v>
      </c>
      <c r="J28" s="146">
        <f t="shared" si="4"/>
        <v>1</v>
      </c>
      <c r="K28" s="146">
        <f t="shared" si="5"/>
        <v>0</v>
      </c>
      <c r="L28" s="147">
        <f t="shared" si="18"/>
        <v>0</v>
      </c>
      <c r="M28" s="147">
        <f t="shared" si="6"/>
        <v>0</v>
      </c>
      <c r="N28" s="147">
        <f t="shared" si="7"/>
        <v>0</v>
      </c>
      <c r="O28" s="147">
        <f t="shared" si="8"/>
        <v>0</v>
      </c>
      <c r="P28" s="147">
        <f t="shared" si="9"/>
        <v>0</v>
      </c>
      <c r="Q28" s="147">
        <f t="shared" si="10"/>
        <v>0</v>
      </c>
      <c r="R28" s="147">
        <f t="shared" si="11"/>
        <v>1</v>
      </c>
      <c r="S28" s="147">
        <f t="shared" si="12"/>
        <v>0</v>
      </c>
      <c r="T28" s="147">
        <f t="shared" si="13"/>
        <v>0</v>
      </c>
      <c r="U28" s="147">
        <f t="shared" si="14"/>
        <v>0</v>
      </c>
      <c r="V28" s="147">
        <f t="shared" si="15"/>
        <v>0</v>
      </c>
      <c r="W28" s="129">
        <v>1</v>
      </c>
      <c r="X28" s="144" t="str">
        <f t="shared" si="16"/>
        <v>WEEKEND</v>
      </c>
      <c r="Y28" s="148">
        <v>4.6166666666666663</v>
      </c>
      <c r="Z28" s="144" t="s">
        <v>55</v>
      </c>
      <c r="AA28" s="149">
        <v>1194</v>
      </c>
      <c r="AB28" s="149">
        <v>180.67177999999998</v>
      </c>
      <c r="AC28" s="149">
        <v>258.62815884476538</v>
      </c>
      <c r="AD28" s="156">
        <v>39.134681588447656</v>
      </c>
      <c r="AE28" s="149" t="str">
        <f>IFERROR(_xlfn.XLOOKUP(DATA_MASTER[[#This Row],[DATE]],RODEO[DATE],RODEO[ARTIST]),"")</f>
        <v/>
      </c>
      <c r="AF28" s="172">
        <f>IF(DATA_MASTER[[#This Row],[RODEO_ARTIST]]="",0,1)</f>
        <v>0</v>
      </c>
      <c r="AG28" t="str">
        <f>IFERROR(RIGHT(_xlfn.XLOOKUP(DATA_MASTER[[#This Row],[DATE]],ASTROS[DATE],ASTROS[OPPONENT]),LEN(_xlfn.XLOOKUP(DATA_MASTER[[#This Row],[DATE]],ASTROS[DATE],ASTROS[OPPONENT]))-3),"NO GAME")</f>
        <v>NO GAME</v>
      </c>
      <c r="AH28">
        <f>IF(DATA_MASTER[[#This Row],[ASTROS_GAME]]="NO GAME",0,1)</f>
        <v>0</v>
      </c>
      <c r="AI28">
        <f>_xlfn.XLOOKUP(DATA_MASTER[[#This Row],[DATE]],WEATHER[DATE],WEATHER[tempmax])</f>
        <v>100.4</v>
      </c>
      <c r="AJ28">
        <f>_xlfn.XLOOKUP(DATA_MASTER[[#This Row],[DATE]],WEATHER[DATE],WEATHER[precip])</f>
        <v>0</v>
      </c>
      <c r="AQ28"/>
      <c r="AR28"/>
      <c r="AS28"/>
    </row>
    <row r="29" spans="1:60" x14ac:dyDescent="0.35">
      <c r="A29" s="155">
        <v>45143</v>
      </c>
      <c r="B29" s="144" t="s">
        <v>46</v>
      </c>
      <c r="C29" s="144" t="s">
        <v>49</v>
      </c>
      <c r="D29" s="144" t="s">
        <v>54</v>
      </c>
      <c r="E29" s="145">
        <f t="shared" si="17"/>
        <v>1</v>
      </c>
      <c r="F29" s="146">
        <f t="shared" si="0"/>
        <v>0</v>
      </c>
      <c r="G29" s="146">
        <f t="shared" si="1"/>
        <v>0</v>
      </c>
      <c r="H29" s="146">
        <f t="shared" si="2"/>
        <v>0</v>
      </c>
      <c r="I29" s="146">
        <f t="shared" si="3"/>
        <v>0</v>
      </c>
      <c r="J29" s="146">
        <f t="shared" si="4"/>
        <v>0</v>
      </c>
      <c r="K29" s="146">
        <f t="shared" si="5"/>
        <v>1</v>
      </c>
      <c r="L29" s="147">
        <f t="shared" si="18"/>
        <v>0</v>
      </c>
      <c r="M29" s="147">
        <f t="shared" si="6"/>
        <v>0</v>
      </c>
      <c r="N29" s="147">
        <f t="shared" si="7"/>
        <v>0</v>
      </c>
      <c r="O29" s="147">
        <f t="shared" si="8"/>
        <v>0</v>
      </c>
      <c r="P29" s="147">
        <f t="shared" si="9"/>
        <v>0</v>
      </c>
      <c r="Q29" s="147">
        <f t="shared" si="10"/>
        <v>0</v>
      </c>
      <c r="R29" s="147">
        <f t="shared" si="11"/>
        <v>1</v>
      </c>
      <c r="S29" s="147">
        <f t="shared" si="12"/>
        <v>0</v>
      </c>
      <c r="T29" s="147">
        <f t="shared" si="13"/>
        <v>0</v>
      </c>
      <c r="U29" s="147">
        <f t="shared" si="14"/>
        <v>0</v>
      </c>
      <c r="V29" s="147">
        <f t="shared" si="15"/>
        <v>0</v>
      </c>
      <c r="W29" s="129">
        <v>1</v>
      </c>
      <c r="X29" s="144" t="str">
        <f t="shared" si="16"/>
        <v>WEEKEND</v>
      </c>
      <c r="Y29" s="148">
        <v>6.25</v>
      </c>
      <c r="Z29" s="144" t="s">
        <v>45</v>
      </c>
      <c r="AA29" s="149">
        <v>1669.5</v>
      </c>
      <c r="AB29" s="149">
        <v>266.82144400000004</v>
      </c>
      <c r="AC29" s="149">
        <v>267.12</v>
      </c>
      <c r="AD29" s="156">
        <v>42.691431040000005</v>
      </c>
      <c r="AE29" s="149" t="str">
        <f>IFERROR(_xlfn.XLOOKUP(DATA_MASTER[[#This Row],[DATE]],RODEO[DATE],RODEO[ARTIST]),"")</f>
        <v/>
      </c>
      <c r="AF29" s="172">
        <f>IF(DATA_MASTER[[#This Row],[RODEO_ARTIST]]="",0,1)</f>
        <v>0</v>
      </c>
      <c r="AG29" t="str">
        <f>IFERROR(RIGHT(_xlfn.XLOOKUP(DATA_MASTER[[#This Row],[DATE]],ASTROS[DATE],ASTROS[OPPONENT]),LEN(_xlfn.XLOOKUP(DATA_MASTER[[#This Row],[DATE]],ASTROS[DATE],ASTROS[OPPONENT]))-3),"NO GAME")</f>
        <v>NO GAME</v>
      </c>
      <c r="AH29">
        <f>IF(DATA_MASTER[[#This Row],[ASTROS_GAME]]="NO GAME",0,1)</f>
        <v>0</v>
      </c>
      <c r="AI29">
        <f>_xlfn.XLOOKUP(DATA_MASTER[[#This Row],[DATE]],WEATHER[DATE],WEATHER[tempmax])</f>
        <v>99.3</v>
      </c>
      <c r="AJ29">
        <f>_xlfn.XLOOKUP(DATA_MASTER[[#This Row],[DATE]],WEATHER[DATE],WEATHER[precip])</f>
        <v>0</v>
      </c>
      <c r="AQ29"/>
      <c r="AR29"/>
      <c r="AS29"/>
    </row>
    <row r="30" spans="1:60" x14ac:dyDescent="0.35">
      <c r="A30" s="155">
        <v>45145</v>
      </c>
      <c r="B30" s="144" t="s">
        <v>42</v>
      </c>
      <c r="C30" s="144" t="s">
        <v>51</v>
      </c>
      <c r="D30" s="144" t="s">
        <v>54</v>
      </c>
      <c r="E30" s="145">
        <f t="shared" si="17"/>
        <v>0</v>
      </c>
      <c r="F30" s="146">
        <f t="shared" si="0"/>
        <v>0</v>
      </c>
      <c r="G30" s="146">
        <f t="shared" si="1"/>
        <v>1</v>
      </c>
      <c r="H30" s="146">
        <f t="shared" si="2"/>
        <v>0</v>
      </c>
      <c r="I30" s="146">
        <f t="shared" si="3"/>
        <v>0</v>
      </c>
      <c r="J30" s="146">
        <f t="shared" si="4"/>
        <v>0</v>
      </c>
      <c r="K30" s="146">
        <f t="shared" si="5"/>
        <v>0</v>
      </c>
      <c r="L30" s="147">
        <f t="shared" si="18"/>
        <v>0</v>
      </c>
      <c r="M30" s="147">
        <f t="shared" si="6"/>
        <v>0</v>
      </c>
      <c r="N30" s="147">
        <f t="shared" si="7"/>
        <v>0</v>
      </c>
      <c r="O30" s="147">
        <f t="shared" si="8"/>
        <v>0</v>
      </c>
      <c r="P30" s="147">
        <f t="shared" si="9"/>
        <v>0</v>
      </c>
      <c r="Q30" s="147">
        <f t="shared" si="10"/>
        <v>0</v>
      </c>
      <c r="R30" s="147">
        <f t="shared" si="11"/>
        <v>1</v>
      </c>
      <c r="S30" s="147">
        <f t="shared" si="12"/>
        <v>0</v>
      </c>
      <c r="T30" s="147">
        <f t="shared" si="13"/>
        <v>0</v>
      </c>
      <c r="U30" s="147">
        <f t="shared" si="14"/>
        <v>0</v>
      </c>
      <c r="V30" s="147">
        <f t="shared" si="15"/>
        <v>0</v>
      </c>
      <c r="W30" s="129">
        <v>0</v>
      </c>
      <c r="X30" s="144" t="str">
        <f t="shared" si="16"/>
        <v>WEEKDAY</v>
      </c>
      <c r="Y30" s="148">
        <v>3.75</v>
      </c>
      <c r="Z30" s="144" t="s">
        <v>55</v>
      </c>
      <c r="AA30" s="149">
        <v>518.5</v>
      </c>
      <c r="AB30" s="149">
        <v>85.479011999999997</v>
      </c>
      <c r="AC30" s="149">
        <v>138.26666666666668</v>
      </c>
      <c r="AD30" s="156">
        <v>22.794403199999998</v>
      </c>
      <c r="AE30" s="149" t="str">
        <f>IFERROR(_xlfn.XLOOKUP(DATA_MASTER[[#This Row],[DATE]],RODEO[DATE],RODEO[ARTIST]),"")</f>
        <v/>
      </c>
      <c r="AF30" s="172">
        <f>IF(DATA_MASTER[[#This Row],[RODEO_ARTIST]]="",0,1)</f>
        <v>0</v>
      </c>
      <c r="AG30" t="str">
        <f>IFERROR(RIGHT(_xlfn.XLOOKUP(DATA_MASTER[[#This Row],[DATE]],ASTROS[DATE],ASTROS[OPPONENT]),LEN(_xlfn.XLOOKUP(DATA_MASTER[[#This Row],[DATE]],ASTROS[DATE],ASTROS[OPPONENT]))-3),"NO GAME")</f>
        <v>NO GAME</v>
      </c>
      <c r="AH30">
        <f>IF(DATA_MASTER[[#This Row],[ASTROS_GAME]]="NO GAME",0,1)</f>
        <v>0</v>
      </c>
      <c r="AI30">
        <f>_xlfn.XLOOKUP(DATA_MASTER[[#This Row],[DATE]],WEATHER[DATE],WEATHER[tempmax])</f>
        <v>100.4</v>
      </c>
      <c r="AJ30">
        <f>_xlfn.XLOOKUP(DATA_MASTER[[#This Row],[DATE]],WEATHER[DATE],WEATHER[precip])</f>
        <v>0</v>
      </c>
      <c r="AQ30"/>
      <c r="AR30"/>
      <c r="AS30"/>
    </row>
    <row r="31" spans="1:60" x14ac:dyDescent="0.35">
      <c r="A31" s="155">
        <v>45145</v>
      </c>
      <c r="B31" s="144" t="s">
        <v>46</v>
      </c>
      <c r="C31" s="144" t="s">
        <v>51</v>
      </c>
      <c r="D31" s="144" t="s">
        <v>54</v>
      </c>
      <c r="E31" s="145">
        <f t="shared" si="17"/>
        <v>1</v>
      </c>
      <c r="F31" s="146">
        <f t="shared" si="0"/>
        <v>0</v>
      </c>
      <c r="G31" s="146">
        <f t="shared" si="1"/>
        <v>1</v>
      </c>
      <c r="H31" s="146">
        <f t="shared" si="2"/>
        <v>0</v>
      </c>
      <c r="I31" s="146">
        <f t="shared" si="3"/>
        <v>0</v>
      </c>
      <c r="J31" s="146">
        <f t="shared" si="4"/>
        <v>0</v>
      </c>
      <c r="K31" s="146">
        <f t="shared" si="5"/>
        <v>0</v>
      </c>
      <c r="L31" s="147">
        <f t="shared" si="18"/>
        <v>0</v>
      </c>
      <c r="M31" s="147">
        <f t="shared" si="6"/>
        <v>0</v>
      </c>
      <c r="N31" s="147">
        <f t="shared" si="7"/>
        <v>0</v>
      </c>
      <c r="O31" s="147">
        <f t="shared" si="8"/>
        <v>0</v>
      </c>
      <c r="P31" s="147">
        <f t="shared" si="9"/>
        <v>0</v>
      </c>
      <c r="Q31" s="147">
        <f t="shared" si="10"/>
        <v>0</v>
      </c>
      <c r="R31" s="147">
        <f t="shared" si="11"/>
        <v>1</v>
      </c>
      <c r="S31" s="147">
        <f t="shared" si="12"/>
        <v>0</v>
      </c>
      <c r="T31" s="147">
        <f t="shared" si="13"/>
        <v>0</v>
      </c>
      <c r="U31" s="147">
        <f t="shared" si="14"/>
        <v>0</v>
      </c>
      <c r="V31" s="147">
        <f t="shared" si="15"/>
        <v>0</v>
      </c>
      <c r="W31" s="129">
        <v>0</v>
      </c>
      <c r="X31" s="144" t="str">
        <f t="shared" si="16"/>
        <v>WEEKDAY</v>
      </c>
      <c r="Y31" s="148">
        <v>4.6166666666666663</v>
      </c>
      <c r="Z31" s="144" t="s">
        <v>55</v>
      </c>
      <c r="AA31" s="149">
        <v>1184</v>
      </c>
      <c r="AB31" s="149">
        <v>201.50010799999998</v>
      </c>
      <c r="AC31" s="149">
        <v>256.46209386281589</v>
      </c>
      <c r="AD31" s="156">
        <v>43.646232779783396</v>
      </c>
      <c r="AE31" s="149" t="str">
        <f>IFERROR(_xlfn.XLOOKUP(DATA_MASTER[[#This Row],[DATE]],RODEO[DATE],RODEO[ARTIST]),"")</f>
        <v/>
      </c>
      <c r="AF31" s="172">
        <f>IF(DATA_MASTER[[#This Row],[RODEO_ARTIST]]="",0,1)</f>
        <v>0</v>
      </c>
      <c r="AG31" t="str">
        <f>IFERROR(RIGHT(_xlfn.XLOOKUP(DATA_MASTER[[#This Row],[DATE]],ASTROS[DATE],ASTROS[OPPONENT]),LEN(_xlfn.XLOOKUP(DATA_MASTER[[#This Row],[DATE]],ASTROS[DATE],ASTROS[OPPONENT]))-3),"NO GAME")</f>
        <v>NO GAME</v>
      </c>
      <c r="AH31">
        <f>IF(DATA_MASTER[[#This Row],[ASTROS_GAME]]="NO GAME",0,1)</f>
        <v>0</v>
      </c>
      <c r="AI31">
        <f>_xlfn.XLOOKUP(DATA_MASTER[[#This Row],[DATE]],WEATHER[DATE],WEATHER[tempmax])</f>
        <v>100.4</v>
      </c>
      <c r="AJ31">
        <f>_xlfn.XLOOKUP(DATA_MASTER[[#This Row],[DATE]],WEATHER[DATE],WEATHER[precip])</f>
        <v>0</v>
      </c>
      <c r="AQ31"/>
      <c r="AR31"/>
      <c r="AS31"/>
    </row>
    <row r="32" spans="1:60" x14ac:dyDescent="0.35">
      <c r="A32" s="155">
        <v>45146</v>
      </c>
      <c r="B32" s="144" t="s">
        <v>42</v>
      </c>
      <c r="C32" s="144" t="s">
        <v>52</v>
      </c>
      <c r="D32" s="144" t="s">
        <v>54</v>
      </c>
      <c r="E32" s="145">
        <f t="shared" si="17"/>
        <v>0</v>
      </c>
      <c r="F32" s="146">
        <f t="shared" si="0"/>
        <v>0</v>
      </c>
      <c r="G32" s="146">
        <f t="shared" si="1"/>
        <v>0</v>
      </c>
      <c r="H32" s="146">
        <f t="shared" si="2"/>
        <v>0</v>
      </c>
      <c r="I32" s="146">
        <f t="shared" si="3"/>
        <v>0</v>
      </c>
      <c r="J32" s="146">
        <f t="shared" si="4"/>
        <v>0</v>
      </c>
      <c r="K32" s="146">
        <f t="shared" si="5"/>
        <v>0</v>
      </c>
      <c r="L32" s="147">
        <f t="shared" si="18"/>
        <v>0</v>
      </c>
      <c r="M32" s="147">
        <f t="shared" si="6"/>
        <v>0</v>
      </c>
      <c r="N32" s="147">
        <f t="shared" si="7"/>
        <v>0</v>
      </c>
      <c r="O32" s="147">
        <f t="shared" si="8"/>
        <v>0</v>
      </c>
      <c r="P32" s="147">
        <f t="shared" si="9"/>
        <v>0</v>
      </c>
      <c r="Q32" s="147">
        <f t="shared" si="10"/>
        <v>0</v>
      </c>
      <c r="R32" s="147">
        <f t="shared" si="11"/>
        <v>1</v>
      </c>
      <c r="S32" s="147">
        <f t="shared" si="12"/>
        <v>0</v>
      </c>
      <c r="T32" s="147">
        <f t="shared" si="13"/>
        <v>0</v>
      </c>
      <c r="U32" s="147">
        <f t="shared" si="14"/>
        <v>0</v>
      </c>
      <c r="V32" s="147">
        <f t="shared" si="15"/>
        <v>0</v>
      </c>
      <c r="W32" s="129">
        <v>0</v>
      </c>
      <c r="X32" s="144" t="str">
        <f t="shared" si="16"/>
        <v>WEEKDAY</v>
      </c>
      <c r="Y32" s="148">
        <v>3.8666666666666667</v>
      </c>
      <c r="Z32" s="144" t="s">
        <v>45</v>
      </c>
      <c r="AA32" s="149">
        <v>697</v>
      </c>
      <c r="AB32" s="149">
        <v>125.16169600000001</v>
      </c>
      <c r="AC32" s="149">
        <v>180.25862068965517</v>
      </c>
      <c r="AD32" s="156">
        <v>32.369404137931035</v>
      </c>
      <c r="AE32" s="149" t="str">
        <f>IFERROR(_xlfn.XLOOKUP(DATA_MASTER[[#This Row],[DATE]],RODEO[DATE],RODEO[ARTIST]),"")</f>
        <v/>
      </c>
      <c r="AF32" s="172">
        <f>IF(DATA_MASTER[[#This Row],[RODEO_ARTIST]]="",0,1)</f>
        <v>0</v>
      </c>
      <c r="AG32" t="str">
        <f>IFERROR(RIGHT(_xlfn.XLOOKUP(DATA_MASTER[[#This Row],[DATE]],ASTROS[DATE],ASTROS[OPPONENT]),LEN(_xlfn.XLOOKUP(DATA_MASTER[[#This Row],[DATE]],ASTROS[DATE],ASTROS[OPPONENT]))-3),"NO GAME")</f>
        <v>NO GAME</v>
      </c>
      <c r="AH32">
        <f>IF(DATA_MASTER[[#This Row],[ASTROS_GAME]]="NO GAME",0,1)</f>
        <v>0</v>
      </c>
      <c r="AI32">
        <f>_xlfn.XLOOKUP(DATA_MASTER[[#This Row],[DATE]],WEATHER[DATE],WEATHER[tempmax])</f>
        <v>98.7</v>
      </c>
      <c r="AJ32">
        <f>_xlfn.XLOOKUP(DATA_MASTER[[#This Row],[DATE]],WEATHER[DATE],WEATHER[precip])</f>
        <v>0</v>
      </c>
      <c r="AQ32"/>
      <c r="AR32"/>
      <c r="AS32"/>
    </row>
    <row r="33" spans="1:45" x14ac:dyDescent="0.35">
      <c r="A33" s="155">
        <v>45147</v>
      </c>
      <c r="B33" s="144" t="s">
        <v>46</v>
      </c>
      <c r="C33" s="144" t="s">
        <v>44</v>
      </c>
      <c r="D33" s="144" t="s">
        <v>54</v>
      </c>
      <c r="E33" s="145">
        <f t="shared" si="17"/>
        <v>1</v>
      </c>
      <c r="F33" s="146">
        <f t="shared" si="0"/>
        <v>0</v>
      </c>
      <c r="G33" s="146">
        <f t="shared" si="1"/>
        <v>0</v>
      </c>
      <c r="H33" s="146">
        <f t="shared" si="2"/>
        <v>1</v>
      </c>
      <c r="I33" s="146">
        <f t="shared" si="3"/>
        <v>0</v>
      </c>
      <c r="J33" s="146">
        <f t="shared" si="4"/>
        <v>0</v>
      </c>
      <c r="K33" s="146">
        <f t="shared" si="5"/>
        <v>0</v>
      </c>
      <c r="L33" s="147">
        <f t="shared" si="18"/>
        <v>0</v>
      </c>
      <c r="M33" s="147">
        <f t="shared" si="6"/>
        <v>0</v>
      </c>
      <c r="N33" s="147">
        <f t="shared" si="7"/>
        <v>0</v>
      </c>
      <c r="O33" s="147">
        <f t="shared" si="8"/>
        <v>0</v>
      </c>
      <c r="P33" s="147">
        <f t="shared" si="9"/>
        <v>0</v>
      </c>
      <c r="Q33" s="147">
        <f t="shared" si="10"/>
        <v>0</v>
      </c>
      <c r="R33" s="147">
        <f t="shared" si="11"/>
        <v>1</v>
      </c>
      <c r="S33" s="147">
        <f t="shared" si="12"/>
        <v>0</v>
      </c>
      <c r="T33" s="147">
        <f t="shared" si="13"/>
        <v>0</v>
      </c>
      <c r="U33" s="147">
        <f t="shared" si="14"/>
        <v>0</v>
      </c>
      <c r="V33" s="147">
        <f t="shared" si="15"/>
        <v>0</v>
      </c>
      <c r="W33" s="129">
        <v>0</v>
      </c>
      <c r="X33" s="144" t="str">
        <f t="shared" si="16"/>
        <v>WEEKDAY</v>
      </c>
      <c r="Y33" s="148">
        <v>5.9</v>
      </c>
      <c r="Z33" s="144" t="s">
        <v>45</v>
      </c>
      <c r="AA33" s="149">
        <v>1060.27</v>
      </c>
      <c r="AB33" s="149">
        <v>132.90529599999999</v>
      </c>
      <c r="AC33" s="149">
        <v>179.70677966101692</v>
      </c>
      <c r="AD33" s="156">
        <v>22.5263213559322</v>
      </c>
      <c r="AE33" s="149" t="str">
        <f>IFERROR(_xlfn.XLOOKUP(DATA_MASTER[[#This Row],[DATE]],RODEO[DATE],RODEO[ARTIST]),"")</f>
        <v/>
      </c>
      <c r="AF33" s="172">
        <f>IF(DATA_MASTER[[#This Row],[RODEO_ARTIST]]="",0,1)</f>
        <v>0</v>
      </c>
      <c r="AG33" t="str">
        <f>IFERROR(RIGHT(_xlfn.XLOOKUP(DATA_MASTER[[#This Row],[DATE]],ASTROS[DATE],ASTROS[OPPONENT]),LEN(_xlfn.XLOOKUP(DATA_MASTER[[#This Row],[DATE]],ASTROS[DATE],ASTROS[OPPONENT]))-3),"NO GAME")</f>
        <v>NO GAME</v>
      </c>
      <c r="AH33">
        <f>IF(DATA_MASTER[[#This Row],[ASTROS_GAME]]="NO GAME",0,1)</f>
        <v>0</v>
      </c>
      <c r="AI33">
        <f>_xlfn.XLOOKUP(DATA_MASTER[[#This Row],[DATE]],WEATHER[DATE],WEATHER[tempmax])</f>
        <v>96.9</v>
      </c>
      <c r="AJ33">
        <f>_xlfn.XLOOKUP(DATA_MASTER[[#This Row],[DATE]],WEATHER[DATE],WEATHER[precip])</f>
        <v>0</v>
      </c>
      <c r="AQ33"/>
      <c r="AR33"/>
      <c r="AS33"/>
    </row>
    <row r="34" spans="1:45" x14ac:dyDescent="0.35">
      <c r="A34" s="155">
        <v>45149</v>
      </c>
      <c r="B34" s="144" t="s">
        <v>46</v>
      </c>
      <c r="C34" s="144" t="s">
        <v>48</v>
      </c>
      <c r="D34" s="144" t="s">
        <v>54</v>
      </c>
      <c r="E34" s="145">
        <f t="shared" si="17"/>
        <v>1</v>
      </c>
      <c r="F34" s="146">
        <f t="shared" si="0"/>
        <v>0</v>
      </c>
      <c r="G34" s="146">
        <f t="shared" si="1"/>
        <v>0</v>
      </c>
      <c r="H34" s="146">
        <f t="shared" si="2"/>
        <v>0</v>
      </c>
      <c r="I34" s="146">
        <f t="shared" si="3"/>
        <v>0</v>
      </c>
      <c r="J34" s="146">
        <f t="shared" si="4"/>
        <v>1</v>
      </c>
      <c r="K34" s="146">
        <f t="shared" si="5"/>
        <v>0</v>
      </c>
      <c r="L34" s="147">
        <f t="shared" si="18"/>
        <v>0</v>
      </c>
      <c r="M34" s="147">
        <f t="shared" si="6"/>
        <v>0</v>
      </c>
      <c r="N34" s="147">
        <f t="shared" si="7"/>
        <v>0</v>
      </c>
      <c r="O34" s="147">
        <f t="shared" si="8"/>
        <v>0</v>
      </c>
      <c r="P34" s="147">
        <f t="shared" si="9"/>
        <v>0</v>
      </c>
      <c r="Q34" s="147">
        <f t="shared" si="10"/>
        <v>0</v>
      </c>
      <c r="R34" s="147">
        <f t="shared" si="11"/>
        <v>1</v>
      </c>
      <c r="S34" s="147">
        <f t="shared" si="12"/>
        <v>0</v>
      </c>
      <c r="T34" s="147">
        <f t="shared" si="13"/>
        <v>0</v>
      </c>
      <c r="U34" s="147">
        <f t="shared" si="14"/>
        <v>0</v>
      </c>
      <c r="V34" s="147">
        <f t="shared" si="15"/>
        <v>0</v>
      </c>
      <c r="W34" s="129">
        <v>1</v>
      </c>
      <c r="X34" s="144" t="str">
        <f t="shared" si="16"/>
        <v>WEEKEND</v>
      </c>
      <c r="Y34" s="148">
        <v>7.15</v>
      </c>
      <c r="Z34" s="144" t="s">
        <v>45</v>
      </c>
      <c r="AA34" s="149">
        <v>1187</v>
      </c>
      <c r="AB34" s="149">
        <v>185.53326000000001</v>
      </c>
      <c r="AC34" s="149">
        <v>166.013986013986</v>
      </c>
      <c r="AD34" s="156">
        <v>25.948707692307693</v>
      </c>
      <c r="AE34" s="149" t="str">
        <f>IFERROR(_xlfn.XLOOKUP(DATA_MASTER[[#This Row],[DATE]],RODEO[DATE],RODEO[ARTIST]),"")</f>
        <v/>
      </c>
      <c r="AF34" s="172">
        <f>IF(DATA_MASTER[[#This Row],[RODEO_ARTIST]]="",0,1)</f>
        <v>0</v>
      </c>
      <c r="AG34" t="str">
        <f>IFERROR(RIGHT(_xlfn.XLOOKUP(DATA_MASTER[[#This Row],[DATE]],ASTROS[DATE],ASTROS[OPPONENT]),LEN(_xlfn.XLOOKUP(DATA_MASTER[[#This Row],[DATE]],ASTROS[DATE],ASTROS[OPPONENT]))-3),"NO GAME")</f>
        <v>Los Angeles Angels</v>
      </c>
      <c r="AH34">
        <f>IF(DATA_MASTER[[#This Row],[ASTROS_GAME]]="NO GAME",0,1)</f>
        <v>1</v>
      </c>
      <c r="AI34">
        <f>_xlfn.XLOOKUP(DATA_MASTER[[#This Row],[DATE]],WEATHER[DATE],WEATHER[tempmax])</f>
        <v>98.7</v>
      </c>
      <c r="AJ34">
        <f>_xlfn.XLOOKUP(DATA_MASTER[[#This Row],[DATE]],WEATHER[DATE],WEATHER[precip])</f>
        <v>0</v>
      </c>
      <c r="AQ34"/>
      <c r="AR34"/>
      <c r="AS34"/>
    </row>
    <row r="35" spans="1:45" x14ac:dyDescent="0.35">
      <c r="A35" s="155">
        <v>45150</v>
      </c>
      <c r="B35" s="144" t="s">
        <v>46</v>
      </c>
      <c r="C35" s="144" t="s">
        <v>49</v>
      </c>
      <c r="D35" s="144" t="s">
        <v>54</v>
      </c>
      <c r="E35" s="145">
        <f t="shared" si="17"/>
        <v>1</v>
      </c>
      <c r="F35" s="146">
        <f t="shared" si="0"/>
        <v>0</v>
      </c>
      <c r="G35" s="146">
        <f t="shared" si="1"/>
        <v>0</v>
      </c>
      <c r="H35" s="146">
        <f t="shared" si="2"/>
        <v>0</v>
      </c>
      <c r="I35" s="146">
        <f t="shared" si="3"/>
        <v>0</v>
      </c>
      <c r="J35" s="146">
        <f t="shared" si="4"/>
        <v>0</v>
      </c>
      <c r="K35" s="146">
        <f t="shared" si="5"/>
        <v>1</v>
      </c>
      <c r="L35" s="147">
        <f t="shared" si="18"/>
        <v>0</v>
      </c>
      <c r="M35" s="147">
        <f t="shared" si="6"/>
        <v>0</v>
      </c>
      <c r="N35" s="147">
        <f t="shared" si="7"/>
        <v>0</v>
      </c>
      <c r="O35" s="147">
        <f t="shared" si="8"/>
        <v>0</v>
      </c>
      <c r="P35" s="147">
        <f t="shared" si="9"/>
        <v>0</v>
      </c>
      <c r="Q35" s="147">
        <f t="shared" si="10"/>
        <v>0</v>
      </c>
      <c r="R35" s="147">
        <f t="shared" si="11"/>
        <v>1</v>
      </c>
      <c r="S35" s="147">
        <f t="shared" si="12"/>
        <v>0</v>
      </c>
      <c r="T35" s="147">
        <f t="shared" si="13"/>
        <v>0</v>
      </c>
      <c r="U35" s="147">
        <f t="shared" si="14"/>
        <v>0</v>
      </c>
      <c r="V35" s="147">
        <f t="shared" si="15"/>
        <v>0</v>
      </c>
      <c r="W35" s="129">
        <v>1</v>
      </c>
      <c r="X35" s="144" t="str">
        <f t="shared" si="16"/>
        <v>WEEKEND</v>
      </c>
      <c r="Y35" s="148">
        <v>7.583333333333333</v>
      </c>
      <c r="Z35" s="144" t="s">
        <v>45</v>
      </c>
      <c r="AA35" s="149">
        <v>1928</v>
      </c>
      <c r="AB35" s="149">
        <v>308.20174799999995</v>
      </c>
      <c r="AC35" s="149">
        <v>254.24175824175825</v>
      </c>
      <c r="AD35" s="156">
        <v>40.641988747252739</v>
      </c>
      <c r="AE35" s="149" t="str">
        <f>IFERROR(_xlfn.XLOOKUP(DATA_MASTER[[#This Row],[DATE]],RODEO[DATE],RODEO[ARTIST]),"")</f>
        <v/>
      </c>
      <c r="AF35" s="172">
        <f>IF(DATA_MASTER[[#This Row],[RODEO_ARTIST]]="",0,1)</f>
        <v>0</v>
      </c>
      <c r="AG35" t="str">
        <f>IFERROR(RIGHT(_xlfn.XLOOKUP(DATA_MASTER[[#This Row],[DATE]],ASTROS[DATE],ASTROS[OPPONENT]),LEN(_xlfn.XLOOKUP(DATA_MASTER[[#This Row],[DATE]],ASTROS[DATE],ASTROS[OPPONENT]))-3),"NO GAME")</f>
        <v>Los Angeles Angels</v>
      </c>
      <c r="AH35">
        <f>IF(DATA_MASTER[[#This Row],[ASTROS_GAME]]="NO GAME",0,1)</f>
        <v>1</v>
      </c>
      <c r="AI35">
        <f>_xlfn.XLOOKUP(DATA_MASTER[[#This Row],[DATE]],WEATHER[DATE],WEATHER[tempmax])</f>
        <v>98.7</v>
      </c>
      <c r="AJ35">
        <f>_xlfn.XLOOKUP(DATA_MASTER[[#This Row],[DATE]],WEATHER[DATE],WEATHER[precip])</f>
        <v>0</v>
      </c>
      <c r="AQ35"/>
      <c r="AR35"/>
      <c r="AS35"/>
    </row>
    <row r="36" spans="1:45" x14ac:dyDescent="0.35">
      <c r="A36" s="155">
        <v>45152</v>
      </c>
      <c r="B36" s="144" t="s">
        <v>42</v>
      </c>
      <c r="C36" s="144" t="s">
        <v>51</v>
      </c>
      <c r="D36" s="144" t="s">
        <v>54</v>
      </c>
      <c r="E36" s="145">
        <f t="shared" si="17"/>
        <v>0</v>
      </c>
      <c r="F36" s="146">
        <f t="shared" si="0"/>
        <v>0</v>
      </c>
      <c r="G36" s="146">
        <f t="shared" si="1"/>
        <v>1</v>
      </c>
      <c r="H36" s="146">
        <f t="shared" si="2"/>
        <v>0</v>
      </c>
      <c r="I36" s="146">
        <f t="shared" si="3"/>
        <v>0</v>
      </c>
      <c r="J36" s="146">
        <f t="shared" si="4"/>
        <v>0</v>
      </c>
      <c r="K36" s="146">
        <f t="shared" si="5"/>
        <v>0</v>
      </c>
      <c r="L36" s="147">
        <f t="shared" si="18"/>
        <v>0</v>
      </c>
      <c r="M36" s="147">
        <f t="shared" si="6"/>
        <v>0</v>
      </c>
      <c r="N36" s="147">
        <f t="shared" si="7"/>
        <v>0</v>
      </c>
      <c r="O36" s="147">
        <f t="shared" si="8"/>
        <v>0</v>
      </c>
      <c r="P36" s="147">
        <f t="shared" si="9"/>
        <v>0</v>
      </c>
      <c r="Q36" s="147">
        <f t="shared" si="10"/>
        <v>0</v>
      </c>
      <c r="R36" s="147">
        <f t="shared" si="11"/>
        <v>1</v>
      </c>
      <c r="S36" s="147">
        <f t="shared" si="12"/>
        <v>0</v>
      </c>
      <c r="T36" s="147">
        <f t="shared" si="13"/>
        <v>0</v>
      </c>
      <c r="U36" s="147">
        <f t="shared" si="14"/>
        <v>0</v>
      </c>
      <c r="V36" s="147">
        <f t="shared" si="15"/>
        <v>0</v>
      </c>
      <c r="W36" s="129">
        <v>0</v>
      </c>
      <c r="X36" s="144" t="str">
        <f t="shared" si="16"/>
        <v>WEEKDAY</v>
      </c>
      <c r="Y36" s="148">
        <v>5.3833333333333337</v>
      </c>
      <c r="Z36" s="144" t="s">
        <v>45</v>
      </c>
      <c r="AA36" s="149">
        <v>646.5</v>
      </c>
      <c r="AB36" s="149">
        <v>121.035892</v>
      </c>
      <c r="AC36" s="149">
        <v>120.09287925696593</v>
      </c>
      <c r="AD36" s="156">
        <v>22.483447430340558</v>
      </c>
      <c r="AE36" s="149" t="str">
        <f>IFERROR(_xlfn.XLOOKUP(DATA_MASTER[[#This Row],[DATE]],RODEO[DATE],RODEO[ARTIST]),"")</f>
        <v/>
      </c>
      <c r="AF36" s="172">
        <f>IF(DATA_MASTER[[#This Row],[RODEO_ARTIST]]="",0,1)</f>
        <v>0</v>
      </c>
      <c r="AG36" t="str">
        <f>IFERROR(RIGHT(_xlfn.XLOOKUP(DATA_MASTER[[#This Row],[DATE]],ASTROS[DATE],ASTROS[OPPONENT]),LEN(_xlfn.XLOOKUP(DATA_MASTER[[#This Row],[DATE]],ASTROS[DATE],ASTROS[OPPONENT]))-3),"NO GAME")</f>
        <v>NO GAME</v>
      </c>
      <c r="AH36">
        <f>IF(DATA_MASTER[[#This Row],[ASTROS_GAME]]="NO GAME",0,1)</f>
        <v>0</v>
      </c>
      <c r="AI36">
        <f>_xlfn.XLOOKUP(DATA_MASTER[[#This Row],[DATE]],WEATHER[DATE],WEATHER[tempmax])</f>
        <v>101.3</v>
      </c>
      <c r="AJ36">
        <f>_xlfn.XLOOKUP(DATA_MASTER[[#This Row],[DATE]],WEATHER[DATE],WEATHER[precip])</f>
        <v>0</v>
      </c>
      <c r="AQ36"/>
      <c r="AR36"/>
      <c r="AS36"/>
    </row>
    <row r="37" spans="1:45" x14ac:dyDescent="0.35">
      <c r="A37" s="155">
        <v>45153</v>
      </c>
      <c r="B37" s="144" t="s">
        <v>42</v>
      </c>
      <c r="C37" s="144" t="s">
        <v>52</v>
      </c>
      <c r="D37" s="144" t="s">
        <v>54</v>
      </c>
      <c r="E37" s="145">
        <f t="shared" si="17"/>
        <v>0</v>
      </c>
      <c r="F37" s="146">
        <f t="shared" si="0"/>
        <v>0</v>
      </c>
      <c r="G37" s="146">
        <f t="shared" si="1"/>
        <v>0</v>
      </c>
      <c r="H37" s="146">
        <f t="shared" si="2"/>
        <v>0</v>
      </c>
      <c r="I37" s="146">
        <f t="shared" si="3"/>
        <v>0</v>
      </c>
      <c r="J37" s="146">
        <f t="shared" si="4"/>
        <v>0</v>
      </c>
      <c r="K37" s="146">
        <f t="shared" si="5"/>
        <v>0</v>
      </c>
      <c r="L37" s="147">
        <f t="shared" si="18"/>
        <v>0</v>
      </c>
      <c r="M37" s="147">
        <f t="shared" si="6"/>
        <v>0</v>
      </c>
      <c r="N37" s="147">
        <f t="shared" si="7"/>
        <v>0</v>
      </c>
      <c r="O37" s="147">
        <f t="shared" si="8"/>
        <v>0</v>
      </c>
      <c r="P37" s="147">
        <f t="shared" si="9"/>
        <v>0</v>
      </c>
      <c r="Q37" s="147">
        <f t="shared" si="10"/>
        <v>0</v>
      </c>
      <c r="R37" s="147">
        <f t="shared" si="11"/>
        <v>1</v>
      </c>
      <c r="S37" s="147">
        <f t="shared" si="12"/>
        <v>0</v>
      </c>
      <c r="T37" s="147">
        <f t="shared" si="13"/>
        <v>0</v>
      </c>
      <c r="U37" s="147">
        <f t="shared" si="14"/>
        <v>0</v>
      </c>
      <c r="V37" s="147">
        <f t="shared" si="15"/>
        <v>0</v>
      </c>
      <c r="W37" s="129">
        <v>0</v>
      </c>
      <c r="X37" s="144" t="str">
        <f t="shared" si="16"/>
        <v>WEEKDAY</v>
      </c>
      <c r="Y37" s="148">
        <v>3.3166666666666669</v>
      </c>
      <c r="Z37" s="144" t="s">
        <v>55</v>
      </c>
      <c r="AA37" s="149">
        <v>369</v>
      </c>
      <c r="AB37" s="149">
        <v>52.001628000000004</v>
      </c>
      <c r="AC37" s="149">
        <v>111.25628140703517</v>
      </c>
      <c r="AD37" s="156">
        <v>15.678882814070352</v>
      </c>
      <c r="AE37" s="149" t="str">
        <f>IFERROR(_xlfn.XLOOKUP(DATA_MASTER[[#This Row],[DATE]],RODEO[DATE],RODEO[ARTIST]),"")</f>
        <v/>
      </c>
      <c r="AF37" s="172">
        <f>IF(DATA_MASTER[[#This Row],[RODEO_ARTIST]]="",0,1)</f>
        <v>0</v>
      </c>
      <c r="AG37" t="str">
        <f>IFERROR(RIGHT(_xlfn.XLOOKUP(DATA_MASTER[[#This Row],[DATE]],ASTROS[DATE],ASTROS[OPPONENT]),LEN(_xlfn.XLOOKUP(DATA_MASTER[[#This Row],[DATE]],ASTROS[DATE],ASTROS[OPPONENT]))-3),"NO GAME")</f>
        <v>NO GAME</v>
      </c>
      <c r="AH37">
        <f>IF(DATA_MASTER[[#This Row],[ASTROS_GAME]]="NO GAME",0,1)</f>
        <v>0</v>
      </c>
      <c r="AI37">
        <f>_xlfn.XLOOKUP(DATA_MASTER[[#This Row],[DATE]],WEATHER[DATE],WEATHER[tempmax])</f>
        <v>100.6</v>
      </c>
      <c r="AJ37">
        <f>_xlfn.XLOOKUP(DATA_MASTER[[#This Row],[DATE]],WEATHER[DATE],WEATHER[precip])</f>
        <v>0</v>
      </c>
      <c r="AQ37"/>
      <c r="AR37"/>
      <c r="AS37"/>
    </row>
    <row r="38" spans="1:45" x14ac:dyDescent="0.35">
      <c r="A38" s="155">
        <v>45153</v>
      </c>
      <c r="B38" s="144" t="s">
        <v>46</v>
      </c>
      <c r="C38" s="144" t="s">
        <v>52</v>
      </c>
      <c r="D38" s="144" t="s">
        <v>54</v>
      </c>
      <c r="E38" s="145">
        <f t="shared" si="17"/>
        <v>1</v>
      </c>
      <c r="F38" s="146">
        <f t="shared" si="0"/>
        <v>0</v>
      </c>
      <c r="G38" s="146">
        <f t="shared" si="1"/>
        <v>0</v>
      </c>
      <c r="H38" s="146">
        <f t="shared" si="2"/>
        <v>0</v>
      </c>
      <c r="I38" s="146">
        <f t="shared" si="3"/>
        <v>0</v>
      </c>
      <c r="J38" s="146">
        <f t="shared" si="4"/>
        <v>0</v>
      </c>
      <c r="K38" s="146">
        <f t="shared" si="5"/>
        <v>0</v>
      </c>
      <c r="L38" s="147">
        <f t="shared" si="18"/>
        <v>0</v>
      </c>
      <c r="M38" s="147">
        <f t="shared" si="6"/>
        <v>0</v>
      </c>
      <c r="N38" s="147">
        <f t="shared" si="7"/>
        <v>0</v>
      </c>
      <c r="O38" s="147">
        <f t="shared" si="8"/>
        <v>0</v>
      </c>
      <c r="P38" s="147">
        <f t="shared" si="9"/>
        <v>0</v>
      </c>
      <c r="Q38" s="147">
        <f t="shared" si="10"/>
        <v>0</v>
      </c>
      <c r="R38" s="147">
        <f t="shared" si="11"/>
        <v>1</v>
      </c>
      <c r="S38" s="147">
        <f t="shared" si="12"/>
        <v>0</v>
      </c>
      <c r="T38" s="147">
        <f t="shared" si="13"/>
        <v>0</v>
      </c>
      <c r="U38" s="147">
        <f t="shared" si="14"/>
        <v>0</v>
      </c>
      <c r="V38" s="147">
        <f t="shared" si="15"/>
        <v>0</v>
      </c>
      <c r="W38" s="129">
        <v>0</v>
      </c>
      <c r="X38" s="144" t="str">
        <f t="shared" si="16"/>
        <v>WEEKDAY</v>
      </c>
      <c r="Y38" s="148">
        <v>4.2833333333333332</v>
      </c>
      <c r="Z38" s="144" t="s">
        <v>55</v>
      </c>
      <c r="AA38" s="149">
        <v>652.5</v>
      </c>
      <c r="AB38" s="149">
        <v>100.28976399999999</v>
      </c>
      <c r="AC38" s="149">
        <v>152.33463035019454</v>
      </c>
      <c r="AD38" s="156">
        <v>23.413952684824903</v>
      </c>
      <c r="AE38" s="149" t="str">
        <f>IFERROR(_xlfn.XLOOKUP(DATA_MASTER[[#This Row],[DATE]],RODEO[DATE],RODEO[ARTIST]),"")</f>
        <v/>
      </c>
      <c r="AF38" s="172">
        <f>IF(DATA_MASTER[[#This Row],[RODEO_ARTIST]]="",0,1)</f>
        <v>0</v>
      </c>
      <c r="AG38" t="str">
        <f>IFERROR(RIGHT(_xlfn.XLOOKUP(DATA_MASTER[[#This Row],[DATE]],ASTROS[DATE],ASTROS[OPPONENT]),LEN(_xlfn.XLOOKUP(DATA_MASTER[[#This Row],[DATE]],ASTROS[DATE],ASTROS[OPPONENT]))-3),"NO GAME")</f>
        <v>NO GAME</v>
      </c>
      <c r="AH38">
        <f>IF(DATA_MASTER[[#This Row],[ASTROS_GAME]]="NO GAME",0,1)</f>
        <v>0</v>
      </c>
      <c r="AI38">
        <f>_xlfn.XLOOKUP(DATA_MASTER[[#This Row],[DATE]],WEATHER[DATE],WEATHER[tempmax])</f>
        <v>100.6</v>
      </c>
      <c r="AJ38">
        <f>_xlfn.XLOOKUP(DATA_MASTER[[#This Row],[DATE]],WEATHER[DATE],WEATHER[precip])</f>
        <v>0</v>
      </c>
      <c r="AQ38"/>
      <c r="AR38"/>
      <c r="AS38"/>
    </row>
    <row r="39" spans="1:45" x14ac:dyDescent="0.35">
      <c r="A39" s="155">
        <v>45154</v>
      </c>
      <c r="B39" s="144" t="s">
        <v>42</v>
      </c>
      <c r="C39" s="144" t="s">
        <v>44</v>
      </c>
      <c r="D39" s="144" t="s">
        <v>54</v>
      </c>
      <c r="E39" s="145">
        <f t="shared" si="17"/>
        <v>0</v>
      </c>
      <c r="F39" s="146">
        <f t="shared" si="0"/>
        <v>0</v>
      </c>
      <c r="G39" s="146">
        <f t="shared" si="1"/>
        <v>0</v>
      </c>
      <c r="H39" s="146">
        <f t="shared" si="2"/>
        <v>1</v>
      </c>
      <c r="I39" s="146">
        <f t="shared" si="3"/>
        <v>0</v>
      </c>
      <c r="J39" s="146">
        <f t="shared" si="4"/>
        <v>0</v>
      </c>
      <c r="K39" s="146">
        <f t="shared" si="5"/>
        <v>0</v>
      </c>
      <c r="L39" s="147">
        <f t="shared" si="18"/>
        <v>0</v>
      </c>
      <c r="M39" s="147">
        <f t="shared" si="6"/>
        <v>0</v>
      </c>
      <c r="N39" s="147">
        <f t="shared" si="7"/>
        <v>0</v>
      </c>
      <c r="O39" s="147">
        <f t="shared" si="8"/>
        <v>0</v>
      </c>
      <c r="P39" s="147">
        <f t="shared" si="9"/>
        <v>0</v>
      </c>
      <c r="Q39" s="147">
        <f t="shared" si="10"/>
        <v>0</v>
      </c>
      <c r="R39" s="147">
        <f t="shared" si="11"/>
        <v>1</v>
      </c>
      <c r="S39" s="147">
        <f t="shared" si="12"/>
        <v>0</v>
      </c>
      <c r="T39" s="147">
        <f t="shared" si="13"/>
        <v>0</v>
      </c>
      <c r="U39" s="147">
        <f t="shared" si="14"/>
        <v>0</v>
      </c>
      <c r="V39" s="147">
        <f t="shared" si="15"/>
        <v>0</v>
      </c>
      <c r="W39" s="129">
        <v>0</v>
      </c>
      <c r="X39" s="144" t="str">
        <f t="shared" si="16"/>
        <v>WEEKDAY</v>
      </c>
      <c r="Y39" s="148">
        <v>3.7666666666666666</v>
      </c>
      <c r="Z39" s="144" t="s">
        <v>55</v>
      </c>
      <c r="AA39" s="149">
        <v>728.5</v>
      </c>
      <c r="AB39" s="149">
        <v>133.81860800000001</v>
      </c>
      <c r="AC39" s="149">
        <v>193.40707964601771</v>
      </c>
      <c r="AD39" s="156">
        <v>35.527064070796463</v>
      </c>
      <c r="AE39" s="149" t="str">
        <f>IFERROR(_xlfn.XLOOKUP(DATA_MASTER[[#This Row],[DATE]],RODEO[DATE],RODEO[ARTIST]),"")</f>
        <v/>
      </c>
      <c r="AF39" s="172">
        <f>IF(DATA_MASTER[[#This Row],[RODEO_ARTIST]]="",0,1)</f>
        <v>0</v>
      </c>
      <c r="AG39" t="str">
        <f>IFERROR(RIGHT(_xlfn.XLOOKUP(DATA_MASTER[[#This Row],[DATE]],ASTROS[DATE],ASTROS[OPPONENT]),LEN(_xlfn.XLOOKUP(DATA_MASTER[[#This Row],[DATE]],ASTROS[DATE],ASTROS[OPPONENT]))-3),"NO GAME")</f>
        <v>NO GAME</v>
      </c>
      <c r="AH39">
        <f>IF(DATA_MASTER[[#This Row],[ASTROS_GAME]]="NO GAME",0,1)</f>
        <v>0</v>
      </c>
      <c r="AI39">
        <f>_xlfn.XLOOKUP(DATA_MASTER[[#This Row],[DATE]],WEATHER[DATE],WEATHER[tempmax])</f>
        <v>97.6</v>
      </c>
      <c r="AJ39">
        <f>_xlfn.XLOOKUP(DATA_MASTER[[#This Row],[DATE]],WEATHER[DATE],WEATHER[precip])</f>
        <v>0</v>
      </c>
      <c r="AQ39"/>
      <c r="AR39"/>
      <c r="AS39"/>
    </row>
    <row r="40" spans="1:45" x14ac:dyDescent="0.35">
      <c r="A40" s="155">
        <v>45154</v>
      </c>
      <c r="B40" s="144" t="s">
        <v>46</v>
      </c>
      <c r="C40" s="144" t="s">
        <v>44</v>
      </c>
      <c r="D40" s="144" t="s">
        <v>54</v>
      </c>
      <c r="E40" s="145">
        <f t="shared" si="17"/>
        <v>1</v>
      </c>
      <c r="F40" s="146">
        <f t="shared" si="0"/>
        <v>0</v>
      </c>
      <c r="G40" s="146">
        <f t="shared" si="1"/>
        <v>0</v>
      </c>
      <c r="H40" s="146">
        <f t="shared" si="2"/>
        <v>1</v>
      </c>
      <c r="I40" s="146">
        <f t="shared" si="3"/>
        <v>0</v>
      </c>
      <c r="J40" s="146">
        <f t="shared" si="4"/>
        <v>0</v>
      </c>
      <c r="K40" s="146">
        <f t="shared" si="5"/>
        <v>0</v>
      </c>
      <c r="L40" s="147">
        <f t="shared" si="18"/>
        <v>0</v>
      </c>
      <c r="M40" s="147">
        <f t="shared" si="6"/>
        <v>0</v>
      </c>
      <c r="N40" s="147">
        <f t="shared" si="7"/>
        <v>0</v>
      </c>
      <c r="O40" s="147">
        <f t="shared" si="8"/>
        <v>0</v>
      </c>
      <c r="P40" s="147">
        <f t="shared" si="9"/>
        <v>0</v>
      </c>
      <c r="Q40" s="147">
        <f t="shared" si="10"/>
        <v>0</v>
      </c>
      <c r="R40" s="147">
        <f t="shared" si="11"/>
        <v>1</v>
      </c>
      <c r="S40" s="147">
        <f t="shared" si="12"/>
        <v>0</v>
      </c>
      <c r="T40" s="147">
        <f t="shared" si="13"/>
        <v>0</v>
      </c>
      <c r="U40" s="147">
        <f t="shared" si="14"/>
        <v>0</v>
      </c>
      <c r="V40" s="147">
        <f t="shared" si="15"/>
        <v>0</v>
      </c>
      <c r="W40" s="129">
        <v>0</v>
      </c>
      <c r="X40" s="144" t="str">
        <f t="shared" si="16"/>
        <v>WEEKDAY</v>
      </c>
      <c r="Y40" s="148">
        <v>5.95</v>
      </c>
      <c r="Z40" s="144" t="s">
        <v>55</v>
      </c>
      <c r="AA40" s="149">
        <v>1652</v>
      </c>
      <c r="AB40" s="149">
        <v>292.53746799999999</v>
      </c>
      <c r="AC40" s="149">
        <v>277.64705882352939</v>
      </c>
      <c r="AD40" s="156">
        <v>49.165961008403357</v>
      </c>
      <c r="AE40" s="149" t="str">
        <f>IFERROR(_xlfn.XLOOKUP(DATA_MASTER[[#This Row],[DATE]],RODEO[DATE],RODEO[ARTIST]),"")</f>
        <v/>
      </c>
      <c r="AF40" s="172">
        <f>IF(DATA_MASTER[[#This Row],[RODEO_ARTIST]]="",0,1)</f>
        <v>0</v>
      </c>
      <c r="AG40" t="str">
        <f>IFERROR(RIGHT(_xlfn.XLOOKUP(DATA_MASTER[[#This Row],[DATE]],ASTROS[DATE],ASTROS[OPPONENT]),LEN(_xlfn.XLOOKUP(DATA_MASTER[[#This Row],[DATE]],ASTROS[DATE],ASTROS[OPPONENT]))-3),"NO GAME")</f>
        <v>NO GAME</v>
      </c>
      <c r="AH40">
        <f>IF(DATA_MASTER[[#This Row],[ASTROS_GAME]]="NO GAME",0,1)</f>
        <v>0</v>
      </c>
      <c r="AI40">
        <f>_xlfn.XLOOKUP(DATA_MASTER[[#This Row],[DATE]],WEATHER[DATE],WEATHER[tempmax])</f>
        <v>97.6</v>
      </c>
      <c r="AJ40">
        <f>_xlfn.XLOOKUP(DATA_MASTER[[#This Row],[DATE]],WEATHER[DATE],WEATHER[precip])</f>
        <v>0</v>
      </c>
      <c r="AQ40"/>
      <c r="AR40"/>
      <c r="AS40"/>
    </row>
    <row r="41" spans="1:45" x14ac:dyDescent="0.35">
      <c r="A41" s="155">
        <v>45156</v>
      </c>
      <c r="B41" s="144" t="s">
        <v>46</v>
      </c>
      <c r="C41" s="144" t="s">
        <v>48</v>
      </c>
      <c r="D41" s="144" t="s">
        <v>54</v>
      </c>
      <c r="E41" s="145">
        <f t="shared" si="17"/>
        <v>1</v>
      </c>
      <c r="F41" s="146">
        <f t="shared" si="0"/>
        <v>0</v>
      </c>
      <c r="G41" s="146">
        <f t="shared" si="1"/>
        <v>0</v>
      </c>
      <c r="H41" s="146">
        <f t="shared" si="2"/>
        <v>0</v>
      </c>
      <c r="I41" s="146">
        <f t="shared" si="3"/>
        <v>0</v>
      </c>
      <c r="J41" s="146">
        <f t="shared" si="4"/>
        <v>1</v>
      </c>
      <c r="K41" s="146">
        <f t="shared" si="5"/>
        <v>0</v>
      </c>
      <c r="L41" s="147">
        <f t="shared" si="18"/>
        <v>0</v>
      </c>
      <c r="M41" s="147">
        <f t="shared" si="6"/>
        <v>0</v>
      </c>
      <c r="N41" s="147">
        <f t="shared" si="7"/>
        <v>0</v>
      </c>
      <c r="O41" s="147">
        <f t="shared" si="8"/>
        <v>0</v>
      </c>
      <c r="P41" s="147">
        <f t="shared" si="9"/>
        <v>0</v>
      </c>
      <c r="Q41" s="147">
        <f t="shared" si="10"/>
        <v>0</v>
      </c>
      <c r="R41" s="147">
        <f t="shared" si="11"/>
        <v>1</v>
      </c>
      <c r="S41" s="147">
        <f t="shared" si="12"/>
        <v>0</v>
      </c>
      <c r="T41" s="147">
        <f t="shared" si="13"/>
        <v>0</v>
      </c>
      <c r="U41" s="147">
        <f t="shared" si="14"/>
        <v>0</v>
      </c>
      <c r="V41" s="147">
        <f t="shared" si="15"/>
        <v>0</v>
      </c>
      <c r="W41" s="129">
        <v>1</v>
      </c>
      <c r="X41" s="144" t="str">
        <f t="shared" si="16"/>
        <v>WEEKEND</v>
      </c>
      <c r="Y41" s="148">
        <v>5.166666666666667</v>
      </c>
      <c r="Z41" s="144" t="s">
        <v>45</v>
      </c>
      <c r="AA41" s="149">
        <v>1152.5</v>
      </c>
      <c r="AB41" s="149">
        <v>179.999664</v>
      </c>
      <c r="AC41" s="149">
        <v>223.06451612903226</v>
      </c>
      <c r="AD41" s="156">
        <v>34.838644645161288</v>
      </c>
      <c r="AE41" s="149" t="str">
        <f>IFERROR(_xlfn.XLOOKUP(DATA_MASTER[[#This Row],[DATE]],RODEO[DATE],RODEO[ARTIST]),"")</f>
        <v/>
      </c>
      <c r="AF41" s="172">
        <f>IF(DATA_MASTER[[#This Row],[RODEO_ARTIST]]="",0,1)</f>
        <v>0</v>
      </c>
      <c r="AG41" t="str">
        <f>IFERROR(RIGHT(_xlfn.XLOOKUP(DATA_MASTER[[#This Row],[DATE]],ASTROS[DATE],ASTROS[OPPONENT]),LEN(_xlfn.XLOOKUP(DATA_MASTER[[#This Row],[DATE]],ASTROS[DATE],ASTROS[OPPONENT]))-3),"NO GAME")</f>
        <v>Seattle Mariners</v>
      </c>
      <c r="AH41">
        <f>IF(DATA_MASTER[[#This Row],[ASTROS_GAME]]="NO GAME",0,1)</f>
        <v>1</v>
      </c>
      <c r="AI41">
        <f>_xlfn.XLOOKUP(DATA_MASTER[[#This Row],[DATE]],WEATHER[DATE],WEATHER[tempmax])</f>
        <v>100.4</v>
      </c>
      <c r="AJ41">
        <f>_xlfn.XLOOKUP(DATA_MASTER[[#This Row],[DATE]],WEATHER[DATE],WEATHER[precip])</f>
        <v>0</v>
      </c>
      <c r="AQ41"/>
      <c r="AR41"/>
      <c r="AS41"/>
    </row>
    <row r="42" spans="1:45" x14ac:dyDescent="0.35">
      <c r="A42" s="155">
        <v>45157</v>
      </c>
      <c r="B42" s="144" t="s">
        <v>46</v>
      </c>
      <c r="C42" s="144" t="s">
        <v>49</v>
      </c>
      <c r="D42" s="144" t="s">
        <v>54</v>
      </c>
      <c r="E42" s="145">
        <f t="shared" si="17"/>
        <v>1</v>
      </c>
      <c r="F42" s="146">
        <f t="shared" si="0"/>
        <v>0</v>
      </c>
      <c r="G42" s="146">
        <f t="shared" si="1"/>
        <v>0</v>
      </c>
      <c r="H42" s="146">
        <f t="shared" si="2"/>
        <v>0</v>
      </c>
      <c r="I42" s="146">
        <f t="shared" si="3"/>
        <v>0</v>
      </c>
      <c r="J42" s="146">
        <f t="shared" si="4"/>
        <v>0</v>
      </c>
      <c r="K42" s="146">
        <f t="shared" si="5"/>
        <v>1</v>
      </c>
      <c r="L42" s="147">
        <f t="shared" si="18"/>
        <v>0</v>
      </c>
      <c r="M42" s="147">
        <f t="shared" si="6"/>
        <v>0</v>
      </c>
      <c r="N42" s="147">
        <f t="shared" si="7"/>
        <v>0</v>
      </c>
      <c r="O42" s="147">
        <f t="shared" si="8"/>
        <v>0</v>
      </c>
      <c r="P42" s="147">
        <f t="shared" si="9"/>
        <v>0</v>
      </c>
      <c r="Q42" s="147">
        <f t="shared" si="10"/>
        <v>0</v>
      </c>
      <c r="R42" s="147">
        <f t="shared" si="11"/>
        <v>1</v>
      </c>
      <c r="S42" s="147">
        <f t="shared" si="12"/>
        <v>0</v>
      </c>
      <c r="T42" s="147">
        <f t="shared" si="13"/>
        <v>0</v>
      </c>
      <c r="U42" s="147">
        <f t="shared" si="14"/>
        <v>0</v>
      </c>
      <c r="V42" s="147">
        <f t="shared" si="15"/>
        <v>0</v>
      </c>
      <c r="W42" s="129">
        <v>1</v>
      </c>
      <c r="X42" s="144" t="str">
        <f t="shared" si="16"/>
        <v>WEEKEND</v>
      </c>
      <c r="Y42" s="148">
        <v>6.4666666666666668</v>
      </c>
      <c r="Z42" s="144" t="s">
        <v>45</v>
      </c>
      <c r="AA42" s="149">
        <v>1761.5</v>
      </c>
      <c r="AB42" s="149">
        <v>316.70870400000001</v>
      </c>
      <c r="AC42" s="149">
        <v>272.39690721649487</v>
      </c>
      <c r="AD42" s="156">
        <v>48.975572783505157</v>
      </c>
      <c r="AE42" s="149" t="str">
        <f>IFERROR(_xlfn.XLOOKUP(DATA_MASTER[[#This Row],[DATE]],RODEO[DATE],RODEO[ARTIST]),"")</f>
        <v/>
      </c>
      <c r="AF42" s="172">
        <f>IF(DATA_MASTER[[#This Row],[RODEO_ARTIST]]="",0,1)</f>
        <v>0</v>
      </c>
      <c r="AG42" t="str">
        <f>IFERROR(RIGHT(_xlfn.XLOOKUP(DATA_MASTER[[#This Row],[DATE]],ASTROS[DATE],ASTROS[OPPONENT]),LEN(_xlfn.XLOOKUP(DATA_MASTER[[#This Row],[DATE]],ASTROS[DATE],ASTROS[OPPONENT]))-3),"NO GAME")</f>
        <v>Seattle Mariners</v>
      </c>
      <c r="AH42">
        <f>IF(DATA_MASTER[[#This Row],[ASTROS_GAME]]="NO GAME",0,1)</f>
        <v>1</v>
      </c>
      <c r="AI42">
        <f>_xlfn.XLOOKUP(DATA_MASTER[[#This Row],[DATE]],WEATHER[DATE],WEATHER[tempmax])</f>
        <v>100.7</v>
      </c>
      <c r="AJ42">
        <f>_xlfn.XLOOKUP(DATA_MASTER[[#This Row],[DATE]],WEATHER[DATE],WEATHER[precip])</f>
        <v>0</v>
      </c>
      <c r="AQ42"/>
      <c r="AR42"/>
      <c r="AS42"/>
    </row>
    <row r="43" spans="1:45" x14ac:dyDescent="0.35">
      <c r="A43" s="155">
        <v>45159</v>
      </c>
      <c r="B43" s="144" t="s">
        <v>42</v>
      </c>
      <c r="C43" s="144" t="s">
        <v>51</v>
      </c>
      <c r="D43" s="144" t="s">
        <v>54</v>
      </c>
      <c r="E43" s="145">
        <f t="shared" si="17"/>
        <v>0</v>
      </c>
      <c r="F43" s="146">
        <f t="shared" si="0"/>
        <v>0</v>
      </c>
      <c r="G43" s="146">
        <f t="shared" si="1"/>
        <v>1</v>
      </c>
      <c r="H43" s="146">
        <f t="shared" si="2"/>
        <v>0</v>
      </c>
      <c r="I43" s="146">
        <f t="shared" si="3"/>
        <v>0</v>
      </c>
      <c r="J43" s="146">
        <f t="shared" si="4"/>
        <v>0</v>
      </c>
      <c r="K43" s="146">
        <f t="shared" si="5"/>
        <v>0</v>
      </c>
      <c r="L43" s="147">
        <f t="shared" si="18"/>
        <v>0</v>
      </c>
      <c r="M43" s="147">
        <f t="shared" si="6"/>
        <v>0</v>
      </c>
      <c r="N43" s="147">
        <f t="shared" si="7"/>
        <v>0</v>
      </c>
      <c r="O43" s="147">
        <f t="shared" si="8"/>
        <v>0</v>
      </c>
      <c r="P43" s="147">
        <f t="shared" si="9"/>
        <v>0</v>
      </c>
      <c r="Q43" s="147">
        <f t="shared" si="10"/>
        <v>0</v>
      </c>
      <c r="R43" s="147">
        <f t="shared" si="11"/>
        <v>1</v>
      </c>
      <c r="S43" s="147">
        <f t="shared" si="12"/>
        <v>0</v>
      </c>
      <c r="T43" s="147">
        <f t="shared" si="13"/>
        <v>0</v>
      </c>
      <c r="U43" s="147">
        <f t="shared" si="14"/>
        <v>0</v>
      </c>
      <c r="V43" s="147">
        <f t="shared" si="15"/>
        <v>0</v>
      </c>
      <c r="W43" s="129">
        <v>0</v>
      </c>
      <c r="X43" s="144" t="str">
        <f t="shared" si="16"/>
        <v>WEEKDAY</v>
      </c>
      <c r="Y43" s="148">
        <v>4.7833333333333332</v>
      </c>
      <c r="Z43" s="144" t="s">
        <v>45</v>
      </c>
      <c r="AA43" s="149">
        <v>910</v>
      </c>
      <c r="AB43" s="149">
        <v>148.91608400000001</v>
      </c>
      <c r="AC43" s="149">
        <v>190.2439024390244</v>
      </c>
      <c r="AD43" s="156">
        <v>31.132282369337982</v>
      </c>
      <c r="AE43" s="149" t="str">
        <f>IFERROR(_xlfn.XLOOKUP(DATA_MASTER[[#This Row],[DATE]],RODEO[DATE],RODEO[ARTIST]),"")</f>
        <v/>
      </c>
      <c r="AF43" s="172">
        <f>IF(DATA_MASTER[[#This Row],[RODEO_ARTIST]]="",0,1)</f>
        <v>0</v>
      </c>
      <c r="AG43" t="str">
        <f>IFERROR(RIGHT(_xlfn.XLOOKUP(DATA_MASTER[[#This Row],[DATE]],ASTROS[DATE],ASTROS[OPPONENT]),LEN(_xlfn.XLOOKUP(DATA_MASTER[[#This Row],[DATE]],ASTROS[DATE],ASTROS[OPPONENT]))-3),"NO GAME")</f>
        <v>Boston Red Sox</v>
      </c>
      <c r="AH43">
        <f>IF(DATA_MASTER[[#This Row],[ASTROS_GAME]]="NO GAME",0,1)</f>
        <v>1</v>
      </c>
      <c r="AI43">
        <f>_xlfn.XLOOKUP(DATA_MASTER[[#This Row],[DATE]],WEATHER[DATE],WEATHER[tempmax])</f>
        <v>95.1</v>
      </c>
      <c r="AJ43">
        <f>_xlfn.XLOOKUP(DATA_MASTER[[#This Row],[DATE]],WEATHER[DATE],WEATHER[precip])</f>
        <v>0</v>
      </c>
      <c r="AQ43"/>
      <c r="AR43"/>
      <c r="AS43"/>
    </row>
    <row r="44" spans="1:45" x14ac:dyDescent="0.35">
      <c r="A44" s="155">
        <v>45160</v>
      </c>
      <c r="B44" s="144" t="s">
        <v>42</v>
      </c>
      <c r="C44" s="144" t="s">
        <v>52</v>
      </c>
      <c r="D44" s="144" t="s">
        <v>54</v>
      </c>
      <c r="E44" s="145">
        <f t="shared" si="17"/>
        <v>0</v>
      </c>
      <c r="F44" s="146">
        <f t="shared" si="0"/>
        <v>0</v>
      </c>
      <c r="G44" s="146">
        <f t="shared" si="1"/>
        <v>0</v>
      </c>
      <c r="H44" s="146">
        <f t="shared" si="2"/>
        <v>0</v>
      </c>
      <c r="I44" s="146">
        <f t="shared" si="3"/>
        <v>0</v>
      </c>
      <c r="J44" s="146">
        <f t="shared" si="4"/>
        <v>0</v>
      </c>
      <c r="K44" s="146">
        <f t="shared" si="5"/>
        <v>0</v>
      </c>
      <c r="L44" s="147">
        <f t="shared" si="18"/>
        <v>0</v>
      </c>
      <c r="M44" s="147">
        <f t="shared" si="6"/>
        <v>0</v>
      </c>
      <c r="N44" s="147">
        <f t="shared" si="7"/>
        <v>0</v>
      </c>
      <c r="O44" s="147">
        <f t="shared" si="8"/>
        <v>0</v>
      </c>
      <c r="P44" s="147">
        <f t="shared" si="9"/>
        <v>0</v>
      </c>
      <c r="Q44" s="147">
        <f t="shared" si="10"/>
        <v>0</v>
      </c>
      <c r="R44" s="147">
        <f t="shared" si="11"/>
        <v>1</v>
      </c>
      <c r="S44" s="147">
        <f t="shared" si="12"/>
        <v>0</v>
      </c>
      <c r="T44" s="147">
        <f t="shared" si="13"/>
        <v>0</v>
      </c>
      <c r="U44" s="147">
        <f t="shared" si="14"/>
        <v>0</v>
      </c>
      <c r="V44" s="147">
        <f t="shared" si="15"/>
        <v>0</v>
      </c>
      <c r="W44" s="129">
        <v>0</v>
      </c>
      <c r="X44" s="144" t="str">
        <f t="shared" si="16"/>
        <v>WEEKDAY</v>
      </c>
      <c r="Y44" s="148">
        <v>5.5666666666666664</v>
      </c>
      <c r="Z44" s="144" t="s">
        <v>55</v>
      </c>
      <c r="AA44" s="149">
        <v>942</v>
      </c>
      <c r="AB44" s="149">
        <v>169.04360800000001</v>
      </c>
      <c r="AC44" s="149">
        <v>169.22155688622755</v>
      </c>
      <c r="AD44" s="156">
        <v>30.367115209580842</v>
      </c>
      <c r="AE44" s="149" t="str">
        <f>IFERROR(_xlfn.XLOOKUP(DATA_MASTER[[#This Row],[DATE]],RODEO[DATE],RODEO[ARTIST]),"")</f>
        <v/>
      </c>
      <c r="AF44" s="172">
        <f>IF(DATA_MASTER[[#This Row],[RODEO_ARTIST]]="",0,1)</f>
        <v>0</v>
      </c>
      <c r="AG44" t="str">
        <f>IFERROR(RIGHT(_xlfn.XLOOKUP(DATA_MASTER[[#This Row],[DATE]],ASTROS[DATE],ASTROS[OPPONENT]),LEN(_xlfn.XLOOKUP(DATA_MASTER[[#This Row],[DATE]],ASTROS[DATE],ASTROS[OPPONENT]))-3),"NO GAME")</f>
        <v>Boston Red Sox</v>
      </c>
      <c r="AH44">
        <f>IF(DATA_MASTER[[#This Row],[ASTROS_GAME]]="NO GAME",0,1)</f>
        <v>1</v>
      </c>
      <c r="AI44">
        <f>_xlfn.XLOOKUP(DATA_MASTER[[#This Row],[DATE]],WEATHER[DATE],WEATHER[tempmax])</f>
        <v>91.4</v>
      </c>
      <c r="AJ44">
        <f>_xlfn.XLOOKUP(DATA_MASTER[[#This Row],[DATE]],WEATHER[DATE],WEATHER[precip])</f>
        <v>1.4E-2</v>
      </c>
      <c r="AQ44"/>
      <c r="AR44"/>
      <c r="AS44"/>
    </row>
    <row r="45" spans="1:45" x14ac:dyDescent="0.35">
      <c r="A45" s="155">
        <v>45160</v>
      </c>
      <c r="B45" s="144" t="s">
        <v>46</v>
      </c>
      <c r="C45" s="144" t="s">
        <v>52</v>
      </c>
      <c r="D45" s="144" t="s">
        <v>54</v>
      </c>
      <c r="E45" s="145">
        <f t="shared" si="17"/>
        <v>1</v>
      </c>
      <c r="F45" s="146">
        <f t="shared" si="0"/>
        <v>0</v>
      </c>
      <c r="G45" s="146">
        <f t="shared" si="1"/>
        <v>0</v>
      </c>
      <c r="H45" s="146">
        <f t="shared" si="2"/>
        <v>0</v>
      </c>
      <c r="I45" s="146">
        <f t="shared" si="3"/>
        <v>0</v>
      </c>
      <c r="J45" s="146">
        <f t="shared" si="4"/>
        <v>0</v>
      </c>
      <c r="K45" s="146">
        <f t="shared" si="5"/>
        <v>0</v>
      </c>
      <c r="L45" s="147">
        <f t="shared" si="18"/>
        <v>0</v>
      </c>
      <c r="M45" s="147">
        <f t="shared" si="6"/>
        <v>0</v>
      </c>
      <c r="N45" s="147">
        <f t="shared" si="7"/>
        <v>0</v>
      </c>
      <c r="O45" s="147">
        <f t="shared" si="8"/>
        <v>0</v>
      </c>
      <c r="P45" s="147">
        <f t="shared" si="9"/>
        <v>0</v>
      </c>
      <c r="Q45" s="147">
        <f t="shared" si="10"/>
        <v>0</v>
      </c>
      <c r="R45" s="147">
        <f t="shared" si="11"/>
        <v>1</v>
      </c>
      <c r="S45" s="147">
        <f t="shared" si="12"/>
        <v>0</v>
      </c>
      <c r="T45" s="147">
        <f t="shared" si="13"/>
        <v>0</v>
      </c>
      <c r="U45" s="147">
        <f t="shared" si="14"/>
        <v>0</v>
      </c>
      <c r="V45" s="147">
        <f t="shared" si="15"/>
        <v>0</v>
      </c>
      <c r="W45" s="129">
        <v>0</v>
      </c>
      <c r="X45" s="144" t="str">
        <f t="shared" si="16"/>
        <v>WEEKDAY</v>
      </c>
      <c r="Y45" s="148">
        <v>3.95</v>
      </c>
      <c r="Z45" s="144" t="s">
        <v>55</v>
      </c>
      <c r="AA45" s="149">
        <v>405</v>
      </c>
      <c r="AB45" s="149">
        <v>65.265259999999998</v>
      </c>
      <c r="AC45" s="149">
        <v>102.53164556962025</v>
      </c>
      <c r="AD45" s="156">
        <v>16.522850632911393</v>
      </c>
      <c r="AE45" s="149" t="str">
        <f>IFERROR(_xlfn.XLOOKUP(DATA_MASTER[[#This Row],[DATE]],RODEO[DATE],RODEO[ARTIST]),"")</f>
        <v/>
      </c>
      <c r="AF45" s="172">
        <f>IF(DATA_MASTER[[#This Row],[RODEO_ARTIST]]="",0,1)</f>
        <v>0</v>
      </c>
      <c r="AG45" t="str">
        <f>IFERROR(RIGHT(_xlfn.XLOOKUP(DATA_MASTER[[#This Row],[DATE]],ASTROS[DATE],ASTROS[OPPONENT]),LEN(_xlfn.XLOOKUP(DATA_MASTER[[#This Row],[DATE]],ASTROS[DATE],ASTROS[OPPONENT]))-3),"NO GAME")</f>
        <v>Boston Red Sox</v>
      </c>
      <c r="AH45">
        <f>IF(DATA_MASTER[[#This Row],[ASTROS_GAME]]="NO GAME",0,1)</f>
        <v>1</v>
      </c>
      <c r="AI45">
        <f>_xlfn.XLOOKUP(DATA_MASTER[[#This Row],[DATE]],WEATHER[DATE],WEATHER[tempmax])</f>
        <v>91.4</v>
      </c>
      <c r="AJ45">
        <f>_xlfn.XLOOKUP(DATA_MASTER[[#This Row],[DATE]],WEATHER[DATE],WEATHER[precip])</f>
        <v>1.4E-2</v>
      </c>
      <c r="AQ45"/>
      <c r="AR45"/>
      <c r="AS45"/>
    </row>
    <row r="46" spans="1:45" x14ac:dyDescent="0.35">
      <c r="A46" s="155">
        <v>45161</v>
      </c>
      <c r="B46" s="144" t="s">
        <v>42</v>
      </c>
      <c r="C46" s="144" t="s">
        <v>44</v>
      </c>
      <c r="D46" s="144" t="s">
        <v>54</v>
      </c>
      <c r="E46" s="145">
        <f t="shared" si="17"/>
        <v>0</v>
      </c>
      <c r="F46" s="146">
        <f t="shared" si="0"/>
        <v>0</v>
      </c>
      <c r="G46" s="146">
        <f t="shared" si="1"/>
        <v>0</v>
      </c>
      <c r="H46" s="146">
        <f t="shared" si="2"/>
        <v>1</v>
      </c>
      <c r="I46" s="146">
        <f t="shared" si="3"/>
        <v>0</v>
      </c>
      <c r="J46" s="146">
        <f t="shared" si="4"/>
        <v>0</v>
      </c>
      <c r="K46" s="146">
        <f t="shared" si="5"/>
        <v>0</v>
      </c>
      <c r="L46" s="147">
        <f t="shared" si="18"/>
        <v>0</v>
      </c>
      <c r="M46" s="147">
        <f t="shared" si="6"/>
        <v>0</v>
      </c>
      <c r="N46" s="147">
        <f t="shared" si="7"/>
        <v>0</v>
      </c>
      <c r="O46" s="147">
        <f t="shared" si="8"/>
        <v>0</v>
      </c>
      <c r="P46" s="147">
        <f t="shared" si="9"/>
        <v>0</v>
      </c>
      <c r="Q46" s="147">
        <f t="shared" si="10"/>
        <v>0</v>
      </c>
      <c r="R46" s="147">
        <f t="shared" si="11"/>
        <v>1</v>
      </c>
      <c r="S46" s="147">
        <f t="shared" si="12"/>
        <v>0</v>
      </c>
      <c r="T46" s="147">
        <f t="shared" si="13"/>
        <v>0</v>
      </c>
      <c r="U46" s="147">
        <f t="shared" si="14"/>
        <v>0</v>
      </c>
      <c r="V46" s="147">
        <f t="shared" si="15"/>
        <v>0</v>
      </c>
      <c r="W46" s="129">
        <v>0</v>
      </c>
      <c r="X46" s="144" t="str">
        <f t="shared" si="16"/>
        <v>WEEKDAY</v>
      </c>
      <c r="Y46" s="148">
        <v>3.45</v>
      </c>
      <c r="Z46" s="144" t="s">
        <v>55</v>
      </c>
      <c r="AA46" s="149">
        <v>524</v>
      </c>
      <c r="AB46" s="149">
        <v>82.299660000000003</v>
      </c>
      <c r="AC46" s="149">
        <v>151.88405797101447</v>
      </c>
      <c r="AD46" s="156">
        <v>23.854973913043477</v>
      </c>
      <c r="AE46" s="149" t="str">
        <f>IFERROR(_xlfn.XLOOKUP(DATA_MASTER[[#This Row],[DATE]],RODEO[DATE],RODEO[ARTIST]),"")</f>
        <v/>
      </c>
      <c r="AF46" s="172">
        <f>IF(DATA_MASTER[[#This Row],[RODEO_ARTIST]]="",0,1)</f>
        <v>0</v>
      </c>
      <c r="AG46" t="str">
        <f>IFERROR(RIGHT(_xlfn.XLOOKUP(DATA_MASTER[[#This Row],[DATE]],ASTROS[DATE],ASTROS[OPPONENT]),LEN(_xlfn.XLOOKUP(DATA_MASTER[[#This Row],[DATE]],ASTROS[DATE],ASTROS[OPPONENT]))-3),"NO GAME")</f>
        <v>Boston Red Sox</v>
      </c>
      <c r="AH46">
        <f>IF(DATA_MASTER[[#This Row],[ASTROS_GAME]]="NO GAME",0,1)</f>
        <v>1</v>
      </c>
      <c r="AI46">
        <f>_xlfn.XLOOKUP(DATA_MASTER[[#This Row],[DATE]],WEATHER[DATE],WEATHER[tempmax])</f>
        <v>98.8</v>
      </c>
      <c r="AJ46">
        <f>_xlfn.XLOOKUP(DATA_MASTER[[#This Row],[DATE]],WEATHER[DATE],WEATHER[precip])</f>
        <v>0</v>
      </c>
      <c r="AQ46"/>
      <c r="AR46"/>
      <c r="AS46"/>
    </row>
    <row r="47" spans="1:45" x14ac:dyDescent="0.35">
      <c r="A47" s="155">
        <v>45161</v>
      </c>
      <c r="B47" s="144" t="s">
        <v>46</v>
      </c>
      <c r="C47" s="144" t="s">
        <v>44</v>
      </c>
      <c r="D47" s="144" t="s">
        <v>54</v>
      </c>
      <c r="E47" s="145">
        <f t="shared" si="17"/>
        <v>1</v>
      </c>
      <c r="F47" s="146">
        <f t="shared" si="0"/>
        <v>0</v>
      </c>
      <c r="G47" s="146">
        <f t="shared" si="1"/>
        <v>0</v>
      </c>
      <c r="H47" s="146">
        <f t="shared" si="2"/>
        <v>1</v>
      </c>
      <c r="I47" s="146">
        <f t="shared" si="3"/>
        <v>0</v>
      </c>
      <c r="J47" s="146">
        <f t="shared" si="4"/>
        <v>0</v>
      </c>
      <c r="K47" s="146">
        <f t="shared" si="5"/>
        <v>0</v>
      </c>
      <c r="L47" s="147">
        <f t="shared" si="18"/>
        <v>0</v>
      </c>
      <c r="M47" s="147">
        <f t="shared" si="6"/>
        <v>0</v>
      </c>
      <c r="N47" s="147">
        <f t="shared" si="7"/>
        <v>0</v>
      </c>
      <c r="O47" s="147">
        <f t="shared" si="8"/>
        <v>0</v>
      </c>
      <c r="P47" s="147">
        <f t="shared" si="9"/>
        <v>0</v>
      </c>
      <c r="Q47" s="147">
        <f t="shared" si="10"/>
        <v>0</v>
      </c>
      <c r="R47" s="147">
        <f t="shared" si="11"/>
        <v>1</v>
      </c>
      <c r="S47" s="147">
        <f t="shared" si="12"/>
        <v>0</v>
      </c>
      <c r="T47" s="147">
        <f t="shared" si="13"/>
        <v>0</v>
      </c>
      <c r="U47" s="147">
        <f t="shared" si="14"/>
        <v>0</v>
      </c>
      <c r="V47" s="147">
        <f t="shared" si="15"/>
        <v>0</v>
      </c>
      <c r="W47" s="129">
        <v>0</v>
      </c>
      <c r="X47" s="144" t="str">
        <f t="shared" si="16"/>
        <v>WEEKDAY</v>
      </c>
      <c r="Y47" s="148">
        <v>3.55</v>
      </c>
      <c r="Z47" s="144" t="s">
        <v>55</v>
      </c>
      <c r="AA47" s="149">
        <v>857.5</v>
      </c>
      <c r="AB47" s="149">
        <v>151.97421999999997</v>
      </c>
      <c r="AC47" s="149">
        <v>241.5492957746479</v>
      </c>
      <c r="AD47" s="156">
        <v>42.809639436619712</v>
      </c>
      <c r="AE47" s="149" t="str">
        <f>IFERROR(_xlfn.XLOOKUP(DATA_MASTER[[#This Row],[DATE]],RODEO[DATE],RODEO[ARTIST]),"")</f>
        <v/>
      </c>
      <c r="AF47" s="172">
        <f>IF(DATA_MASTER[[#This Row],[RODEO_ARTIST]]="",0,1)</f>
        <v>0</v>
      </c>
      <c r="AG47" t="str">
        <f>IFERROR(RIGHT(_xlfn.XLOOKUP(DATA_MASTER[[#This Row],[DATE]],ASTROS[DATE],ASTROS[OPPONENT]),LEN(_xlfn.XLOOKUP(DATA_MASTER[[#This Row],[DATE]],ASTROS[DATE],ASTROS[OPPONENT]))-3),"NO GAME")</f>
        <v>Boston Red Sox</v>
      </c>
      <c r="AH47">
        <f>IF(DATA_MASTER[[#This Row],[ASTROS_GAME]]="NO GAME",0,1)</f>
        <v>1</v>
      </c>
      <c r="AI47">
        <f>_xlfn.XLOOKUP(DATA_MASTER[[#This Row],[DATE]],WEATHER[DATE],WEATHER[tempmax])</f>
        <v>98.8</v>
      </c>
      <c r="AJ47">
        <f>_xlfn.XLOOKUP(DATA_MASTER[[#This Row],[DATE]],WEATHER[DATE],WEATHER[precip])</f>
        <v>0</v>
      </c>
      <c r="AQ47"/>
      <c r="AR47"/>
      <c r="AS47"/>
    </row>
    <row r="48" spans="1:45" x14ac:dyDescent="0.35">
      <c r="A48" s="155">
        <v>45163</v>
      </c>
      <c r="B48" s="144" t="s">
        <v>46</v>
      </c>
      <c r="C48" s="144" t="s">
        <v>48</v>
      </c>
      <c r="D48" s="144" t="s">
        <v>54</v>
      </c>
      <c r="E48" s="145">
        <f t="shared" si="17"/>
        <v>1</v>
      </c>
      <c r="F48" s="146">
        <f t="shared" si="0"/>
        <v>0</v>
      </c>
      <c r="G48" s="146">
        <f t="shared" si="1"/>
        <v>0</v>
      </c>
      <c r="H48" s="146">
        <f t="shared" si="2"/>
        <v>0</v>
      </c>
      <c r="I48" s="146">
        <f t="shared" si="3"/>
        <v>0</v>
      </c>
      <c r="J48" s="146">
        <f t="shared" si="4"/>
        <v>1</v>
      </c>
      <c r="K48" s="146">
        <f t="shared" si="5"/>
        <v>0</v>
      </c>
      <c r="L48" s="147">
        <f t="shared" si="18"/>
        <v>0</v>
      </c>
      <c r="M48" s="147">
        <f t="shared" si="6"/>
        <v>0</v>
      </c>
      <c r="N48" s="147">
        <f t="shared" si="7"/>
        <v>0</v>
      </c>
      <c r="O48" s="147">
        <f t="shared" si="8"/>
        <v>0</v>
      </c>
      <c r="P48" s="147">
        <f t="shared" si="9"/>
        <v>0</v>
      </c>
      <c r="Q48" s="147">
        <f t="shared" si="10"/>
        <v>0</v>
      </c>
      <c r="R48" s="147">
        <f t="shared" si="11"/>
        <v>1</v>
      </c>
      <c r="S48" s="147">
        <f t="shared" si="12"/>
        <v>0</v>
      </c>
      <c r="T48" s="147">
        <f t="shared" si="13"/>
        <v>0</v>
      </c>
      <c r="U48" s="147">
        <f t="shared" si="14"/>
        <v>0</v>
      </c>
      <c r="V48" s="147">
        <f t="shared" si="15"/>
        <v>0</v>
      </c>
      <c r="W48" s="129">
        <v>1</v>
      </c>
      <c r="X48" s="144" t="str">
        <f t="shared" si="16"/>
        <v>WEEKEND</v>
      </c>
      <c r="Y48" s="148">
        <v>5.166666666666667</v>
      </c>
      <c r="Z48" s="144" t="s">
        <v>45</v>
      </c>
      <c r="AA48" s="149">
        <v>1320.5</v>
      </c>
      <c r="AB48" s="149">
        <v>225.458944</v>
      </c>
      <c r="AC48" s="149">
        <v>255.58064516129031</v>
      </c>
      <c r="AD48" s="156">
        <v>43.637214967741933</v>
      </c>
      <c r="AE48" s="149" t="str">
        <f>IFERROR(_xlfn.XLOOKUP(DATA_MASTER[[#This Row],[DATE]],RODEO[DATE],RODEO[ARTIST]),"")</f>
        <v/>
      </c>
      <c r="AF48" s="172">
        <f>IF(DATA_MASTER[[#This Row],[RODEO_ARTIST]]="",0,1)</f>
        <v>0</v>
      </c>
      <c r="AG48" t="str">
        <f>IFERROR(RIGHT(_xlfn.XLOOKUP(DATA_MASTER[[#This Row],[DATE]],ASTROS[DATE],ASTROS[OPPONENT]),LEN(_xlfn.XLOOKUP(DATA_MASTER[[#This Row],[DATE]],ASTROS[DATE],ASTROS[OPPONENT]))-3),"NO GAME")</f>
        <v>NO GAME</v>
      </c>
      <c r="AH48">
        <f>IF(DATA_MASTER[[#This Row],[ASTROS_GAME]]="NO GAME",0,1)</f>
        <v>0</v>
      </c>
      <c r="AI48">
        <f>_xlfn.XLOOKUP(DATA_MASTER[[#This Row],[DATE]],WEATHER[DATE],WEATHER[tempmax])</f>
        <v>98.7</v>
      </c>
      <c r="AJ48">
        <f>_xlfn.XLOOKUP(DATA_MASTER[[#This Row],[DATE]],WEATHER[DATE],WEATHER[precip])</f>
        <v>0</v>
      </c>
      <c r="AQ48"/>
      <c r="AR48"/>
      <c r="AS48"/>
    </row>
    <row r="49" spans="1:45" x14ac:dyDescent="0.35">
      <c r="A49" s="155">
        <v>45164</v>
      </c>
      <c r="B49" s="144" t="s">
        <v>42</v>
      </c>
      <c r="C49" s="144" t="s">
        <v>49</v>
      </c>
      <c r="D49" s="144" t="s">
        <v>54</v>
      </c>
      <c r="E49" s="145">
        <f t="shared" si="17"/>
        <v>0</v>
      </c>
      <c r="F49" s="146">
        <f t="shared" si="0"/>
        <v>0</v>
      </c>
      <c r="G49" s="146">
        <f t="shared" si="1"/>
        <v>0</v>
      </c>
      <c r="H49" s="146">
        <f t="shared" si="2"/>
        <v>0</v>
      </c>
      <c r="I49" s="146">
        <f t="shared" si="3"/>
        <v>0</v>
      </c>
      <c r="J49" s="146">
        <f t="shared" si="4"/>
        <v>0</v>
      </c>
      <c r="K49" s="146">
        <f t="shared" si="5"/>
        <v>1</v>
      </c>
      <c r="L49" s="147">
        <f t="shared" si="18"/>
        <v>0</v>
      </c>
      <c r="M49" s="147">
        <f t="shared" si="6"/>
        <v>0</v>
      </c>
      <c r="N49" s="147">
        <f t="shared" si="7"/>
        <v>0</v>
      </c>
      <c r="O49" s="147">
        <f t="shared" si="8"/>
        <v>0</v>
      </c>
      <c r="P49" s="147">
        <f t="shared" si="9"/>
        <v>0</v>
      </c>
      <c r="Q49" s="147">
        <f t="shared" si="10"/>
        <v>0</v>
      </c>
      <c r="R49" s="147">
        <f t="shared" si="11"/>
        <v>1</v>
      </c>
      <c r="S49" s="147">
        <f t="shared" si="12"/>
        <v>0</v>
      </c>
      <c r="T49" s="147">
        <f t="shared" si="13"/>
        <v>0</v>
      </c>
      <c r="U49" s="147">
        <f t="shared" si="14"/>
        <v>0</v>
      </c>
      <c r="V49" s="147">
        <f t="shared" si="15"/>
        <v>0</v>
      </c>
      <c r="W49" s="129">
        <v>1</v>
      </c>
      <c r="X49" s="144" t="str">
        <f t="shared" si="16"/>
        <v>WEEKEND</v>
      </c>
      <c r="Y49" s="148">
        <v>4.583333333333333</v>
      </c>
      <c r="Z49" s="144" t="s">
        <v>55</v>
      </c>
      <c r="AA49" s="149">
        <v>510</v>
      </c>
      <c r="AB49" s="149">
        <v>90.991011999999998</v>
      </c>
      <c r="AC49" s="149">
        <v>111.27272727272728</v>
      </c>
      <c r="AD49" s="156">
        <v>19.852584436363639</v>
      </c>
      <c r="AE49" s="149" t="str">
        <f>IFERROR(_xlfn.XLOOKUP(DATA_MASTER[[#This Row],[DATE]],RODEO[DATE],RODEO[ARTIST]),"")</f>
        <v/>
      </c>
      <c r="AF49" s="172">
        <f>IF(DATA_MASTER[[#This Row],[RODEO_ARTIST]]="",0,1)</f>
        <v>0</v>
      </c>
      <c r="AG49" t="str">
        <f>IFERROR(RIGHT(_xlfn.XLOOKUP(DATA_MASTER[[#This Row],[DATE]],ASTROS[DATE],ASTROS[OPPONENT]),LEN(_xlfn.XLOOKUP(DATA_MASTER[[#This Row],[DATE]],ASTROS[DATE],ASTROS[OPPONENT]))-3),"NO GAME")</f>
        <v>NO GAME</v>
      </c>
      <c r="AH49">
        <f>IF(DATA_MASTER[[#This Row],[ASTROS_GAME]]="NO GAME",0,1)</f>
        <v>0</v>
      </c>
      <c r="AI49">
        <f>_xlfn.XLOOKUP(DATA_MASTER[[#This Row],[DATE]],WEATHER[DATE],WEATHER[tempmax])</f>
        <v>101.4</v>
      </c>
      <c r="AJ49">
        <f>_xlfn.XLOOKUP(DATA_MASTER[[#This Row],[DATE]],WEATHER[DATE],WEATHER[precip])</f>
        <v>0</v>
      </c>
      <c r="AQ49"/>
      <c r="AR49"/>
      <c r="AS49"/>
    </row>
    <row r="50" spans="1:45" x14ac:dyDescent="0.35">
      <c r="A50" s="155">
        <v>45164</v>
      </c>
      <c r="B50" s="144" t="s">
        <v>46</v>
      </c>
      <c r="C50" s="144" t="s">
        <v>49</v>
      </c>
      <c r="D50" s="144" t="s">
        <v>54</v>
      </c>
      <c r="E50" s="145">
        <f t="shared" si="17"/>
        <v>1</v>
      </c>
      <c r="F50" s="146">
        <f t="shared" si="0"/>
        <v>0</v>
      </c>
      <c r="G50" s="146">
        <f t="shared" si="1"/>
        <v>0</v>
      </c>
      <c r="H50" s="146">
        <f t="shared" si="2"/>
        <v>0</v>
      </c>
      <c r="I50" s="146">
        <f t="shared" si="3"/>
        <v>0</v>
      </c>
      <c r="J50" s="146">
        <f t="shared" si="4"/>
        <v>0</v>
      </c>
      <c r="K50" s="146">
        <f t="shared" si="5"/>
        <v>1</v>
      </c>
      <c r="L50" s="147">
        <f t="shared" si="18"/>
        <v>0</v>
      </c>
      <c r="M50" s="147">
        <f t="shared" si="6"/>
        <v>0</v>
      </c>
      <c r="N50" s="147">
        <f t="shared" si="7"/>
        <v>0</v>
      </c>
      <c r="O50" s="147">
        <f t="shared" si="8"/>
        <v>0</v>
      </c>
      <c r="P50" s="147">
        <f t="shared" si="9"/>
        <v>0</v>
      </c>
      <c r="Q50" s="147">
        <f t="shared" si="10"/>
        <v>0</v>
      </c>
      <c r="R50" s="147">
        <f t="shared" si="11"/>
        <v>1</v>
      </c>
      <c r="S50" s="147">
        <f t="shared" si="12"/>
        <v>0</v>
      </c>
      <c r="T50" s="147">
        <f t="shared" si="13"/>
        <v>0</v>
      </c>
      <c r="U50" s="147">
        <f t="shared" si="14"/>
        <v>0</v>
      </c>
      <c r="V50" s="147">
        <f t="shared" si="15"/>
        <v>0</v>
      </c>
      <c r="W50" s="129">
        <v>1</v>
      </c>
      <c r="X50" s="144" t="str">
        <f t="shared" si="16"/>
        <v>WEEKEND</v>
      </c>
      <c r="Y50" s="148">
        <v>4.9833333333333334</v>
      </c>
      <c r="Z50" s="144" t="s">
        <v>55</v>
      </c>
      <c r="AA50" s="149">
        <v>1345.5</v>
      </c>
      <c r="AB50" s="149">
        <v>232.13966000000002</v>
      </c>
      <c r="AC50" s="149">
        <v>270</v>
      </c>
      <c r="AD50" s="156">
        <v>46.583209364548502</v>
      </c>
      <c r="AE50" s="149" t="str">
        <f>IFERROR(_xlfn.XLOOKUP(DATA_MASTER[[#This Row],[DATE]],RODEO[DATE],RODEO[ARTIST]),"")</f>
        <v/>
      </c>
      <c r="AF50" s="172">
        <f>IF(DATA_MASTER[[#This Row],[RODEO_ARTIST]]="",0,1)</f>
        <v>0</v>
      </c>
      <c r="AG50" t="str">
        <f>IFERROR(RIGHT(_xlfn.XLOOKUP(DATA_MASTER[[#This Row],[DATE]],ASTROS[DATE],ASTROS[OPPONENT]),LEN(_xlfn.XLOOKUP(DATA_MASTER[[#This Row],[DATE]],ASTROS[DATE],ASTROS[OPPONENT]))-3),"NO GAME")</f>
        <v>NO GAME</v>
      </c>
      <c r="AH50">
        <f>IF(DATA_MASTER[[#This Row],[ASTROS_GAME]]="NO GAME",0,1)</f>
        <v>0</v>
      </c>
      <c r="AI50">
        <f>_xlfn.XLOOKUP(DATA_MASTER[[#This Row],[DATE]],WEATHER[DATE],WEATHER[tempmax])</f>
        <v>101.4</v>
      </c>
      <c r="AJ50">
        <f>_xlfn.XLOOKUP(DATA_MASTER[[#This Row],[DATE]],WEATHER[DATE],WEATHER[precip])</f>
        <v>0</v>
      </c>
      <c r="AQ50"/>
      <c r="AR50"/>
      <c r="AS50"/>
    </row>
    <row r="51" spans="1:45" x14ac:dyDescent="0.35">
      <c r="A51" s="155">
        <v>45165</v>
      </c>
      <c r="B51" s="144" t="s">
        <v>42</v>
      </c>
      <c r="C51" s="144" t="s">
        <v>50</v>
      </c>
      <c r="D51" s="144" t="s">
        <v>54</v>
      </c>
      <c r="E51" s="145">
        <f t="shared" si="17"/>
        <v>0</v>
      </c>
      <c r="F51" s="146">
        <f t="shared" si="0"/>
        <v>1</v>
      </c>
      <c r="G51" s="146">
        <f t="shared" si="1"/>
        <v>0</v>
      </c>
      <c r="H51" s="146">
        <f t="shared" si="2"/>
        <v>0</v>
      </c>
      <c r="I51" s="146">
        <f t="shared" si="3"/>
        <v>0</v>
      </c>
      <c r="J51" s="146">
        <f t="shared" si="4"/>
        <v>0</v>
      </c>
      <c r="K51" s="146">
        <f t="shared" si="5"/>
        <v>0</v>
      </c>
      <c r="L51" s="147">
        <f t="shared" si="18"/>
        <v>0</v>
      </c>
      <c r="M51" s="147">
        <f t="shared" si="6"/>
        <v>0</v>
      </c>
      <c r="N51" s="147">
        <f t="shared" si="7"/>
        <v>0</v>
      </c>
      <c r="O51" s="147">
        <f t="shared" si="8"/>
        <v>0</v>
      </c>
      <c r="P51" s="147">
        <f t="shared" si="9"/>
        <v>0</v>
      </c>
      <c r="Q51" s="147">
        <f t="shared" si="10"/>
        <v>0</v>
      </c>
      <c r="R51" s="147">
        <f t="shared" si="11"/>
        <v>1</v>
      </c>
      <c r="S51" s="147">
        <f t="shared" si="12"/>
        <v>0</v>
      </c>
      <c r="T51" s="147">
        <f t="shared" si="13"/>
        <v>0</v>
      </c>
      <c r="U51" s="147">
        <f t="shared" si="14"/>
        <v>0</v>
      </c>
      <c r="V51" s="147">
        <f t="shared" si="15"/>
        <v>0</v>
      </c>
      <c r="W51" s="129">
        <v>1</v>
      </c>
      <c r="X51" s="144" t="str">
        <f t="shared" si="16"/>
        <v>WEEKEND</v>
      </c>
      <c r="Y51" s="148">
        <v>4.0583333333333336</v>
      </c>
      <c r="Z51" s="144" t="s">
        <v>55</v>
      </c>
      <c r="AA51" s="149">
        <v>1029.75</v>
      </c>
      <c r="AB51" s="149">
        <v>167.970966</v>
      </c>
      <c r="AC51" s="149">
        <v>253.73716632443529</v>
      </c>
      <c r="AD51" s="156">
        <v>41.389149733059547</v>
      </c>
      <c r="AE51" s="149" t="str">
        <f>IFERROR(_xlfn.XLOOKUP(DATA_MASTER[[#This Row],[DATE]],RODEO[DATE],RODEO[ARTIST]),"")</f>
        <v/>
      </c>
      <c r="AF51" s="172">
        <f>IF(DATA_MASTER[[#This Row],[RODEO_ARTIST]]="",0,1)</f>
        <v>0</v>
      </c>
      <c r="AG51" t="str">
        <f>IFERROR(RIGHT(_xlfn.XLOOKUP(DATA_MASTER[[#This Row],[DATE]],ASTROS[DATE],ASTROS[OPPONENT]),LEN(_xlfn.XLOOKUP(DATA_MASTER[[#This Row],[DATE]],ASTROS[DATE],ASTROS[OPPONENT]))-3),"NO GAME")</f>
        <v>NO GAME</v>
      </c>
      <c r="AH51">
        <f>IF(DATA_MASTER[[#This Row],[ASTROS_GAME]]="NO GAME",0,1)</f>
        <v>0</v>
      </c>
      <c r="AI51">
        <f>_xlfn.XLOOKUP(DATA_MASTER[[#This Row],[DATE]],WEATHER[DATE],WEATHER[tempmax])</f>
        <v>105.9</v>
      </c>
      <c r="AJ51">
        <f>_xlfn.XLOOKUP(DATA_MASTER[[#This Row],[DATE]],WEATHER[DATE],WEATHER[precip])</f>
        <v>1E-3</v>
      </c>
      <c r="AQ51"/>
      <c r="AR51"/>
      <c r="AS51"/>
    </row>
    <row r="52" spans="1:45" x14ac:dyDescent="0.35">
      <c r="A52" s="155">
        <v>45165</v>
      </c>
      <c r="B52" s="144" t="s">
        <v>46</v>
      </c>
      <c r="C52" s="144" t="s">
        <v>50</v>
      </c>
      <c r="D52" s="144" t="s">
        <v>54</v>
      </c>
      <c r="E52" s="145">
        <f t="shared" si="17"/>
        <v>1</v>
      </c>
      <c r="F52" s="146">
        <f t="shared" si="0"/>
        <v>1</v>
      </c>
      <c r="G52" s="146">
        <f t="shared" si="1"/>
        <v>0</v>
      </c>
      <c r="H52" s="146">
        <f t="shared" si="2"/>
        <v>0</v>
      </c>
      <c r="I52" s="146">
        <f t="shared" si="3"/>
        <v>0</v>
      </c>
      <c r="J52" s="146">
        <f t="shared" si="4"/>
        <v>0</v>
      </c>
      <c r="K52" s="146">
        <f t="shared" si="5"/>
        <v>0</v>
      </c>
      <c r="L52" s="147">
        <f t="shared" si="18"/>
        <v>0</v>
      </c>
      <c r="M52" s="147">
        <f t="shared" si="6"/>
        <v>0</v>
      </c>
      <c r="N52" s="147">
        <f t="shared" si="7"/>
        <v>0</v>
      </c>
      <c r="O52" s="147">
        <f t="shared" si="8"/>
        <v>0</v>
      </c>
      <c r="P52" s="147">
        <f t="shared" si="9"/>
        <v>0</v>
      </c>
      <c r="Q52" s="147">
        <f t="shared" si="10"/>
        <v>0</v>
      </c>
      <c r="R52" s="147">
        <f t="shared" si="11"/>
        <v>1</v>
      </c>
      <c r="S52" s="147">
        <f t="shared" si="12"/>
        <v>0</v>
      </c>
      <c r="T52" s="147">
        <f t="shared" si="13"/>
        <v>0</v>
      </c>
      <c r="U52" s="147">
        <f t="shared" si="14"/>
        <v>0</v>
      </c>
      <c r="V52" s="147">
        <f t="shared" si="15"/>
        <v>0</v>
      </c>
      <c r="W52" s="129">
        <v>1</v>
      </c>
      <c r="X52" s="144" t="str">
        <f t="shared" si="16"/>
        <v>WEEKEND</v>
      </c>
      <c r="Y52" s="148">
        <v>4.05</v>
      </c>
      <c r="Z52" s="144" t="s">
        <v>55</v>
      </c>
      <c r="AA52" s="149">
        <v>1029.75</v>
      </c>
      <c r="AB52" s="149">
        <v>156.953216</v>
      </c>
      <c r="AC52" s="149">
        <v>254.25925925925927</v>
      </c>
      <c r="AD52" s="156">
        <v>38.753880493827161</v>
      </c>
      <c r="AE52" s="149" t="str">
        <f>IFERROR(_xlfn.XLOOKUP(DATA_MASTER[[#This Row],[DATE]],RODEO[DATE],RODEO[ARTIST]),"")</f>
        <v/>
      </c>
      <c r="AF52" s="172">
        <f>IF(DATA_MASTER[[#This Row],[RODEO_ARTIST]]="",0,1)</f>
        <v>0</v>
      </c>
      <c r="AG52" t="str">
        <f>IFERROR(RIGHT(_xlfn.XLOOKUP(DATA_MASTER[[#This Row],[DATE]],ASTROS[DATE],ASTROS[OPPONENT]),LEN(_xlfn.XLOOKUP(DATA_MASTER[[#This Row],[DATE]],ASTROS[DATE],ASTROS[OPPONENT]))-3),"NO GAME")</f>
        <v>NO GAME</v>
      </c>
      <c r="AH52">
        <f>IF(DATA_MASTER[[#This Row],[ASTROS_GAME]]="NO GAME",0,1)</f>
        <v>0</v>
      </c>
      <c r="AI52">
        <f>_xlfn.XLOOKUP(DATA_MASTER[[#This Row],[DATE]],WEATHER[DATE],WEATHER[tempmax])</f>
        <v>105.9</v>
      </c>
      <c r="AJ52">
        <f>_xlfn.XLOOKUP(DATA_MASTER[[#This Row],[DATE]],WEATHER[DATE],WEATHER[precip])</f>
        <v>1E-3</v>
      </c>
      <c r="AQ52"/>
      <c r="AR52"/>
      <c r="AS52"/>
    </row>
    <row r="53" spans="1:45" x14ac:dyDescent="0.35">
      <c r="A53" s="155">
        <v>45166</v>
      </c>
      <c r="B53" s="144" t="s">
        <v>42</v>
      </c>
      <c r="C53" s="144" t="s">
        <v>51</v>
      </c>
      <c r="D53" s="144" t="s">
        <v>54</v>
      </c>
      <c r="E53" s="145">
        <f t="shared" si="17"/>
        <v>0</v>
      </c>
      <c r="F53" s="146">
        <f t="shared" si="0"/>
        <v>0</v>
      </c>
      <c r="G53" s="146">
        <f t="shared" si="1"/>
        <v>1</v>
      </c>
      <c r="H53" s="146">
        <f t="shared" si="2"/>
        <v>0</v>
      </c>
      <c r="I53" s="146">
        <f t="shared" si="3"/>
        <v>0</v>
      </c>
      <c r="J53" s="146">
        <f t="shared" si="4"/>
        <v>0</v>
      </c>
      <c r="K53" s="146">
        <f t="shared" si="5"/>
        <v>0</v>
      </c>
      <c r="L53" s="147">
        <f t="shared" si="18"/>
        <v>0</v>
      </c>
      <c r="M53" s="147">
        <f t="shared" si="6"/>
        <v>0</v>
      </c>
      <c r="N53" s="147">
        <f t="shared" si="7"/>
        <v>0</v>
      </c>
      <c r="O53" s="147">
        <f t="shared" si="8"/>
        <v>0</v>
      </c>
      <c r="P53" s="147">
        <f t="shared" si="9"/>
        <v>0</v>
      </c>
      <c r="Q53" s="147">
        <f t="shared" si="10"/>
        <v>0</v>
      </c>
      <c r="R53" s="147">
        <f t="shared" si="11"/>
        <v>1</v>
      </c>
      <c r="S53" s="147">
        <f t="shared" si="12"/>
        <v>0</v>
      </c>
      <c r="T53" s="147">
        <f t="shared" si="13"/>
        <v>0</v>
      </c>
      <c r="U53" s="147">
        <f t="shared" si="14"/>
        <v>0</v>
      </c>
      <c r="V53" s="147">
        <f t="shared" si="15"/>
        <v>0</v>
      </c>
      <c r="W53" s="129">
        <v>0</v>
      </c>
      <c r="X53" s="144" t="str">
        <f t="shared" si="16"/>
        <v>WEEKDAY</v>
      </c>
      <c r="Y53" s="148">
        <v>2.9833333333333334</v>
      </c>
      <c r="Z53" s="144" t="s">
        <v>55</v>
      </c>
      <c r="AA53" s="149">
        <v>281</v>
      </c>
      <c r="AB53" s="149">
        <v>52.754260000000002</v>
      </c>
      <c r="AC53" s="149">
        <v>94.189944134078203</v>
      </c>
      <c r="AD53" s="156">
        <v>17.682992178770949</v>
      </c>
      <c r="AE53" s="149" t="str">
        <f>IFERROR(_xlfn.XLOOKUP(DATA_MASTER[[#This Row],[DATE]],RODEO[DATE],RODEO[ARTIST]),"")</f>
        <v/>
      </c>
      <c r="AF53" s="172">
        <f>IF(DATA_MASTER[[#This Row],[RODEO_ARTIST]]="",0,1)</f>
        <v>0</v>
      </c>
      <c r="AG53" t="str">
        <f>IFERROR(RIGHT(_xlfn.XLOOKUP(DATA_MASTER[[#This Row],[DATE]],ASTROS[DATE],ASTROS[OPPONENT]),LEN(_xlfn.XLOOKUP(DATA_MASTER[[#This Row],[DATE]],ASTROS[DATE],ASTROS[OPPONENT]))-3),"NO GAME")</f>
        <v>NO GAME</v>
      </c>
      <c r="AH53">
        <f>IF(DATA_MASTER[[#This Row],[ASTROS_GAME]]="NO GAME",0,1)</f>
        <v>0</v>
      </c>
      <c r="AI53">
        <f>_xlfn.XLOOKUP(DATA_MASTER[[#This Row],[DATE]],WEATHER[DATE],WEATHER[tempmax])</f>
        <v>95.2</v>
      </c>
      <c r="AJ53">
        <f>_xlfn.XLOOKUP(DATA_MASTER[[#This Row],[DATE]],WEATHER[DATE],WEATHER[precip])</f>
        <v>0</v>
      </c>
      <c r="AQ53"/>
      <c r="AR53"/>
      <c r="AS53"/>
    </row>
    <row r="54" spans="1:45" x14ac:dyDescent="0.35">
      <c r="A54" s="155">
        <v>45166</v>
      </c>
      <c r="B54" s="144" t="s">
        <v>46</v>
      </c>
      <c r="C54" s="144" t="s">
        <v>51</v>
      </c>
      <c r="D54" s="144" t="s">
        <v>54</v>
      </c>
      <c r="E54" s="145">
        <f t="shared" si="17"/>
        <v>1</v>
      </c>
      <c r="F54" s="146">
        <f t="shared" si="0"/>
        <v>0</v>
      </c>
      <c r="G54" s="146">
        <f t="shared" si="1"/>
        <v>1</v>
      </c>
      <c r="H54" s="146">
        <f t="shared" si="2"/>
        <v>0</v>
      </c>
      <c r="I54" s="146">
        <f t="shared" si="3"/>
        <v>0</v>
      </c>
      <c r="J54" s="146">
        <f t="shared" si="4"/>
        <v>0</v>
      </c>
      <c r="K54" s="146">
        <f t="shared" si="5"/>
        <v>0</v>
      </c>
      <c r="L54" s="147">
        <f t="shared" si="18"/>
        <v>0</v>
      </c>
      <c r="M54" s="147">
        <f t="shared" si="6"/>
        <v>0</v>
      </c>
      <c r="N54" s="147">
        <f t="shared" si="7"/>
        <v>0</v>
      </c>
      <c r="O54" s="147">
        <f t="shared" si="8"/>
        <v>0</v>
      </c>
      <c r="P54" s="147">
        <f t="shared" si="9"/>
        <v>0</v>
      </c>
      <c r="Q54" s="147">
        <f t="shared" si="10"/>
        <v>0</v>
      </c>
      <c r="R54" s="147">
        <f t="shared" si="11"/>
        <v>1</v>
      </c>
      <c r="S54" s="147">
        <f t="shared" si="12"/>
        <v>0</v>
      </c>
      <c r="T54" s="147">
        <f t="shared" si="13"/>
        <v>0</v>
      </c>
      <c r="U54" s="147">
        <f t="shared" si="14"/>
        <v>0</v>
      </c>
      <c r="V54" s="147">
        <f t="shared" si="15"/>
        <v>0</v>
      </c>
      <c r="W54" s="129">
        <v>0</v>
      </c>
      <c r="X54" s="144" t="str">
        <f t="shared" si="16"/>
        <v>WEEKDAY</v>
      </c>
      <c r="Y54" s="148">
        <v>2.5</v>
      </c>
      <c r="Z54" s="144" t="s">
        <v>55</v>
      </c>
      <c r="AA54" s="149">
        <v>131</v>
      </c>
      <c r="AB54" s="149">
        <v>25.844839999999998</v>
      </c>
      <c r="AC54" s="149">
        <v>52.4</v>
      </c>
      <c r="AD54" s="156">
        <v>10.337935999999999</v>
      </c>
      <c r="AE54" s="149" t="str">
        <f>IFERROR(_xlfn.XLOOKUP(DATA_MASTER[[#This Row],[DATE]],RODEO[DATE],RODEO[ARTIST]),"")</f>
        <v/>
      </c>
      <c r="AF54" s="172">
        <f>IF(DATA_MASTER[[#This Row],[RODEO_ARTIST]]="",0,1)</f>
        <v>0</v>
      </c>
      <c r="AG54" t="str">
        <f>IFERROR(RIGHT(_xlfn.XLOOKUP(DATA_MASTER[[#This Row],[DATE]],ASTROS[DATE],ASTROS[OPPONENT]),LEN(_xlfn.XLOOKUP(DATA_MASTER[[#This Row],[DATE]],ASTROS[DATE],ASTROS[OPPONENT]))-3),"NO GAME")</f>
        <v>NO GAME</v>
      </c>
      <c r="AH54">
        <f>IF(DATA_MASTER[[#This Row],[ASTROS_GAME]]="NO GAME",0,1)</f>
        <v>0</v>
      </c>
      <c r="AI54">
        <f>_xlfn.XLOOKUP(DATA_MASTER[[#This Row],[DATE]],WEATHER[DATE],WEATHER[tempmax])</f>
        <v>95.2</v>
      </c>
      <c r="AJ54">
        <f>_xlfn.XLOOKUP(DATA_MASTER[[#This Row],[DATE]],WEATHER[DATE],WEATHER[precip])</f>
        <v>0</v>
      </c>
      <c r="AQ54"/>
      <c r="AR54"/>
      <c r="AS54"/>
    </row>
    <row r="55" spans="1:45" x14ac:dyDescent="0.35">
      <c r="A55" s="155">
        <v>45168</v>
      </c>
      <c r="B55" s="144" t="s">
        <v>42</v>
      </c>
      <c r="C55" s="144" t="s">
        <v>44</v>
      </c>
      <c r="D55" s="144" t="s">
        <v>54</v>
      </c>
      <c r="E55" s="145">
        <f t="shared" si="17"/>
        <v>0</v>
      </c>
      <c r="F55" s="146">
        <f t="shared" si="0"/>
        <v>0</v>
      </c>
      <c r="G55" s="146">
        <f t="shared" si="1"/>
        <v>0</v>
      </c>
      <c r="H55" s="146">
        <f t="shared" si="2"/>
        <v>1</v>
      </c>
      <c r="I55" s="146">
        <f t="shared" si="3"/>
        <v>0</v>
      </c>
      <c r="J55" s="146">
        <f t="shared" si="4"/>
        <v>0</v>
      </c>
      <c r="K55" s="146">
        <f t="shared" si="5"/>
        <v>0</v>
      </c>
      <c r="L55" s="147">
        <f t="shared" si="18"/>
        <v>0</v>
      </c>
      <c r="M55" s="147">
        <f t="shared" si="6"/>
        <v>0</v>
      </c>
      <c r="N55" s="147">
        <f t="shared" si="7"/>
        <v>0</v>
      </c>
      <c r="O55" s="147">
        <f t="shared" si="8"/>
        <v>0</v>
      </c>
      <c r="P55" s="147">
        <f t="shared" si="9"/>
        <v>0</v>
      </c>
      <c r="Q55" s="147">
        <f t="shared" si="10"/>
        <v>0</v>
      </c>
      <c r="R55" s="147">
        <f t="shared" si="11"/>
        <v>1</v>
      </c>
      <c r="S55" s="147">
        <f t="shared" si="12"/>
        <v>0</v>
      </c>
      <c r="T55" s="147">
        <f t="shared" si="13"/>
        <v>0</v>
      </c>
      <c r="U55" s="147">
        <f t="shared" si="14"/>
        <v>0</v>
      </c>
      <c r="V55" s="147">
        <f t="shared" si="15"/>
        <v>0</v>
      </c>
      <c r="W55" s="129">
        <v>0</v>
      </c>
      <c r="X55" s="144" t="str">
        <f t="shared" si="16"/>
        <v>WEEKDAY</v>
      </c>
      <c r="Y55" s="148">
        <v>3.55</v>
      </c>
      <c r="Z55" s="144" t="s">
        <v>55</v>
      </c>
      <c r="AA55" s="149">
        <v>787</v>
      </c>
      <c r="AB55" s="149">
        <v>114.16381999999999</v>
      </c>
      <c r="AC55" s="149">
        <v>221.69014084507043</v>
      </c>
      <c r="AD55" s="156">
        <v>32.158822535211264</v>
      </c>
      <c r="AE55" s="149" t="str">
        <f>IFERROR(_xlfn.XLOOKUP(DATA_MASTER[[#This Row],[DATE]],RODEO[DATE],RODEO[ARTIST]),"")</f>
        <v/>
      </c>
      <c r="AF55" s="172">
        <f>IF(DATA_MASTER[[#This Row],[RODEO_ARTIST]]="",0,1)</f>
        <v>0</v>
      </c>
      <c r="AG55" t="str">
        <f>IFERROR(RIGHT(_xlfn.XLOOKUP(DATA_MASTER[[#This Row],[DATE]],ASTROS[DATE],ASTROS[OPPONENT]),LEN(_xlfn.XLOOKUP(DATA_MASTER[[#This Row],[DATE]],ASTROS[DATE],ASTROS[OPPONENT]))-3),"NO GAME")</f>
        <v>NO GAME</v>
      </c>
      <c r="AH55">
        <f>IF(DATA_MASTER[[#This Row],[ASTROS_GAME]]="NO GAME",0,1)</f>
        <v>0</v>
      </c>
      <c r="AI55">
        <f>_xlfn.XLOOKUP(DATA_MASTER[[#This Row],[DATE]],WEATHER[DATE],WEATHER[tempmax])</f>
        <v>96.1</v>
      </c>
      <c r="AJ55">
        <f>_xlfn.XLOOKUP(DATA_MASTER[[#This Row],[DATE]],WEATHER[DATE],WEATHER[precip])</f>
        <v>0</v>
      </c>
      <c r="AQ55"/>
      <c r="AR55"/>
      <c r="AS55"/>
    </row>
    <row r="56" spans="1:45" x14ac:dyDescent="0.35">
      <c r="A56" s="155">
        <v>45168</v>
      </c>
      <c r="B56" s="144" t="s">
        <v>46</v>
      </c>
      <c r="C56" s="144" t="s">
        <v>44</v>
      </c>
      <c r="D56" s="144" t="s">
        <v>54</v>
      </c>
      <c r="E56" s="145">
        <f t="shared" si="17"/>
        <v>1</v>
      </c>
      <c r="F56" s="146">
        <f t="shared" si="0"/>
        <v>0</v>
      </c>
      <c r="G56" s="146">
        <f t="shared" si="1"/>
        <v>0</v>
      </c>
      <c r="H56" s="146">
        <f t="shared" si="2"/>
        <v>1</v>
      </c>
      <c r="I56" s="146">
        <f t="shared" si="3"/>
        <v>0</v>
      </c>
      <c r="J56" s="146">
        <f t="shared" si="4"/>
        <v>0</v>
      </c>
      <c r="K56" s="146">
        <f t="shared" si="5"/>
        <v>0</v>
      </c>
      <c r="L56" s="147">
        <f t="shared" si="18"/>
        <v>0</v>
      </c>
      <c r="M56" s="147">
        <f t="shared" si="6"/>
        <v>0</v>
      </c>
      <c r="N56" s="147">
        <f t="shared" si="7"/>
        <v>0</v>
      </c>
      <c r="O56" s="147">
        <f t="shared" si="8"/>
        <v>0</v>
      </c>
      <c r="P56" s="147">
        <f t="shared" si="9"/>
        <v>0</v>
      </c>
      <c r="Q56" s="147">
        <f t="shared" si="10"/>
        <v>0</v>
      </c>
      <c r="R56" s="147">
        <f t="shared" si="11"/>
        <v>1</v>
      </c>
      <c r="S56" s="147">
        <f t="shared" si="12"/>
        <v>0</v>
      </c>
      <c r="T56" s="147">
        <f t="shared" si="13"/>
        <v>0</v>
      </c>
      <c r="U56" s="147">
        <f t="shared" si="14"/>
        <v>0</v>
      </c>
      <c r="V56" s="147">
        <f t="shared" si="15"/>
        <v>0</v>
      </c>
      <c r="W56" s="129">
        <v>0</v>
      </c>
      <c r="X56" s="144" t="str">
        <f t="shared" si="16"/>
        <v>WEEKDAY</v>
      </c>
      <c r="Y56" s="148">
        <v>4.45</v>
      </c>
      <c r="Z56" s="144" t="s">
        <v>55</v>
      </c>
      <c r="AA56" s="149">
        <v>954.5</v>
      </c>
      <c r="AB56" s="149">
        <v>126.29014799999999</v>
      </c>
      <c r="AC56" s="149">
        <v>214.49438202247191</v>
      </c>
      <c r="AD56" s="156">
        <v>28.37980853932584</v>
      </c>
      <c r="AE56" s="149" t="str">
        <f>IFERROR(_xlfn.XLOOKUP(DATA_MASTER[[#This Row],[DATE]],RODEO[DATE],RODEO[ARTIST]),"")</f>
        <v/>
      </c>
      <c r="AF56" s="172">
        <f>IF(DATA_MASTER[[#This Row],[RODEO_ARTIST]]="",0,1)</f>
        <v>0</v>
      </c>
      <c r="AG56" t="str">
        <f>IFERROR(RIGHT(_xlfn.XLOOKUP(DATA_MASTER[[#This Row],[DATE]],ASTROS[DATE],ASTROS[OPPONENT]),LEN(_xlfn.XLOOKUP(DATA_MASTER[[#This Row],[DATE]],ASTROS[DATE],ASTROS[OPPONENT]))-3),"NO GAME")</f>
        <v>NO GAME</v>
      </c>
      <c r="AH56">
        <f>IF(DATA_MASTER[[#This Row],[ASTROS_GAME]]="NO GAME",0,1)</f>
        <v>0</v>
      </c>
      <c r="AI56">
        <f>_xlfn.XLOOKUP(DATA_MASTER[[#This Row],[DATE]],WEATHER[DATE],WEATHER[tempmax])</f>
        <v>96.1</v>
      </c>
      <c r="AJ56">
        <f>_xlfn.XLOOKUP(DATA_MASTER[[#This Row],[DATE]],WEATHER[DATE],WEATHER[precip])</f>
        <v>0</v>
      </c>
      <c r="AQ56"/>
      <c r="AR56"/>
      <c r="AS56"/>
    </row>
    <row r="57" spans="1:45" x14ac:dyDescent="0.35">
      <c r="A57" s="155">
        <v>45171</v>
      </c>
      <c r="B57" s="144" t="s">
        <v>46</v>
      </c>
      <c r="C57" s="144" t="s">
        <v>49</v>
      </c>
      <c r="D57" s="144" t="s">
        <v>56</v>
      </c>
      <c r="E57" s="145">
        <f t="shared" si="17"/>
        <v>1</v>
      </c>
      <c r="F57" s="146">
        <f t="shared" si="0"/>
        <v>0</v>
      </c>
      <c r="G57" s="146">
        <f t="shared" si="1"/>
        <v>0</v>
      </c>
      <c r="H57" s="146">
        <f t="shared" si="2"/>
        <v>0</v>
      </c>
      <c r="I57" s="146">
        <f t="shared" si="3"/>
        <v>0</v>
      </c>
      <c r="J57" s="146">
        <f t="shared" si="4"/>
        <v>0</v>
      </c>
      <c r="K57" s="146">
        <f t="shared" si="5"/>
        <v>1</v>
      </c>
      <c r="L57" s="147">
        <f t="shared" si="18"/>
        <v>0</v>
      </c>
      <c r="M57" s="147">
        <f t="shared" si="6"/>
        <v>0</v>
      </c>
      <c r="N57" s="147">
        <f t="shared" si="7"/>
        <v>0</v>
      </c>
      <c r="O57" s="147">
        <f t="shared" si="8"/>
        <v>0</v>
      </c>
      <c r="P57" s="147">
        <f t="shared" si="9"/>
        <v>0</v>
      </c>
      <c r="Q57" s="147">
        <f t="shared" si="10"/>
        <v>0</v>
      </c>
      <c r="R57" s="147">
        <f t="shared" si="11"/>
        <v>0</v>
      </c>
      <c r="S57" s="147">
        <f t="shared" si="12"/>
        <v>1</v>
      </c>
      <c r="T57" s="147">
        <f t="shared" si="13"/>
        <v>0</v>
      </c>
      <c r="U57" s="147">
        <f t="shared" si="14"/>
        <v>0</v>
      </c>
      <c r="V57" s="147">
        <f t="shared" si="15"/>
        <v>0</v>
      </c>
      <c r="W57" s="129">
        <v>1</v>
      </c>
      <c r="X57" s="144" t="str">
        <f t="shared" si="16"/>
        <v>WEEKEND</v>
      </c>
      <c r="Y57" s="148">
        <v>7.4</v>
      </c>
      <c r="Z57" s="144" t="s">
        <v>45</v>
      </c>
      <c r="AA57" s="149">
        <v>1714</v>
      </c>
      <c r="AB57" s="149">
        <v>318.34183999999999</v>
      </c>
      <c r="AC57" s="149">
        <v>231.62162162162161</v>
      </c>
      <c r="AD57" s="156">
        <v>43.019167567567564</v>
      </c>
      <c r="AE57" s="149" t="str">
        <f>IFERROR(_xlfn.XLOOKUP(DATA_MASTER[[#This Row],[DATE]],RODEO[DATE],RODEO[ARTIST]),"")</f>
        <v/>
      </c>
      <c r="AF57" s="172">
        <f>IF(DATA_MASTER[[#This Row],[RODEO_ARTIST]]="",0,1)</f>
        <v>0</v>
      </c>
      <c r="AG57" t="str">
        <f>IFERROR(RIGHT(_xlfn.XLOOKUP(DATA_MASTER[[#This Row],[DATE]],ASTROS[DATE],ASTROS[OPPONENT]),LEN(_xlfn.XLOOKUP(DATA_MASTER[[#This Row],[DATE]],ASTROS[DATE],ASTROS[OPPONENT]))-3),"NO GAME")</f>
        <v>New York Yankees</v>
      </c>
      <c r="AH57">
        <f>IF(DATA_MASTER[[#This Row],[ASTROS_GAME]]="NO GAME",0,1)</f>
        <v>1</v>
      </c>
      <c r="AI57">
        <f>_xlfn.XLOOKUP(DATA_MASTER[[#This Row],[DATE]],WEATHER[DATE],WEATHER[tempmax])</f>
        <v>96.8</v>
      </c>
      <c r="AJ57">
        <f>_xlfn.XLOOKUP(DATA_MASTER[[#This Row],[DATE]],WEATHER[DATE],WEATHER[precip])</f>
        <v>0</v>
      </c>
      <c r="AQ57"/>
      <c r="AR57"/>
      <c r="AS57"/>
    </row>
    <row r="58" spans="1:45" x14ac:dyDescent="0.35">
      <c r="A58" s="155">
        <v>45172</v>
      </c>
      <c r="B58" s="144" t="s">
        <v>46</v>
      </c>
      <c r="C58" s="144" t="s">
        <v>50</v>
      </c>
      <c r="D58" s="144" t="s">
        <v>56</v>
      </c>
      <c r="E58" s="145">
        <f t="shared" si="17"/>
        <v>1</v>
      </c>
      <c r="F58" s="146">
        <f t="shared" si="0"/>
        <v>1</v>
      </c>
      <c r="G58" s="146">
        <f t="shared" si="1"/>
        <v>0</v>
      </c>
      <c r="H58" s="146">
        <f t="shared" si="2"/>
        <v>0</v>
      </c>
      <c r="I58" s="146">
        <f t="shared" si="3"/>
        <v>0</v>
      </c>
      <c r="J58" s="146">
        <f t="shared" si="4"/>
        <v>0</v>
      </c>
      <c r="K58" s="146">
        <f t="shared" si="5"/>
        <v>0</v>
      </c>
      <c r="L58" s="147">
        <f t="shared" si="18"/>
        <v>0</v>
      </c>
      <c r="M58" s="147">
        <f t="shared" si="6"/>
        <v>0</v>
      </c>
      <c r="N58" s="147">
        <f t="shared" si="7"/>
        <v>0</v>
      </c>
      <c r="O58" s="147">
        <f t="shared" si="8"/>
        <v>0</v>
      </c>
      <c r="P58" s="147">
        <f t="shared" si="9"/>
        <v>0</v>
      </c>
      <c r="Q58" s="147">
        <f t="shared" si="10"/>
        <v>0</v>
      </c>
      <c r="R58" s="147">
        <f t="shared" si="11"/>
        <v>0</v>
      </c>
      <c r="S58" s="147">
        <f t="shared" si="12"/>
        <v>1</v>
      </c>
      <c r="T58" s="147">
        <f t="shared" si="13"/>
        <v>0</v>
      </c>
      <c r="U58" s="147">
        <f t="shared" si="14"/>
        <v>0</v>
      </c>
      <c r="V58" s="147">
        <f t="shared" si="15"/>
        <v>0</v>
      </c>
      <c r="W58" s="129">
        <v>1</v>
      </c>
      <c r="X58" s="144" t="str">
        <f t="shared" si="16"/>
        <v>WEEKEND</v>
      </c>
      <c r="Y58" s="148">
        <v>5.25</v>
      </c>
      <c r="Z58" s="144" t="s">
        <v>45</v>
      </c>
      <c r="AA58" s="149">
        <v>1227.5</v>
      </c>
      <c r="AB58" s="149">
        <v>192.6677</v>
      </c>
      <c r="AC58" s="149">
        <v>233.8095238095238</v>
      </c>
      <c r="AD58" s="156">
        <v>36.698609523809523</v>
      </c>
      <c r="AE58" s="149" t="str">
        <f>IFERROR(_xlfn.XLOOKUP(DATA_MASTER[[#This Row],[DATE]],RODEO[DATE],RODEO[ARTIST]),"")</f>
        <v/>
      </c>
      <c r="AF58" s="172">
        <f>IF(DATA_MASTER[[#This Row],[RODEO_ARTIST]]="",0,1)</f>
        <v>0</v>
      </c>
      <c r="AG58" t="str">
        <f>IFERROR(RIGHT(_xlfn.XLOOKUP(DATA_MASTER[[#This Row],[DATE]],ASTROS[DATE],ASTROS[OPPONENT]),LEN(_xlfn.XLOOKUP(DATA_MASTER[[#This Row],[DATE]],ASTROS[DATE],ASTROS[OPPONENT]))-3),"NO GAME")</f>
        <v>New York Yankees</v>
      </c>
      <c r="AH58">
        <f>IF(DATA_MASTER[[#This Row],[ASTROS_GAME]]="NO GAME",0,1)</f>
        <v>1</v>
      </c>
      <c r="AI58">
        <f>_xlfn.XLOOKUP(DATA_MASTER[[#This Row],[DATE]],WEATHER[DATE],WEATHER[tempmax])</f>
        <v>95.8</v>
      </c>
      <c r="AJ58">
        <f>_xlfn.XLOOKUP(DATA_MASTER[[#This Row],[DATE]],WEATHER[DATE],WEATHER[precip])</f>
        <v>0</v>
      </c>
      <c r="AQ58"/>
      <c r="AR58"/>
      <c r="AS58"/>
    </row>
    <row r="59" spans="1:45" x14ac:dyDescent="0.35">
      <c r="A59" s="155">
        <v>45173</v>
      </c>
      <c r="B59" s="144" t="s">
        <v>46</v>
      </c>
      <c r="C59" s="144" t="s">
        <v>51</v>
      </c>
      <c r="D59" s="144" t="s">
        <v>56</v>
      </c>
      <c r="E59" s="145">
        <f t="shared" si="17"/>
        <v>1</v>
      </c>
      <c r="F59" s="146">
        <f t="shared" si="0"/>
        <v>0</v>
      </c>
      <c r="G59" s="146">
        <f t="shared" si="1"/>
        <v>1</v>
      </c>
      <c r="H59" s="146">
        <f t="shared" si="2"/>
        <v>0</v>
      </c>
      <c r="I59" s="146">
        <f t="shared" si="3"/>
        <v>0</v>
      </c>
      <c r="J59" s="146">
        <f t="shared" si="4"/>
        <v>0</v>
      </c>
      <c r="K59" s="146">
        <f t="shared" si="5"/>
        <v>0</v>
      </c>
      <c r="L59" s="147">
        <f t="shared" si="18"/>
        <v>0</v>
      </c>
      <c r="M59" s="147">
        <f t="shared" si="6"/>
        <v>0</v>
      </c>
      <c r="N59" s="147">
        <f t="shared" si="7"/>
        <v>0</v>
      </c>
      <c r="O59" s="147">
        <f t="shared" si="8"/>
        <v>0</v>
      </c>
      <c r="P59" s="147">
        <f t="shared" si="9"/>
        <v>0</v>
      </c>
      <c r="Q59" s="147">
        <f t="shared" si="10"/>
        <v>0</v>
      </c>
      <c r="R59" s="147">
        <f t="shared" si="11"/>
        <v>0</v>
      </c>
      <c r="S59" s="147">
        <f t="shared" si="12"/>
        <v>1</v>
      </c>
      <c r="T59" s="147">
        <f t="shared" si="13"/>
        <v>0</v>
      </c>
      <c r="U59" s="147">
        <f t="shared" si="14"/>
        <v>0</v>
      </c>
      <c r="V59" s="147">
        <f t="shared" si="15"/>
        <v>0</v>
      </c>
      <c r="W59" s="129">
        <v>0</v>
      </c>
      <c r="X59" s="144" t="str">
        <f t="shared" si="16"/>
        <v>WEEKDAY</v>
      </c>
      <c r="Y59" s="148">
        <v>5.9333333333333336</v>
      </c>
      <c r="Z59" s="144" t="s">
        <v>45</v>
      </c>
      <c r="AA59" s="149">
        <v>1301.5</v>
      </c>
      <c r="AB59" s="149">
        <v>195.94261600000002</v>
      </c>
      <c r="AC59" s="149">
        <v>219.35393258426964</v>
      </c>
      <c r="AD59" s="156">
        <v>33.024036404494382</v>
      </c>
      <c r="AE59" s="149" t="str">
        <f>IFERROR(_xlfn.XLOOKUP(DATA_MASTER[[#This Row],[DATE]],RODEO[DATE],RODEO[ARTIST]),"")</f>
        <v/>
      </c>
      <c r="AF59" s="172">
        <f>IF(DATA_MASTER[[#This Row],[RODEO_ARTIST]]="",0,1)</f>
        <v>0</v>
      </c>
      <c r="AG59" t="str">
        <f>IFERROR(RIGHT(_xlfn.XLOOKUP(DATA_MASTER[[#This Row],[DATE]],ASTROS[DATE],ASTROS[OPPONENT]),LEN(_xlfn.XLOOKUP(DATA_MASTER[[#This Row],[DATE]],ASTROS[DATE],ASTROS[OPPONENT]))-3),"NO GAME")</f>
        <v>NO GAME</v>
      </c>
      <c r="AH59">
        <f>IF(DATA_MASTER[[#This Row],[ASTROS_GAME]]="NO GAME",0,1)</f>
        <v>0</v>
      </c>
      <c r="AI59">
        <f>_xlfn.XLOOKUP(DATA_MASTER[[#This Row],[DATE]],WEATHER[DATE],WEATHER[tempmax])</f>
        <v>92.5</v>
      </c>
      <c r="AJ59">
        <f>_xlfn.XLOOKUP(DATA_MASTER[[#This Row],[DATE]],WEATHER[DATE],WEATHER[precip])</f>
        <v>4.4999999999999998E-2</v>
      </c>
      <c r="AQ59"/>
      <c r="AR59"/>
      <c r="AS59"/>
    </row>
    <row r="60" spans="1:45" x14ac:dyDescent="0.35">
      <c r="A60" s="155">
        <v>45174</v>
      </c>
      <c r="B60" s="144" t="s">
        <v>46</v>
      </c>
      <c r="C60" s="144" t="s">
        <v>52</v>
      </c>
      <c r="D60" s="144" t="s">
        <v>56</v>
      </c>
      <c r="E60" s="145">
        <f t="shared" si="17"/>
        <v>1</v>
      </c>
      <c r="F60" s="146">
        <f t="shared" si="0"/>
        <v>0</v>
      </c>
      <c r="G60" s="146">
        <f t="shared" si="1"/>
        <v>0</v>
      </c>
      <c r="H60" s="146">
        <f t="shared" si="2"/>
        <v>0</v>
      </c>
      <c r="I60" s="146">
        <f t="shared" si="3"/>
        <v>0</v>
      </c>
      <c r="J60" s="146">
        <f t="shared" si="4"/>
        <v>0</v>
      </c>
      <c r="K60" s="146">
        <f t="shared" si="5"/>
        <v>0</v>
      </c>
      <c r="L60" s="147">
        <f t="shared" si="18"/>
        <v>0</v>
      </c>
      <c r="M60" s="147">
        <f t="shared" si="6"/>
        <v>0</v>
      </c>
      <c r="N60" s="147">
        <f t="shared" si="7"/>
        <v>0</v>
      </c>
      <c r="O60" s="147">
        <f t="shared" si="8"/>
        <v>0</v>
      </c>
      <c r="P60" s="147">
        <f t="shared" si="9"/>
        <v>0</v>
      </c>
      <c r="Q60" s="147">
        <f t="shared" si="10"/>
        <v>0</v>
      </c>
      <c r="R60" s="147">
        <f t="shared" si="11"/>
        <v>0</v>
      </c>
      <c r="S60" s="147">
        <f t="shared" si="12"/>
        <v>1</v>
      </c>
      <c r="T60" s="147">
        <f t="shared" si="13"/>
        <v>0</v>
      </c>
      <c r="U60" s="147">
        <f t="shared" si="14"/>
        <v>0</v>
      </c>
      <c r="V60" s="147">
        <f t="shared" si="15"/>
        <v>0</v>
      </c>
      <c r="W60" s="129">
        <v>0</v>
      </c>
      <c r="X60" s="144" t="str">
        <f t="shared" si="16"/>
        <v>WEEKDAY</v>
      </c>
      <c r="Y60" s="148">
        <v>6.1</v>
      </c>
      <c r="Z60" s="144" t="s">
        <v>45</v>
      </c>
      <c r="AA60" s="149">
        <v>950</v>
      </c>
      <c r="AB60" s="149">
        <v>149.30824799999999</v>
      </c>
      <c r="AC60" s="149">
        <v>155.73770491803279</v>
      </c>
      <c r="AD60" s="156">
        <v>24.476761967213115</v>
      </c>
      <c r="AE60" s="149" t="str">
        <f>IFERROR(_xlfn.XLOOKUP(DATA_MASTER[[#This Row],[DATE]],RODEO[DATE],RODEO[ARTIST]),"")</f>
        <v/>
      </c>
      <c r="AF60" s="172">
        <f>IF(DATA_MASTER[[#This Row],[RODEO_ARTIST]]="",0,1)</f>
        <v>0</v>
      </c>
      <c r="AG60" t="str">
        <f>IFERROR(RIGHT(_xlfn.XLOOKUP(DATA_MASTER[[#This Row],[DATE]],ASTROS[DATE],ASTROS[OPPONENT]),LEN(_xlfn.XLOOKUP(DATA_MASTER[[#This Row],[DATE]],ASTROS[DATE],ASTROS[OPPONENT]))-3),"NO GAME")</f>
        <v>NO GAME</v>
      </c>
      <c r="AH60">
        <f>IF(DATA_MASTER[[#This Row],[ASTROS_GAME]]="NO GAME",0,1)</f>
        <v>0</v>
      </c>
      <c r="AI60">
        <f>_xlfn.XLOOKUP(DATA_MASTER[[#This Row],[DATE]],WEATHER[DATE],WEATHER[tempmax])</f>
        <v>95.8</v>
      </c>
      <c r="AJ60">
        <f>_xlfn.XLOOKUP(DATA_MASTER[[#This Row],[DATE]],WEATHER[DATE],WEATHER[precip])</f>
        <v>6.0000000000000001E-3</v>
      </c>
      <c r="AQ60"/>
      <c r="AR60"/>
      <c r="AS60"/>
    </row>
    <row r="61" spans="1:45" x14ac:dyDescent="0.35">
      <c r="A61" s="155">
        <v>45175</v>
      </c>
      <c r="B61" s="144" t="s">
        <v>42</v>
      </c>
      <c r="C61" s="144" t="s">
        <v>44</v>
      </c>
      <c r="D61" s="144" t="s">
        <v>56</v>
      </c>
      <c r="E61" s="145">
        <f t="shared" si="17"/>
        <v>0</v>
      </c>
      <c r="F61" s="146">
        <f t="shared" si="0"/>
        <v>0</v>
      </c>
      <c r="G61" s="146">
        <f t="shared" si="1"/>
        <v>0</v>
      </c>
      <c r="H61" s="146">
        <f t="shared" si="2"/>
        <v>1</v>
      </c>
      <c r="I61" s="146">
        <f t="shared" si="3"/>
        <v>0</v>
      </c>
      <c r="J61" s="146">
        <f t="shared" si="4"/>
        <v>0</v>
      </c>
      <c r="K61" s="146">
        <f t="shared" si="5"/>
        <v>0</v>
      </c>
      <c r="L61" s="147">
        <f t="shared" si="18"/>
        <v>0</v>
      </c>
      <c r="M61" s="147">
        <f t="shared" si="6"/>
        <v>0</v>
      </c>
      <c r="N61" s="147">
        <f t="shared" si="7"/>
        <v>0</v>
      </c>
      <c r="O61" s="147">
        <f t="shared" si="8"/>
        <v>0</v>
      </c>
      <c r="P61" s="147">
        <f t="shared" si="9"/>
        <v>0</v>
      </c>
      <c r="Q61" s="147">
        <f t="shared" si="10"/>
        <v>0</v>
      </c>
      <c r="R61" s="147">
        <f t="shared" si="11"/>
        <v>0</v>
      </c>
      <c r="S61" s="147">
        <f t="shared" si="12"/>
        <v>1</v>
      </c>
      <c r="T61" s="147">
        <f t="shared" si="13"/>
        <v>0</v>
      </c>
      <c r="U61" s="147">
        <f t="shared" si="14"/>
        <v>0</v>
      </c>
      <c r="V61" s="147">
        <f t="shared" si="15"/>
        <v>0</v>
      </c>
      <c r="W61" s="129">
        <v>0</v>
      </c>
      <c r="X61" s="144" t="str">
        <f t="shared" si="16"/>
        <v>WEEKDAY</v>
      </c>
      <c r="Y61" s="148">
        <v>2.6666666666666665</v>
      </c>
      <c r="Z61" s="144" t="s">
        <v>45</v>
      </c>
      <c r="AA61" s="149">
        <v>223</v>
      </c>
      <c r="AB61" s="149">
        <v>42.626280000000001</v>
      </c>
      <c r="AC61" s="149">
        <v>83.625</v>
      </c>
      <c r="AD61" s="156">
        <v>15.984855000000001</v>
      </c>
      <c r="AE61" s="149" t="str">
        <f>IFERROR(_xlfn.XLOOKUP(DATA_MASTER[[#This Row],[DATE]],RODEO[DATE],RODEO[ARTIST]),"")</f>
        <v/>
      </c>
      <c r="AF61" s="172">
        <f>IF(DATA_MASTER[[#This Row],[RODEO_ARTIST]]="",0,1)</f>
        <v>0</v>
      </c>
      <c r="AG61" t="str">
        <f>IFERROR(RIGHT(_xlfn.XLOOKUP(DATA_MASTER[[#This Row],[DATE]],ASTROS[DATE],ASTROS[OPPONENT]),LEN(_xlfn.XLOOKUP(DATA_MASTER[[#This Row],[DATE]],ASTROS[DATE],ASTROS[OPPONENT]))-3),"NO GAME")</f>
        <v>NO GAME</v>
      </c>
      <c r="AH61">
        <f>IF(DATA_MASTER[[#This Row],[ASTROS_GAME]]="NO GAME",0,1)</f>
        <v>0</v>
      </c>
      <c r="AI61">
        <f>_xlfn.XLOOKUP(DATA_MASTER[[#This Row],[DATE]],WEATHER[DATE],WEATHER[tempmax])</f>
        <v>98.6</v>
      </c>
      <c r="AJ61">
        <f>_xlfn.XLOOKUP(DATA_MASTER[[#This Row],[DATE]],WEATHER[DATE],WEATHER[precip])</f>
        <v>0</v>
      </c>
      <c r="AQ61"/>
      <c r="AR61"/>
      <c r="AS61"/>
    </row>
    <row r="62" spans="1:45" x14ac:dyDescent="0.35">
      <c r="A62" s="155">
        <v>45177</v>
      </c>
      <c r="B62" s="144" t="s">
        <v>46</v>
      </c>
      <c r="C62" s="144" t="s">
        <v>48</v>
      </c>
      <c r="D62" s="144" t="s">
        <v>56</v>
      </c>
      <c r="E62" s="145">
        <f t="shared" si="17"/>
        <v>1</v>
      </c>
      <c r="F62" s="146">
        <f t="shared" si="0"/>
        <v>0</v>
      </c>
      <c r="G62" s="146">
        <f t="shared" si="1"/>
        <v>0</v>
      </c>
      <c r="H62" s="146">
        <f t="shared" si="2"/>
        <v>0</v>
      </c>
      <c r="I62" s="146">
        <f t="shared" si="3"/>
        <v>0</v>
      </c>
      <c r="J62" s="146">
        <f t="shared" si="4"/>
        <v>1</v>
      </c>
      <c r="K62" s="146">
        <f t="shared" si="5"/>
        <v>0</v>
      </c>
      <c r="L62" s="147">
        <f t="shared" si="18"/>
        <v>0</v>
      </c>
      <c r="M62" s="147">
        <f t="shared" si="6"/>
        <v>0</v>
      </c>
      <c r="N62" s="147">
        <f t="shared" si="7"/>
        <v>0</v>
      </c>
      <c r="O62" s="147">
        <f t="shared" si="8"/>
        <v>0</v>
      </c>
      <c r="P62" s="147">
        <f t="shared" si="9"/>
        <v>0</v>
      </c>
      <c r="Q62" s="147">
        <f t="shared" si="10"/>
        <v>0</v>
      </c>
      <c r="R62" s="147">
        <f t="shared" si="11"/>
        <v>0</v>
      </c>
      <c r="S62" s="147">
        <f t="shared" si="12"/>
        <v>1</v>
      </c>
      <c r="T62" s="147">
        <f t="shared" si="13"/>
        <v>0</v>
      </c>
      <c r="U62" s="147">
        <f t="shared" si="14"/>
        <v>0</v>
      </c>
      <c r="V62" s="147">
        <f t="shared" si="15"/>
        <v>0</v>
      </c>
      <c r="W62" s="129">
        <v>1</v>
      </c>
      <c r="X62" s="144" t="str">
        <f t="shared" si="16"/>
        <v>WEEKEND</v>
      </c>
      <c r="Y62" s="148">
        <v>5.6833333333333336</v>
      </c>
      <c r="Z62" s="144" t="s">
        <v>45</v>
      </c>
      <c r="AA62" s="149">
        <v>1417</v>
      </c>
      <c r="AB62" s="149">
        <v>220.24354</v>
      </c>
      <c r="AC62" s="149">
        <v>249.32551319648093</v>
      </c>
      <c r="AD62" s="156">
        <v>38.75252903225806</v>
      </c>
      <c r="AE62" s="149" t="str">
        <f>IFERROR(_xlfn.XLOOKUP(DATA_MASTER[[#This Row],[DATE]],RODEO[DATE],RODEO[ARTIST]),"")</f>
        <v/>
      </c>
      <c r="AF62" s="172">
        <f>IF(DATA_MASTER[[#This Row],[RODEO_ARTIST]]="",0,1)</f>
        <v>0</v>
      </c>
      <c r="AG62" t="str">
        <f>IFERROR(RIGHT(_xlfn.XLOOKUP(DATA_MASTER[[#This Row],[DATE]],ASTROS[DATE],ASTROS[OPPONENT]),LEN(_xlfn.XLOOKUP(DATA_MASTER[[#This Row],[DATE]],ASTROS[DATE],ASTROS[OPPONENT]))-3),"NO GAME")</f>
        <v>San Diego Padres</v>
      </c>
      <c r="AH62">
        <f>IF(DATA_MASTER[[#This Row],[ASTROS_GAME]]="NO GAME",0,1)</f>
        <v>1</v>
      </c>
      <c r="AI62">
        <f>_xlfn.XLOOKUP(DATA_MASTER[[#This Row],[DATE]],WEATHER[DATE],WEATHER[tempmax])</f>
        <v>101.6</v>
      </c>
      <c r="AJ62">
        <f>_xlfn.XLOOKUP(DATA_MASTER[[#This Row],[DATE]],WEATHER[DATE],WEATHER[precip])</f>
        <v>0</v>
      </c>
      <c r="AQ62"/>
      <c r="AR62"/>
      <c r="AS62"/>
    </row>
    <row r="63" spans="1:45" x14ac:dyDescent="0.35">
      <c r="A63" s="155">
        <v>45178</v>
      </c>
      <c r="B63" s="144" t="s">
        <v>42</v>
      </c>
      <c r="C63" s="144" t="s">
        <v>49</v>
      </c>
      <c r="D63" s="144" t="s">
        <v>56</v>
      </c>
      <c r="E63" s="145">
        <f t="shared" si="17"/>
        <v>0</v>
      </c>
      <c r="F63" s="146">
        <f t="shared" si="0"/>
        <v>0</v>
      </c>
      <c r="G63" s="146">
        <f t="shared" si="1"/>
        <v>0</v>
      </c>
      <c r="H63" s="146">
        <f t="shared" si="2"/>
        <v>0</v>
      </c>
      <c r="I63" s="146">
        <f t="shared" si="3"/>
        <v>0</v>
      </c>
      <c r="J63" s="146">
        <f t="shared" si="4"/>
        <v>0</v>
      </c>
      <c r="K63" s="146">
        <f t="shared" si="5"/>
        <v>1</v>
      </c>
      <c r="L63" s="147">
        <f t="shared" si="18"/>
        <v>0</v>
      </c>
      <c r="M63" s="147">
        <f t="shared" si="6"/>
        <v>0</v>
      </c>
      <c r="N63" s="147">
        <f t="shared" si="7"/>
        <v>0</v>
      </c>
      <c r="O63" s="147">
        <f t="shared" si="8"/>
        <v>0</v>
      </c>
      <c r="P63" s="147">
        <f t="shared" si="9"/>
        <v>0</v>
      </c>
      <c r="Q63" s="147">
        <f t="shared" si="10"/>
        <v>0</v>
      </c>
      <c r="R63" s="147">
        <f t="shared" si="11"/>
        <v>0</v>
      </c>
      <c r="S63" s="147">
        <f t="shared" si="12"/>
        <v>1</v>
      </c>
      <c r="T63" s="147">
        <f t="shared" si="13"/>
        <v>0</v>
      </c>
      <c r="U63" s="147">
        <f t="shared" si="14"/>
        <v>0</v>
      </c>
      <c r="V63" s="147">
        <f t="shared" si="15"/>
        <v>0</v>
      </c>
      <c r="W63" s="129">
        <v>1</v>
      </c>
      <c r="X63" s="144" t="str">
        <f t="shared" si="16"/>
        <v>WEEKEND</v>
      </c>
      <c r="Y63" s="148">
        <v>4.6500000000000004</v>
      </c>
      <c r="Z63" s="144" t="s">
        <v>45</v>
      </c>
      <c r="AA63" s="149">
        <v>589</v>
      </c>
      <c r="AB63" s="149">
        <v>106.108092</v>
      </c>
      <c r="AC63" s="149">
        <v>126.66666666666666</v>
      </c>
      <c r="AD63" s="156">
        <v>22.818944516129029</v>
      </c>
      <c r="AE63" s="149" t="str">
        <f>IFERROR(_xlfn.XLOOKUP(DATA_MASTER[[#This Row],[DATE]],RODEO[DATE],RODEO[ARTIST]),"")</f>
        <v/>
      </c>
      <c r="AF63" s="172">
        <f>IF(DATA_MASTER[[#This Row],[RODEO_ARTIST]]="",0,1)</f>
        <v>0</v>
      </c>
      <c r="AG63" t="str">
        <f>IFERROR(RIGHT(_xlfn.XLOOKUP(DATA_MASTER[[#This Row],[DATE]],ASTROS[DATE],ASTROS[OPPONENT]),LEN(_xlfn.XLOOKUP(DATA_MASTER[[#This Row],[DATE]],ASTROS[DATE],ASTROS[OPPONENT]))-3),"NO GAME")</f>
        <v>San Diego Padres</v>
      </c>
      <c r="AH63">
        <f>IF(DATA_MASTER[[#This Row],[ASTROS_GAME]]="NO GAME",0,1)</f>
        <v>1</v>
      </c>
      <c r="AI63">
        <f>_xlfn.XLOOKUP(DATA_MASTER[[#This Row],[DATE]],WEATHER[DATE],WEATHER[tempmax])</f>
        <v>95.1</v>
      </c>
      <c r="AJ63">
        <f>_xlfn.XLOOKUP(DATA_MASTER[[#This Row],[DATE]],WEATHER[DATE],WEATHER[precip])</f>
        <v>7.6999999999999999E-2</v>
      </c>
      <c r="AQ63"/>
      <c r="AR63"/>
      <c r="AS63"/>
    </row>
    <row r="64" spans="1:45" x14ac:dyDescent="0.35">
      <c r="A64" s="155">
        <v>45179</v>
      </c>
      <c r="B64" s="144" t="s">
        <v>42</v>
      </c>
      <c r="C64" s="144" t="s">
        <v>50</v>
      </c>
      <c r="D64" s="144" t="s">
        <v>56</v>
      </c>
      <c r="E64" s="145">
        <f t="shared" si="17"/>
        <v>0</v>
      </c>
      <c r="F64" s="146">
        <f t="shared" si="0"/>
        <v>1</v>
      </c>
      <c r="G64" s="146">
        <f t="shared" si="1"/>
        <v>0</v>
      </c>
      <c r="H64" s="146">
        <f t="shared" si="2"/>
        <v>0</v>
      </c>
      <c r="I64" s="146">
        <f t="shared" si="3"/>
        <v>0</v>
      </c>
      <c r="J64" s="146">
        <f t="shared" si="4"/>
        <v>0</v>
      </c>
      <c r="K64" s="146">
        <f t="shared" si="5"/>
        <v>0</v>
      </c>
      <c r="L64" s="147">
        <f t="shared" si="18"/>
        <v>0</v>
      </c>
      <c r="M64" s="147">
        <f t="shared" si="6"/>
        <v>0</v>
      </c>
      <c r="N64" s="147">
        <f t="shared" si="7"/>
        <v>0</v>
      </c>
      <c r="O64" s="147">
        <f t="shared" si="8"/>
        <v>0</v>
      </c>
      <c r="P64" s="147">
        <f t="shared" si="9"/>
        <v>0</v>
      </c>
      <c r="Q64" s="147">
        <f t="shared" si="10"/>
        <v>0</v>
      </c>
      <c r="R64" s="147">
        <f t="shared" si="11"/>
        <v>0</v>
      </c>
      <c r="S64" s="147">
        <f t="shared" si="12"/>
        <v>1</v>
      </c>
      <c r="T64" s="147">
        <f t="shared" si="13"/>
        <v>0</v>
      </c>
      <c r="U64" s="147">
        <f t="shared" si="14"/>
        <v>0</v>
      </c>
      <c r="V64" s="147">
        <f t="shared" si="15"/>
        <v>0</v>
      </c>
      <c r="W64" s="129">
        <v>1</v>
      </c>
      <c r="X64" s="144" t="str">
        <f t="shared" si="16"/>
        <v>WEEKEND</v>
      </c>
      <c r="Y64" s="148">
        <v>4.166666666666667</v>
      </c>
      <c r="Z64" s="144" t="s">
        <v>55</v>
      </c>
      <c r="AA64" s="149">
        <v>819.25</v>
      </c>
      <c r="AB64" s="149">
        <v>123.7079</v>
      </c>
      <c r="AC64" s="149">
        <v>196.61999999999998</v>
      </c>
      <c r="AD64" s="156">
        <v>29.689895999999997</v>
      </c>
      <c r="AE64" s="149" t="str">
        <f>IFERROR(_xlfn.XLOOKUP(DATA_MASTER[[#This Row],[DATE]],RODEO[DATE],RODEO[ARTIST]),"")</f>
        <v/>
      </c>
      <c r="AF64" s="172">
        <f>IF(DATA_MASTER[[#This Row],[RODEO_ARTIST]]="",0,1)</f>
        <v>0</v>
      </c>
      <c r="AG64" t="str">
        <f>IFERROR(RIGHT(_xlfn.XLOOKUP(DATA_MASTER[[#This Row],[DATE]],ASTROS[DATE],ASTROS[OPPONENT]),LEN(_xlfn.XLOOKUP(DATA_MASTER[[#This Row],[DATE]],ASTROS[DATE],ASTROS[OPPONENT]))-3),"NO GAME")</f>
        <v>San Diego Padres</v>
      </c>
      <c r="AH64">
        <f>IF(DATA_MASTER[[#This Row],[ASTROS_GAME]]="NO GAME",0,1)</f>
        <v>1</v>
      </c>
      <c r="AI64">
        <f>_xlfn.XLOOKUP(DATA_MASTER[[#This Row],[DATE]],WEATHER[DATE],WEATHER[tempmax])</f>
        <v>93.4</v>
      </c>
      <c r="AJ64">
        <f>_xlfn.XLOOKUP(DATA_MASTER[[#This Row],[DATE]],WEATHER[DATE],WEATHER[precip])</f>
        <v>0</v>
      </c>
      <c r="AQ64"/>
      <c r="AR64"/>
      <c r="AS64"/>
    </row>
    <row r="65" spans="1:45" x14ac:dyDescent="0.35">
      <c r="A65" s="155">
        <v>45179</v>
      </c>
      <c r="B65" s="144" t="s">
        <v>46</v>
      </c>
      <c r="C65" s="144" t="s">
        <v>50</v>
      </c>
      <c r="D65" s="144" t="s">
        <v>56</v>
      </c>
      <c r="E65" s="145">
        <f t="shared" si="17"/>
        <v>1</v>
      </c>
      <c r="F65" s="146">
        <f t="shared" si="0"/>
        <v>1</v>
      </c>
      <c r="G65" s="146">
        <f t="shared" si="1"/>
        <v>0</v>
      </c>
      <c r="H65" s="146">
        <f t="shared" si="2"/>
        <v>0</v>
      </c>
      <c r="I65" s="146">
        <f t="shared" si="3"/>
        <v>0</v>
      </c>
      <c r="J65" s="146">
        <f t="shared" si="4"/>
        <v>0</v>
      </c>
      <c r="K65" s="146">
        <f t="shared" si="5"/>
        <v>0</v>
      </c>
      <c r="L65" s="147">
        <f t="shared" si="18"/>
        <v>0</v>
      </c>
      <c r="M65" s="147">
        <f t="shared" si="6"/>
        <v>0</v>
      </c>
      <c r="N65" s="147">
        <f t="shared" si="7"/>
        <v>0</v>
      </c>
      <c r="O65" s="147">
        <f t="shared" si="8"/>
        <v>0</v>
      </c>
      <c r="P65" s="147">
        <f t="shared" si="9"/>
        <v>0</v>
      </c>
      <c r="Q65" s="147">
        <f t="shared" si="10"/>
        <v>0</v>
      </c>
      <c r="R65" s="147">
        <f t="shared" si="11"/>
        <v>0</v>
      </c>
      <c r="S65" s="147">
        <f t="shared" si="12"/>
        <v>1</v>
      </c>
      <c r="T65" s="147">
        <f t="shared" si="13"/>
        <v>0</v>
      </c>
      <c r="U65" s="147">
        <f t="shared" si="14"/>
        <v>0</v>
      </c>
      <c r="V65" s="147">
        <f t="shared" si="15"/>
        <v>0</v>
      </c>
      <c r="W65" s="129">
        <v>1</v>
      </c>
      <c r="X65" s="144" t="str">
        <f t="shared" si="16"/>
        <v>WEEKEND</v>
      </c>
      <c r="Y65" s="148">
        <v>4.166666666666667</v>
      </c>
      <c r="Z65" s="144" t="s">
        <v>55</v>
      </c>
      <c r="AA65" s="149">
        <v>819.25</v>
      </c>
      <c r="AB65" s="149">
        <v>123.7079</v>
      </c>
      <c r="AC65" s="149">
        <v>196.61999999999998</v>
      </c>
      <c r="AD65" s="156">
        <v>29.689895999999997</v>
      </c>
      <c r="AE65" s="149" t="str">
        <f>IFERROR(_xlfn.XLOOKUP(DATA_MASTER[[#This Row],[DATE]],RODEO[DATE],RODEO[ARTIST]),"")</f>
        <v/>
      </c>
      <c r="AF65" s="172">
        <f>IF(DATA_MASTER[[#This Row],[RODEO_ARTIST]]="",0,1)</f>
        <v>0</v>
      </c>
      <c r="AG65" t="str">
        <f>IFERROR(RIGHT(_xlfn.XLOOKUP(DATA_MASTER[[#This Row],[DATE]],ASTROS[DATE],ASTROS[OPPONENT]),LEN(_xlfn.XLOOKUP(DATA_MASTER[[#This Row],[DATE]],ASTROS[DATE],ASTROS[OPPONENT]))-3),"NO GAME")</f>
        <v>San Diego Padres</v>
      </c>
      <c r="AH65">
        <f>IF(DATA_MASTER[[#This Row],[ASTROS_GAME]]="NO GAME",0,1)</f>
        <v>1</v>
      </c>
      <c r="AI65">
        <f>_xlfn.XLOOKUP(DATA_MASTER[[#This Row],[DATE]],WEATHER[DATE],WEATHER[tempmax])</f>
        <v>93.4</v>
      </c>
      <c r="AJ65">
        <f>_xlfn.XLOOKUP(DATA_MASTER[[#This Row],[DATE]],WEATHER[DATE],WEATHER[precip])</f>
        <v>0</v>
      </c>
      <c r="AQ65"/>
      <c r="AR65"/>
      <c r="AS65"/>
    </row>
    <row r="66" spans="1:45" x14ac:dyDescent="0.35">
      <c r="A66" s="155">
        <v>45180</v>
      </c>
      <c r="B66" s="144" t="s">
        <v>42</v>
      </c>
      <c r="C66" s="144" t="s">
        <v>51</v>
      </c>
      <c r="D66" s="144" t="s">
        <v>56</v>
      </c>
      <c r="E66" s="145">
        <f t="shared" si="17"/>
        <v>0</v>
      </c>
      <c r="F66" s="146">
        <f t="shared" ref="F66:F129" si="19">IF(C66="SUN",1,0)</f>
        <v>0</v>
      </c>
      <c r="G66" s="146">
        <f t="shared" ref="G66:G129" si="20">IF($C66="MON",1,0)</f>
        <v>1</v>
      </c>
      <c r="H66" s="146">
        <f t="shared" ref="H66:H129" si="21">IF($C66="WED",1,0)</f>
        <v>0</v>
      </c>
      <c r="I66" s="146">
        <f t="shared" ref="I66:I129" si="22">IF($C66="THU",1,0)</f>
        <v>0</v>
      </c>
      <c r="J66" s="146">
        <f t="shared" ref="J66:J129" si="23">IF($C66="FRI",1,0)</f>
        <v>0</v>
      </c>
      <c r="K66" s="146">
        <f t="shared" ref="K66:K129" si="24">IF($C66="SAT",1,0)</f>
        <v>0</v>
      </c>
      <c r="L66" s="147">
        <f t="shared" si="18"/>
        <v>0</v>
      </c>
      <c r="M66" s="147">
        <f t="shared" ref="M66:M129" si="25">IF($D66="February",1,0)</f>
        <v>0</v>
      </c>
      <c r="N66" s="147">
        <f t="shared" ref="N66:N129" si="26">IF($D66="March",1,0)</f>
        <v>0</v>
      </c>
      <c r="O66" s="147">
        <f t="shared" ref="O66:O129" si="27">IF($D66="April",1,0)</f>
        <v>0</v>
      </c>
      <c r="P66" s="147">
        <f t="shared" ref="P66:P129" si="28">IF($D66="May",1,0)</f>
        <v>0</v>
      </c>
      <c r="Q66" s="147">
        <f t="shared" ref="Q66:Q129" si="29">IF($D66="June",1,0)</f>
        <v>0</v>
      </c>
      <c r="R66" s="147">
        <f t="shared" ref="R66:R129" si="30">IF($D66="August",1,0)</f>
        <v>0</v>
      </c>
      <c r="S66" s="147">
        <f t="shared" ref="S66:S129" si="31">IF($D66="September",1,0)</f>
        <v>1</v>
      </c>
      <c r="T66" s="147">
        <f t="shared" ref="T66:T129" si="32">IF($D66="October",1,0)</f>
        <v>0</v>
      </c>
      <c r="U66" s="147">
        <f t="shared" ref="U66:U129" si="33">IF($D66="November",1,0)</f>
        <v>0</v>
      </c>
      <c r="V66" s="147">
        <f t="shared" ref="V66:V129" si="34">IF($D66="December",1,0)</f>
        <v>0</v>
      </c>
      <c r="W66" s="129">
        <v>0</v>
      </c>
      <c r="X66" s="144" t="str">
        <f t="shared" ref="X66:X129" si="35">IF(W66=0,"WEEKDAY","WEEKEND")</f>
        <v>WEEKDAY</v>
      </c>
      <c r="Y66" s="148">
        <v>3.35</v>
      </c>
      <c r="Z66" s="144" t="s">
        <v>55</v>
      </c>
      <c r="AA66" s="149">
        <v>349</v>
      </c>
      <c r="AB66" s="149">
        <v>68.743099999999998</v>
      </c>
      <c r="AC66" s="149">
        <v>104.17910447761194</v>
      </c>
      <c r="AD66" s="156">
        <v>20.520328358208953</v>
      </c>
      <c r="AE66" s="149" t="str">
        <f>IFERROR(_xlfn.XLOOKUP(DATA_MASTER[[#This Row],[DATE]],RODEO[DATE],RODEO[ARTIST]),"")</f>
        <v/>
      </c>
      <c r="AF66" s="172">
        <f>IF(DATA_MASTER[[#This Row],[RODEO_ARTIST]]="",0,1)</f>
        <v>0</v>
      </c>
      <c r="AG66" t="str">
        <f>IFERROR(RIGHT(_xlfn.XLOOKUP(DATA_MASTER[[#This Row],[DATE]],ASTROS[DATE],ASTROS[OPPONENT]),LEN(_xlfn.XLOOKUP(DATA_MASTER[[#This Row],[DATE]],ASTROS[DATE],ASTROS[OPPONENT]))-3),"NO GAME")</f>
        <v>Oakland Athletics</v>
      </c>
      <c r="AH66">
        <f>IF(DATA_MASTER[[#This Row],[ASTROS_GAME]]="NO GAME",0,1)</f>
        <v>1</v>
      </c>
      <c r="AI66">
        <f>_xlfn.XLOOKUP(DATA_MASTER[[#This Row],[DATE]],WEATHER[DATE],WEATHER[tempmax])</f>
        <v>94.1</v>
      </c>
      <c r="AJ66">
        <f>_xlfn.XLOOKUP(DATA_MASTER[[#This Row],[DATE]],WEATHER[DATE],WEATHER[precip])</f>
        <v>0</v>
      </c>
      <c r="AQ66"/>
      <c r="AR66"/>
      <c r="AS66"/>
    </row>
    <row r="67" spans="1:45" x14ac:dyDescent="0.35">
      <c r="A67" s="155">
        <v>45180</v>
      </c>
      <c r="B67" s="144" t="s">
        <v>46</v>
      </c>
      <c r="C67" s="144" t="s">
        <v>51</v>
      </c>
      <c r="D67" s="144" t="s">
        <v>56</v>
      </c>
      <c r="E67" s="145">
        <f t="shared" ref="E67:E130" si="36">IF($B67="PM",1,0)</f>
        <v>1</v>
      </c>
      <c r="F67" s="146">
        <f t="shared" si="19"/>
        <v>0</v>
      </c>
      <c r="G67" s="146">
        <f t="shared" si="20"/>
        <v>1</v>
      </c>
      <c r="H67" s="146">
        <f t="shared" si="21"/>
        <v>0</v>
      </c>
      <c r="I67" s="146">
        <f t="shared" si="22"/>
        <v>0</v>
      </c>
      <c r="J67" s="146">
        <f t="shared" si="23"/>
        <v>0</v>
      </c>
      <c r="K67" s="146">
        <f t="shared" si="24"/>
        <v>0</v>
      </c>
      <c r="L67" s="147">
        <f t="shared" ref="L67:L130" si="37">IF(D67="January",1,0)</f>
        <v>0</v>
      </c>
      <c r="M67" s="147">
        <f t="shared" si="25"/>
        <v>0</v>
      </c>
      <c r="N67" s="147">
        <f t="shared" si="26"/>
        <v>0</v>
      </c>
      <c r="O67" s="147">
        <f t="shared" si="27"/>
        <v>0</v>
      </c>
      <c r="P67" s="147">
        <f t="shared" si="28"/>
        <v>0</v>
      </c>
      <c r="Q67" s="147">
        <f t="shared" si="29"/>
        <v>0</v>
      </c>
      <c r="R67" s="147">
        <f t="shared" si="30"/>
        <v>0</v>
      </c>
      <c r="S67" s="147">
        <f t="shared" si="31"/>
        <v>1</v>
      </c>
      <c r="T67" s="147">
        <f t="shared" si="32"/>
        <v>0</v>
      </c>
      <c r="U67" s="147">
        <f t="shared" si="33"/>
        <v>0</v>
      </c>
      <c r="V67" s="147">
        <f t="shared" si="34"/>
        <v>0</v>
      </c>
      <c r="W67" s="129">
        <v>0</v>
      </c>
      <c r="X67" s="144" t="str">
        <f t="shared" si="35"/>
        <v>WEEKDAY</v>
      </c>
      <c r="Y67" s="148">
        <v>3.6666666666666665</v>
      </c>
      <c r="Z67" s="144" t="s">
        <v>55</v>
      </c>
      <c r="AA67" s="149">
        <v>430</v>
      </c>
      <c r="AB67" s="149">
        <v>76.038240000000002</v>
      </c>
      <c r="AC67" s="149">
        <v>117.27272727272728</v>
      </c>
      <c r="AD67" s="156">
        <v>20.737701818181819</v>
      </c>
      <c r="AE67" s="149" t="str">
        <f>IFERROR(_xlfn.XLOOKUP(DATA_MASTER[[#This Row],[DATE]],RODEO[DATE],RODEO[ARTIST]),"")</f>
        <v/>
      </c>
      <c r="AF67" s="172">
        <f>IF(DATA_MASTER[[#This Row],[RODEO_ARTIST]]="",0,1)</f>
        <v>0</v>
      </c>
      <c r="AG67" t="str">
        <f>IFERROR(RIGHT(_xlfn.XLOOKUP(DATA_MASTER[[#This Row],[DATE]],ASTROS[DATE],ASTROS[OPPONENT]),LEN(_xlfn.XLOOKUP(DATA_MASTER[[#This Row],[DATE]],ASTROS[DATE],ASTROS[OPPONENT]))-3),"NO GAME")</f>
        <v>Oakland Athletics</v>
      </c>
      <c r="AH67">
        <f>IF(DATA_MASTER[[#This Row],[ASTROS_GAME]]="NO GAME",0,1)</f>
        <v>1</v>
      </c>
      <c r="AI67">
        <f>_xlfn.XLOOKUP(DATA_MASTER[[#This Row],[DATE]],WEATHER[DATE],WEATHER[tempmax])</f>
        <v>94.1</v>
      </c>
      <c r="AJ67">
        <f>_xlfn.XLOOKUP(DATA_MASTER[[#This Row],[DATE]],WEATHER[DATE],WEATHER[precip])</f>
        <v>0</v>
      </c>
      <c r="AQ67"/>
      <c r="AR67"/>
      <c r="AS67"/>
    </row>
    <row r="68" spans="1:45" x14ac:dyDescent="0.35">
      <c r="A68" s="155">
        <v>45182</v>
      </c>
      <c r="B68" s="144" t="s">
        <v>42</v>
      </c>
      <c r="C68" s="144" t="s">
        <v>44</v>
      </c>
      <c r="D68" s="144" t="s">
        <v>56</v>
      </c>
      <c r="E68" s="145">
        <f t="shared" si="36"/>
        <v>0</v>
      </c>
      <c r="F68" s="146">
        <f t="shared" si="19"/>
        <v>0</v>
      </c>
      <c r="G68" s="146">
        <f t="shared" si="20"/>
        <v>0</v>
      </c>
      <c r="H68" s="146">
        <f t="shared" si="21"/>
        <v>1</v>
      </c>
      <c r="I68" s="146">
        <f t="shared" si="22"/>
        <v>0</v>
      </c>
      <c r="J68" s="146">
        <f t="shared" si="23"/>
        <v>0</v>
      </c>
      <c r="K68" s="146">
        <f t="shared" si="24"/>
        <v>0</v>
      </c>
      <c r="L68" s="147">
        <f t="shared" si="37"/>
        <v>0</v>
      </c>
      <c r="M68" s="147">
        <f t="shared" si="25"/>
        <v>0</v>
      </c>
      <c r="N68" s="147">
        <f t="shared" si="26"/>
        <v>0</v>
      </c>
      <c r="O68" s="147">
        <f t="shared" si="27"/>
        <v>0</v>
      </c>
      <c r="P68" s="147">
        <f t="shared" si="28"/>
        <v>0</v>
      </c>
      <c r="Q68" s="147">
        <f t="shared" si="29"/>
        <v>0</v>
      </c>
      <c r="R68" s="147">
        <f t="shared" si="30"/>
        <v>0</v>
      </c>
      <c r="S68" s="147">
        <f t="shared" si="31"/>
        <v>1</v>
      </c>
      <c r="T68" s="147">
        <f t="shared" si="32"/>
        <v>0</v>
      </c>
      <c r="U68" s="147">
        <f t="shared" si="33"/>
        <v>0</v>
      </c>
      <c r="V68" s="147">
        <f t="shared" si="34"/>
        <v>0</v>
      </c>
      <c r="W68" s="129">
        <v>0</v>
      </c>
      <c r="X68" s="144" t="str">
        <f t="shared" si="35"/>
        <v>WEEKDAY</v>
      </c>
      <c r="Y68" s="148">
        <v>4.4333333333333336</v>
      </c>
      <c r="Z68" s="144" t="s">
        <v>45</v>
      </c>
      <c r="AA68" s="149">
        <v>731</v>
      </c>
      <c r="AB68" s="149">
        <v>108.471272</v>
      </c>
      <c r="AC68" s="149">
        <v>164.88721804511277</v>
      </c>
      <c r="AD68" s="156">
        <v>24.467204210526315</v>
      </c>
      <c r="AE68" s="149" t="str">
        <f>IFERROR(_xlfn.XLOOKUP(DATA_MASTER[[#This Row],[DATE]],RODEO[DATE],RODEO[ARTIST]),"")</f>
        <v/>
      </c>
      <c r="AF68" s="172">
        <f>IF(DATA_MASTER[[#This Row],[RODEO_ARTIST]]="",0,1)</f>
        <v>0</v>
      </c>
      <c r="AG68" t="str">
        <f>IFERROR(RIGHT(_xlfn.XLOOKUP(DATA_MASTER[[#This Row],[DATE]],ASTROS[DATE],ASTROS[OPPONENT]),LEN(_xlfn.XLOOKUP(DATA_MASTER[[#This Row],[DATE]],ASTROS[DATE],ASTROS[OPPONENT]))-3),"NO GAME")</f>
        <v>Oakland Athletics</v>
      </c>
      <c r="AH68">
        <f>IF(DATA_MASTER[[#This Row],[ASTROS_GAME]]="NO GAME",0,1)</f>
        <v>1</v>
      </c>
      <c r="AI68">
        <f>_xlfn.XLOOKUP(DATA_MASTER[[#This Row],[DATE]],WEATHER[DATE],WEATHER[tempmax])</f>
        <v>93.3</v>
      </c>
      <c r="AJ68">
        <f>_xlfn.XLOOKUP(DATA_MASTER[[#This Row],[DATE]],WEATHER[DATE],WEATHER[precip])</f>
        <v>4.0000000000000001E-3</v>
      </c>
      <c r="AQ68"/>
      <c r="AR68"/>
      <c r="AS68"/>
    </row>
    <row r="69" spans="1:45" x14ac:dyDescent="0.35">
      <c r="A69" s="155">
        <v>45184</v>
      </c>
      <c r="B69" s="144" t="s">
        <v>42</v>
      </c>
      <c r="C69" s="144" t="s">
        <v>48</v>
      </c>
      <c r="D69" s="144" t="s">
        <v>56</v>
      </c>
      <c r="E69" s="145">
        <f t="shared" si="36"/>
        <v>0</v>
      </c>
      <c r="F69" s="146">
        <f t="shared" si="19"/>
        <v>0</v>
      </c>
      <c r="G69" s="146">
        <f t="shared" si="20"/>
        <v>0</v>
      </c>
      <c r="H69" s="146">
        <f t="shared" si="21"/>
        <v>0</v>
      </c>
      <c r="I69" s="146">
        <f t="shared" si="22"/>
        <v>0</v>
      </c>
      <c r="J69" s="146">
        <f t="shared" si="23"/>
        <v>1</v>
      </c>
      <c r="K69" s="146">
        <f t="shared" si="24"/>
        <v>0</v>
      </c>
      <c r="L69" s="147">
        <f t="shared" si="37"/>
        <v>0</v>
      </c>
      <c r="M69" s="147">
        <f t="shared" si="25"/>
        <v>0</v>
      </c>
      <c r="N69" s="147">
        <f t="shared" si="26"/>
        <v>0</v>
      </c>
      <c r="O69" s="147">
        <f t="shared" si="27"/>
        <v>0</v>
      </c>
      <c r="P69" s="147">
        <f t="shared" si="28"/>
        <v>0</v>
      </c>
      <c r="Q69" s="147">
        <f t="shared" si="29"/>
        <v>0</v>
      </c>
      <c r="R69" s="147">
        <f t="shared" si="30"/>
        <v>0</v>
      </c>
      <c r="S69" s="147">
        <f t="shared" si="31"/>
        <v>1</v>
      </c>
      <c r="T69" s="147">
        <f t="shared" si="32"/>
        <v>0</v>
      </c>
      <c r="U69" s="147">
        <f t="shared" si="33"/>
        <v>0</v>
      </c>
      <c r="V69" s="147">
        <f t="shared" si="34"/>
        <v>0</v>
      </c>
      <c r="W69" s="129">
        <v>0</v>
      </c>
      <c r="X69" s="144" t="str">
        <f t="shared" si="35"/>
        <v>WEEKDAY</v>
      </c>
      <c r="Y69" s="148">
        <v>3.6333333333333333</v>
      </c>
      <c r="Z69" s="144" t="s">
        <v>55</v>
      </c>
      <c r="AA69" s="149">
        <v>649.5</v>
      </c>
      <c r="AB69" s="149">
        <v>109.82080000000001</v>
      </c>
      <c r="AC69" s="149">
        <v>178.76146788990826</v>
      </c>
      <c r="AD69" s="156">
        <v>30.225908256880736</v>
      </c>
      <c r="AE69" s="149" t="str">
        <f>IFERROR(_xlfn.XLOOKUP(DATA_MASTER[[#This Row],[DATE]],RODEO[DATE],RODEO[ARTIST]),"")</f>
        <v/>
      </c>
      <c r="AF69" s="172">
        <f>IF(DATA_MASTER[[#This Row],[RODEO_ARTIST]]="",0,1)</f>
        <v>0</v>
      </c>
      <c r="AG69" t="str">
        <f>IFERROR(RIGHT(_xlfn.XLOOKUP(DATA_MASTER[[#This Row],[DATE]],ASTROS[DATE],ASTROS[OPPONENT]),LEN(_xlfn.XLOOKUP(DATA_MASTER[[#This Row],[DATE]],ASTROS[DATE],ASTROS[OPPONENT]))-3),"NO GAME")</f>
        <v>NO GAME</v>
      </c>
      <c r="AH69">
        <f>IF(DATA_MASTER[[#This Row],[ASTROS_GAME]]="NO GAME",0,1)</f>
        <v>0</v>
      </c>
      <c r="AI69">
        <f>_xlfn.XLOOKUP(DATA_MASTER[[#This Row],[DATE]],WEATHER[DATE],WEATHER[tempmax])</f>
        <v>91.4</v>
      </c>
      <c r="AJ69">
        <f>_xlfn.XLOOKUP(DATA_MASTER[[#This Row],[DATE]],WEATHER[DATE],WEATHER[precip])</f>
        <v>0.27600000000000002</v>
      </c>
      <c r="AQ69"/>
      <c r="AR69"/>
      <c r="AS69"/>
    </row>
    <row r="70" spans="1:45" x14ac:dyDescent="0.35">
      <c r="A70" s="155">
        <v>45184</v>
      </c>
      <c r="B70" s="144" t="s">
        <v>46</v>
      </c>
      <c r="C70" s="144" t="s">
        <v>48</v>
      </c>
      <c r="D70" s="144" t="s">
        <v>56</v>
      </c>
      <c r="E70" s="145">
        <f t="shared" si="36"/>
        <v>1</v>
      </c>
      <c r="F70" s="146">
        <f t="shared" si="19"/>
        <v>0</v>
      </c>
      <c r="G70" s="146">
        <f t="shared" si="20"/>
        <v>0</v>
      </c>
      <c r="H70" s="146">
        <f t="shared" si="21"/>
        <v>0</v>
      </c>
      <c r="I70" s="146">
        <f t="shared" si="22"/>
        <v>0</v>
      </c>
      <c r="J70" s="146">
        <f t="shared" si="23"/>
        <v>1</v>
      </c>
      <c r="K70" s="146">
        <f t="shared" si="24"/>
        <v>0</v>
      </c>
      <c r="L70" s="147">
        <f t="shared" si="37"/>
        <v>0</v>
      </c>
      <c r="M70" s="147">
        <f t="shared" si="25"/>
        <v>0</v>
      </c>
      <c r="N70" s="147">
        <f t="shared" si="26"/>
        <v>0</v>
      </c>
      <c r="O70" s="147">
        <f t="shared" si="27"/>
        <v>0</v>
      </c>
      <c r="P70" s="147">
        <f t="shared" si="28"/>
        <v>0</v>
      </c>
      <c r="Q70" s="147">
        <f t="shared" si="29"/>
        <v>0</v>
      </c>
      <c r="R70" s="147">
        <f t="shared" si="30"/>
        <v>0</v>
      </c>
      <c r="S70" s="147">
        <f t="shared" si="31"/>
        <v>1</v>
      </c>
      <c r="T70" s="147">
        <f t="shared" si="32"/>
        <v>0</v>
      </c>
      <c r="U70" s="147">
        <f t="shared" si="33"/>
        <v>0</v>
      </c>
      <c r="V70" s="147">
        <f t="shared" si="34"/>
        <v>0</v>
      </c>
      <c r="W70" s="129">
        <v>1</v>
      </c>
      <c r="X70" s="144" t="str">
        <f t="shared" si="35"/>
        <v>WEEKEND</v>
      </c>
      <c r="Y70" s="148">
        <v>4.4833333333333334</v>
      </c>
      <c r="Z70" s="144" t="s">
        <v>55</v>
      </c>
      <c r="AA70" s="149">
        <v>862.5</v>
      </c>
      <c r="AB70" s="149">
        <v>129.09727599999999</v>
      </c>
      <c r="AC70" s="149">
        <v>192.37918215613382</v>
      </c>
      <c r="AD70" s="156">
        <v>28.794931449814126</v>
      </c>
      <c r="AE70" s="149" t="str">
        <f>IFERROR(_xlfn.XLOOKUP(DATA_MASTER[[#This Row],[DATE]],RODEO[DATE],RODEO[ARTIST]),"")</f>
        <v/>
      </c>
      <c r="AF70" s="172">
        <f>IF(DATA_MASTER[[#This Row],[RODEO_ARTIST]]="",0,1)</f>
        <v>0</v>
      </c>
      <c r="AG70" t="str">
        <f>IFERROR(RIGHT(_xlfn.XLOOKUP(DATA_MASTER[[#This Row],[DATE]],ASTROS[DATE],ASTROS[OPPONENT]),LEN(_xlfn.XLOOKUP(DATA_MASTER[[#This Row],[DATE]],ASTROS[DATE],ASTROS[OPPONENT]))-3),"NO GAME")</f>
        <v>NO GAME</v>
      </c>
      <c r="AH70">
        <f>IF(DATA_MASTER[[#This Row],[ASTROS_GAME]]="NO GAME",0,1)</f>
        <v>0</v>
      </c>
      <c r="AI70">
        <f>_xlfn.XLOOKUP(DATA_MASTER[[#This Row],[DATE]],WEATHER[DATE],WEATHER[tempmax])</f>
        <v>91.4</v>
      </c>
      <c r="AJ70">
        <f>_xlfn.XLOOKUP(DATA_MASTER[[#This Row],[DATE]],WEATHER[DATE],WEATHER[precip])</f>
        <v>0.27600000000000002</v>
      </c>
      <c r="AQ70"/>
      <c r="AR70"/>
      <c r="AS70"/>
    </row>
    <row r="71" spans="1:45" x14ac:dyDescent="0.35">
      <c r="A71" s="155">
        <v>45185</v>
      </c>
      <c r="B71" s="144" t="s">
        <v>42</v>
      </c>
      <c r="C71" s="144" t="s">
        <v>49</v>
      </c>
      <c r="D71" s="144" t="s">
        <v>56</v>
      </c>
      <c r="E71" s="145">
        <f t="shared" si="36"/>
        <v>0</v>
      </c>
      <c r="F71" s="146">
        <f t="shared" si="19"/>
        <v>0</v>
      </c>
      <c r="G71" s="146">
        <f t="shared" si="20"/>
        <v>0</v>
      </c>
      <c r="H71" s="146">
        <f t="shared" si="21"/>
        <v>0</v>
      </c>
      <c r="I71" s="146">
        <f t="shared" si="22"/>
        <v>0</v>
      </c>
      <c r="J71" s="146">
        <f t="shared" si="23"/>
        <v>0</v>
      </c>
      <c r="K71" s="146">
        <f t="shared" si="24"/>
        <v>1</v>
      </c>
      <c r="L71" s="147">
        <f t="shared" si="37"/>
        <v>0</v>
      </c>
      <c r="M71" s="147">
        <f t="shared" si="25"/>
        <v>0</v>
      </c>
      <c r="N71" s="147">
        <f t="shared" si="26"/>
        <v>0</v>
      </c>
      <c r="O71" s="147">
        <f t="shared" si="27"/>
        <v>0</v>
      </c>
      <c r="P71" s="147">
        <f t="shared" si="28"/>
        <v>0</v>
      </c>
      <c r="Q71" s="147">
        <f t="shared" si="29"/>
        <v>0</v>
      </c>
      <c r="R71" s="147">
        <f t="shared" si="30"/>
        <v>0</v>
      </c>
      <c r="S71" s="147">
        <f t="shared" si="31"/>
        <v>1</v>
      </c>
      <c r="T71" s="147">
        <f t="shared" si="32"/>
        <v>0</v>
      </c>
      <c r="U71" s="147">
        <f t="shared" si="33"/>
        <v>0</v>
      </c>
      <c r="V71" s="147">
        <f t="shared" si="34"/>
        <v>0</v>
      </c>
      <c r="W71" s="129">
        <v>1</v>
      </c>
      <c r="X71" s="144" t="str">
        <f t="shared" si="35"/>
        <v>WEEKEND</v>
      </c>
      <c r="Y71" s="148">
        <v>5.666666666666667</v>
      </c>
      <c r="Z71" s="144" t="s">
        <v>45</v>
      </c>
      <c r="AA71" s="149">
        <v>1203</v>
      </c>
      <c r="AB71" s="149">
        <v>201.58923199999998</v>
      </c>
      <c r="AC71" s="149">
        <v>212.29411764705881</v>
      </c>
      <c r="AD71" s="156">
        <v>35.574570352941173</v>
      </c>
      <c r="AE71" s="149" t="str">
        <f>IFERROR(_xlfn.XLOOKUP(DATA_MASTER[[#This Row],[DATE]],RODEO[DATE],RODEO[ARTIST]),"")</f>
        <v/>
      </c>
      <c r="AF71" s="172">
        <f>IF(DATA_MASTER[[#This Row],[RODEO_ARTIST]]="",0,1)</f>
        <v>0</v>
      </c>
      <c r="AG71" t="str">
        <f>IFERROR(RIGHT(_xlfn.XLOOKUP(DATA_MASTER[[#This Row],[DATE]],ASTROS[DATE],ASTROS[OPPONENT]),LEN(_xlfn.XLOOKUP(DATA_MASTER[[#This Row],[DATE]],ASTROS[DATE],ASTROS[OPPONENT]))-3),"NO GAME")</f>
        <v>NO GAME</v>
      </c>
      <c r="AH71">
        <f>IF(DATA_MASTER[[#This Row],[ASTROS_GAME]]="NO GAME",0,1)</f>
        <v>0</v>
      </c>
      <c r="AI71">
        <f>_xlfn.XLOOKUP(DATA_MASTER[[#This Row],[DATE]],WEATHER[DATE],WEATHER[tempmax])</f>
        <v>90.3</v>
      </c>
      <c r="AJ71">
        <f>_xlfn.XLOOKUP(DATA_MASTER[[#This Row],[DATE]],WEATHER[DATE],WEATHER[precip])</f>
        <v>0.22</v>
      </c>
      <c r="AQ71"/>
      <c r="AR71"/>
      <c r="AS71"/>
    </row>
    <row r="72" spans="1:45" x14ac:dyDescent="0.35">
      <c r="A72" s="155">
        <v>45186</v>
      </c>
      <c r="B72" s="144" t="s">
        <v>42</v>
      </c>
      <c r="C72" s="144" t="s">
        <v>50</v>
      </c>
      <c r="D72" s="144" t="s">
        <v>56</v>
      </c>
      <c r="E72" s="145">
        <f t="shared" si="36"/>
        <v>0</v>
      </c>
      <c r="F72" s="146">
        <f t="shared" si="19"/>
        <v>1</v>
      </c>
      <c r="G72" s="146">
        <f t="shared" si="20"/>
        <v>0</v>
      </c>
      <c r="H72" s="146">
        <f t="shared" si="21"/>
        <v>0</v>
      </c>
      <c r="I72" s="146">
        <f t="shared" si="22"/>
        <v>0</v>
      </c>
      <c r="J72" s="146">
        <f t="shared" si="23"/>
        <v>0</v>
      </c>
      <c r="K72" s="146">
        <f t="shared" si="24"/>
        <v>0</v>
      </c>
      <c r="L72" s="147">
        <f t="shared" si="37"/>
        <v>0</v>
      </c>
      <c r="M72" s="147">
        <f t="shared" si="25"/>
        <v>0</v>
      </c>
      <c r="N72" s="147">
        <f t="shared" si="26"/>
        <v>0</v>
      </c>
      <c r="O72" s="147">
        <f t="shared" si="27"/>
        <v>0</v>
      </c>
      <c r="P72" s="147">
        <f t="shared" si="28"/>
        <v>0</v>
      </c>
      <c r="Q72" s="147">
        <f t="shared" si="29"/>
        <v>0</v>
      </c>
      <c r="R72" s="147">
        <f t="shared" si="30"/>
        <v>0</v>
      </c>
      <c r="S72" s="147">
        <f t="shared" si="31"/>
        <v>1</v>
      </c>
      <c r="T72" s="147">
        <f t="shared" si="32"/>
        <v>0</v>
      </c>
      <c r="U72" s="147">
        <f t="shared" si="33"/>
        <v>0</v>
      </c>
      <c r="V72" s="147">
        <f t="shared" si="34"/>
        <v>0</v>
      </c>
      <c r="W72" s="129">
        <v>1</v>
      </c>
      <c r="X72" s="144" t="str">
        <f t="shared" si="35"/>
        <v>WEEKEND</v>
      </c>
      <c r="Y72" s="148">
        <v>4.0666666666666664</v>
      </c>
      <c r="Z72" s="144" t="s">
        <v>55</v>
      </c>
      <c r="AA72" s="149">
        <v>1018</v>
      </c>
      <c r="AB72" s="149">
        <v>161.95194000000001</v>
      </c>
      <c r="AC72" s="149">
        <v>250.32786885245903</v>
      </c>
      <c r="AD72" s="156">
        <v>39.824247540983613</v>
      </c>
      <c r="AE72" s="149" t="str">
        <f>IFERROR(_xlfn.XLOOKUP(DATA_MASTER[[#This Row],[DATE]],RODEO[DATE],RODEO[ARTIST]),"")</f>
        <v/>
      </c>
      <c r="AF72" s="172">
        <f>IF(DATA_MASTER[[#This Row],[RODEO_ARTIST]]="",0,1)</f>
        <v>0</v>
      </c>
      <c r="AG72" t="str">
        <f>IFERROR(RIGHT(_xlfn.XLOOKUP(DATA_MASTER[[#This Row],[DATE]],ASTROS[DATE],ASTROS[OPPONENT]),LEN(_xlfn.XLOOKUP(DATA_MASTER[[#This Row],[DATE]],ASTROS[DATE],ASTROS[OPPONENT]))-3),"NO GAME")</f>
        <v>NO GAME</v>
      </c>
      <c r="AH72">
        <f>IF(DATA_MASTER[[#This Row],[ASTROS_GAME]]="NO GAME",0,1)</f>
        <v>0</v>
      </c>
      <c r="AI72">
        <f>_xlfn.XLOOKUP(DATA_MASTER[[#This Row],[DATE]],WEATHER[DATE],WEATHER[tempmax])</f>
        <v>91.5</v>
      </c>
      <c r="AJ72">
        <f>_xlfn.XLOOKUP(DATA_MASTER[[#This Row],[DATE]],WEATHER[DATE],WEATHER[precip])</f>
        <v>1E-3</v>
      </c>
      <c r="AQ72"/>
      <c r="AR72"/>
      <c r="AS72"/>
    </row>
    <row r="73" spans="1:45" x14ac:dyDescent="0.35">
      <c r="A73" s="155">
        <v>45186</v>
      </c>
      <c r="B73" s="144" t="s">
        <v>46</v>
      </c>
      <c r="C73" s="144" t="s">
        <v>50</v>
      </c>
      <c r="D73" s="144" t="s">
        <v>56</v>
      </c>
      <c r="E73" s="145">
        <f t="shared" si="36"/>
        <v>1</v>
      </c>
      <c r="F73" s="146">
        <f t="shared" si="19"/>
        <v>1</v>
      </c>
      <c r="G73" s="146">
        <f t="shared" si="20"/>
        <v>0</v>
      </c>
      <c r="H73" s="146">
        <f t="shared" si="21"/>
        <v>0</v>
      </c>
      <c r="I73" s="146">
        <f t="shared" si="22"/>
        <v>0</v>
      </c>
      <c r="J73" s="146">
        <f t="shared" si="23"/>
        <v>0</v>
      </c>
      <c r="K73" s="146">
        <f t="shared" si="24"/>
        <v>0</v>
      </c>
      <c r="L73" s="147">
        <f t="shared" si="37"/>
        <v>0</v>
      </c>
      <c r="M73" s="147">
        <f t="shared" si="25"/>
        <v>0</v>
      </c>
      <c r="N73" s="147">
        <f t="shared" si="26"/>
        <v>0</v>
      </c>
      <c r="O73" s="147">
        <f t="shared" si="27"/>
        <v>0</v>
      </c>
      <c r="P73" s="147">
        <f t="shared" si="28"/>
        <v>0</v>
      </c>
      <c r="Q73" s="147">
        <f t="shared" si="29"/>
        <v>0</v>
      </c>
      <c r="R73" s="147">
        <f t="shared" si="30"/>
        <v>0</v>
      </c>
      <c r="S73" s="147">
        <f t="shared" si="31"/>
        <v>1</v>
      </c>
      <c r="T73" s="147">
        <f t="shared" si="32"/>
        <v>0</v>
      </c>
      <c r="U73" s="147">
        <f t="shared" si="33"/>
        <v>0</v>
      </c>
      <c r="V73" s="147">
        <f t="shared" si="34"/>
        <v>0</v>
      </c>
      <c r="W73" s="129">
        <v>1</v>
      </c>
      <c r="X73" s="144" t="str">
        <f t="shared" si="35"/>
        <v>WEEKEND</v>
      </c>
      <c r="Y73" s="148">
        <v>3</v>
      </c>
      <c r="Z73" s="144" t="s">
        <v>55</v>
      </c>
      <c r="AA73" s="149">
        <v>1018</v>
      </c>
      <c r="AB73" s="149">
        <v>159.67993999999999</v>
      </c>
      <c r="AC73" s="149">
        <v>339.33333333333331</v>
      </c>
      <c r="AD73" s="156">
        <v>53.22664666666666</v>
      </c>
      <c r="AE73" s="149" t="str">
        <f>IFERROR(_xlfn.XLOOKUP(DATA_MASTER[[#This Row],[DATE]],RODEO[DATE],RODEO[ARTIST]),"")</f>
        <v/>
      </c>
      <c r="AF73" s="172">
        <f>IF(DATA_MASTER[[#This Row],[RODEO_ARTIST]]="",0,1)</f>
        <v>0</v>
      </c>
      <c r="AG73" t="str">
        <f>IFERROR(RIGHT(_xlfn.XLOOKUP(DATA_MASTER[[#This Row],[DATE]],ASTROS[DATE],ASTROS[OPPONENT]),LEN(_xlfn.XLOOKUP(DATA_MASTER[[#This Row],[DATE]],ASTROS[DATE],ASTROS[OPPONENT]))-3),"NO GAME")</f>
        <v>NO GAME</v>
      </c>
      <c r="AH73">
        <f>IF(DATA_MASTER[[#This Row],[ASTROS_GAME]]="NO GAME",0,1)</f>
        <v>0</v>
      </c>
      <c r="AI73">
        <f>_xlfn.XLOOKUP(DATA_MASTER[[#This Row],[DATE]],WEATHER[DATE],WEATHER[tempmax])</f>
        <v>91.5</v>
      </c>
      <c r="AJ73">
        <f>_xlfn.XLOOKUP(DATA_MASTER[[#This Row],[DATE]],WEATHER[DATE],WEATHER[precip])</f>
        <v>1E-3</v>
      </c>
      <c r="AQ73"/>
      <c r="AR73"/>
      <c r="AS73"/>
    </row>
    <row r="74" spans="1:45" x14ac:dyDescent="0.35">
      <c r="A74" s="155">
        <v>45187</v>
      </c>
      <c r="B74" s="144" t="s">
        <v>42</v>
      </c>
      <c r="C74" s="144" t="s">
        <v>51</v>
      </c>
      <c r="D74" s="144" t="s">
        <v>56</v>
      </c>
      <c r="E74" s="145">
        <f t="shared" si="36"/>
        <v>0</v>
      </c>
      <c r="F74" s="146">
        <f t="shared" si="19"/>
        <v>0</v>
      </c>
      <c r="G74" s="146">
        <f t="shared" si="20"/>
        <v>1</v>
      </c>
      <c r="H74" s="146">
        <f t="shared" si="21"/>
        <v>0</v>
      </c>
      <c r="I74" s="146">
        <f t="shared" si="22"/>
        <v>0</v>
      </c>
      <c r="J74" s="146">
        <f t="shared" si="23"/>
        <v>0</v>
      </c>
      <c r="K74" s="146">
        <f t="shared" si="24"/>
        <v>0</v>
      </c>
      <c r="L74" s="147">
        <f t="shared" si="37"/>
        <v>0</v>
      </c>
      <c r="M74" s="147">
        <f t="shared" si="25"/>
        <v>0</v>
      </c>
      <c r="N74" s="147">
        <f t="shared" si="26"/>
        <v>0</v>
      </c>
      <c r="O74" s="147">
        <f t="shared" si="27"/>
        <v>0</v>
      </c>
      <c r="P74" s="147">
        <f t="shared" si="28"/>
        <v>0</v>
      </c>
      <c r="Q74" s="147">
        <f t="shared" si="29"/>
        <v>0</v>
      </c>
      <c r="R74" s="147">
        <f t="shared" si="30"/>
        <v>0</v>
      </c>
      <c r="S74" s="147">
        <f t="shared" si="31"/>
        <v>1</v>
      </c>
      <c r="T74" s="147">
        <f t="shared" si="32"/>
        <v>0</v>
      </c>
      <c r="U74" s="147">
        <f t="shared" si="33"/>
        <v>0</v>
      </c>
      <c r="V74" s="147">
        <f t="shared" si="34"/>
        <v>0</v>
      </c>
      <c r="W74" s="129">
        <v>0</v>
      </c>
      <c r="X74" s="144" t="str">
        <f t="shared" si="35"/>
        <v>WEEKDAY</v>
      </c>
      <c r="Y74" s="148">
        <v>3.7333333333333334</v>
      </c>
      <c r="Z74" s="144" t="s">
        <v>55</v>
      </c>
      <c r="AA74" s="149">
        <v>309</v>
      </c>
      <c r="AB74" s="149">
        <v>58.22184</v>
      </c>
      <c r="AC74" s="149">
        <v>82.767857142857139</v>
      </c>
      <c r="AD74" s="156">
        <v>15.595135714285714</v>
      </c>
      <c r="AE74" s="149" t="str">
        <f>IFERROR(_xlfn.XLOOKUP(DATA_MASTER[[#This Row],[DATE]],RODEO[DATE],RODEO[ARTIST]),"")</f>
        <v/>
      </c>
      <c r="AF74" s="172">
        <f>IF(DATA_MASTER[[#This Row],[RODEO_ARTIST]]="",0,1)</f>
        <v>0</v>
      </c>
      <c r="AG74" t="str">
        <f>IFERROR(RIGHT(_xlfn.XLOOKUP(DATA_MASTER[[#This Row],[DATE]],ASTROS[DATE],ASTROS[OPPONENT]),LEN(_xlfn.XLOOKUP(DATA_MASTER[[#This Row],[DATE]],ASTROS[DATE],ASTROS[OPPONENT]))-3),"NO GAME")</f>
        <v>Baltimore Orioles</v>
      </c>
      <c r="AH74">
        <f>IF(DATA_MASTER[[#This Row],[ASTROS_GAME]]="NO GAME",0,1)</f>
        <v>1</v>
      </c>
      <c r="AI74">
        <f>_xlfn.XLOOKUP(DATA_MASTER[[#This Row],[DATE]],WEATHER[DATE],WEATHER[tempmax])</f>
        <v>92.2</v>
      </c>
      <c r="AJ74">
        <f>_xlfn.XLOOKUP(DATA_MASTER[[#This Row],[DATE]],WEATHER[DATE],WEATHER[precip])</f>
        <v>0</v>
      </c>
      <c r="AQ74"/>
      <c r="AR74"/>
      <c r="AS74"/>
    </row>
    <row r="75" spans="1:45" x14ac:dyDescent="0.35">
      <c r="A75" s="155">
        <v>45187</v>
      </c>
      <c r="B75" s="144" t="s">
        <v>46</v>
      </c>
      <c r="C75" s="144" t="s">
        <v>51</v>
      </c>
      <c r="D75" s="144" t="s">
        <v>56</v>
      </c>
      <c r="E75" s="145">
        <f t="shared" si="36"/>
        <v>1</v>
      </c>
      <c r="F75" s="146">
        <f t="shared" si="19"/>
        <v>0</v>
      </c>
      <c r="G75" s="146">
        <f t="shared" si="20"/>
        <v>1</v>
      </c>
      <c r="H75" s="146">
        <f t="shared" si="21"/>
        <v>0</v>
      </c>
      <c r="I75" s="146">
        <f t="shared" si="22"/>
        <v>0</v>
      </c>
      <c r="J75" s="146">
        <f t="shared" si="23"/>
        <v>0</v>
      </c>
      <c r="K75" s="146">
        <f t="shared" si="24"/>
        <v>0</v>
      </c>
      <c r="L75" s="147">
        <f t="shared" si="37"/>
        <v>0</v>
      </c>
      <c r="M75" s="147">
        <f t="shared" si="25"/>
        <v>0</v>
      </c>
      <c r="N75" s="147">
        <f t="shared" si="26"/>
        <v>0</v>
      </c>
      <c r="O75" s="147">
        <f t="shared" si="27"/>
        <v>0</v>
      </c>
      <c r="P75" s="147">
        <f t="shared" si="28"/>
        <v>0</v>
      </c>
      <c r="Q75" s="147">
        <f t="shared" si="29"/>
        <v>0</v>
      </c>
      <c r="R75" s="147">
        <f t="shared" si="30"/>
        <v>0</v>
      </c>
      <c r="S75" s="147">
        <f t="shared" si="31"/>
        <v>1</v>
      </c>
      <c r="T75" s="147">
        <f t="shared" si="32"/>
        <v>0</v>
      </c>
      <c r="U75" s="147">
        <f t="shared" si="33"/>
        <v>0</v>
      </c>
      <c r="V75" s="147">
        <f t="shared" si="34"/>
        <v>0</v>
      </c>
      <c r="W75" s="129">
        <v>0</v>
      </c>
      <c r="X75" s="144" t="str">
        <f t="shared" si="35"/>
        <v>WEEKDAY</v>
      </c>
      <c r="Y75" s="148">
        <v>4.0999999999999996</v>
      </c>
      <c r="Z75" s="144" t="s">
        <v>55</v>
      </c>
      <c r="AA75" s="149">
        <v>498</v>
      </c>
      <c r="AB75" s="149">
        <v>85.087944000000007</v>
      </c>
      <c r="AC75" s="149">
        <v>121.46341463414635</v>
      </c>
      <c r="AD75" s="156">
        <v>20.753157073170737</v>
      </c>
      <c r="AE75" s="149" t="str">
        <f>IFERROR(_xlfn.XLOOKUP(DATA_MASTER[[#This Row],[DATE]],RODEO[DATE],RODEO[ARTIST]),"")</f>
        <v/>
      </c>
      <c r="AF75" s="172">
        <f>IF(DATA_MASTER[[#This Row],[RODEO_ARTIST]]="",0,1)</f>
        <v>0</v>
      </c>
      <c r="AG75" t="str">
        <f>IFERROR(RIGHT(_xlfn.XLOOKUP(DATA_MASTER[[#This Row],[DATE]],ASTROS[DATE],ASTROS[OPPONENT]),LEN(_xlfn.XLOOKUP(DATA_MASTER[[#This Row],[DATE]],ASTROS[DATE],ASTROS[OPPONENT]))-3),"NO GAME")</f>
        <v>Baltimore Orioles</v>
      </c>
      <c r="AH75">
        <f>IF(DATA_MASTER[[#This Row],[ASTROS_GAME]]="NO GAME",0,1)</f>
        <v>1</v>
      </c>
      <c r="AI75">
        <f>_xlfn.XLOOKUP(DATA_MASTER[[#This Row],[DATE]],WEATHER[DATE],WEATHER[tempmax])</f>
        <v>92.2</v>
      </c>
      <c r="AJ75">
        <f>_xlfn.XLOOKUP(DATA_MASTER[[#This Row],[DATE]],WEATHER[DATE],WEATHER[precip])</f>
        <v>0</v>
      </c>
      <c r="AQ75"/>
      <c r="AR75"/>
      <c r="AS75"/>
    </row>
    <row r="76" spans="1:45" x14ac:dyDescent="0.35">
      <c r="A76" s="155">
        <v>45192</v>
      </c>
      <c r="B76" s="144" t="s">
        <v>42</v>
      </c>
      <c r="C76" s="144" t="s">
        <v>49</v>
      </c>
      <c r="D76" s="144" t="s">
        <v>56</v>
      </c>
      <c r="E76" s="145">
        <f t="shared" si="36"/>
        <v>0</v>
      </c>
      <c r="F76" s="146">
        <f t="shared" si="19"/>
        <v>0</v>
      </c>
      <c r="G76" s="146">
        <f t="shared" si="20"/>
        <v>0</v>
      </c>
      <c r="H76" s="146">
        <f t="shared" si="21"/>
        <v>0</v>
      </c>
      <c r="I76" s="146">
        <f t="shared" si="22"/>
        <v>0</v>
      </c>
      <c r="J76" s="146">
        <f t="shared" si="23"/>
        <v>0</v>
      </c>
      <c r="K76" s="146">
        <f t="shared" si="24"/>
        <v>1</v>
      </c>
      <c r="L76" s="147">
        <f t="shared" si="37"/>
        <v>0</v>
      </c>
      <c r="M76" s="147">
        <f t="shared" si="25"/>
        <v>0</v>
      </c>
      <c r="N76" s="147">
        <f t="shared" si="26"/>
        <v>0</v>
      </c>
      <c r="O76" s="147">
        <f t="shared" si="27"/>
        <v>0</v>
      </c>
      <c r="P76" s="147">
        <f t="shared" si="28"/>
        <v>0</v>
      </c>
      <c r="Q76" s="147">
        <f t="shared" si="29"/>
        <v>0</v>
      </c>
      <c r="R76" s="147">
        <f t="shared" si="30"/>
        <v>0</v>
      </c>
      <c r="S76" s="147">
        <f t="shared" si="31"/>
        <v>1</v>
      </c>
      <c r="T76" s="147">
        <f t="shared" si="32"/>
        <v>0</v>
      </c>
      <c r="U76" s="147">
        <f t="shared" si="33"/>
        <v>0</v>
      </c>
      <c r="V76" s="147">
        <f t="shared" si="34"/>
        <v>0</v>
      </c>
      <c r="W76" s="129">
        <v>1</v>
      </c>
      <c r="X76" s="144" t="str">
        <f t="shared" si="35"/>
        <v>WEEKEND</v>
      </c>
      <c r="Y76" s="148">
        <v>5.666666666666667</v>
      </c>
      <c r="Z76" s="144" t="s">
        <v>45</v>
      </c>
      <c r="AA76" s="149">
        <v>933</v>
      </c>
      <c r="AB76" s="149">
        <v>156.81897599999999</v>
      </c>
      <c r="AC76" s="149">
        <v>164.64705882352939</v>
      </c>
      <c r="AD76" s="156">
        <v>27.673936941176468</v>
      </c>
      <c r="AE76" s="149" t="str">
        <f>IFERROR(_xlfn.XLOOKUP(DATA_MASTER[[#This Row],[DATE]],RODEO[DATE],RODEO[ARTIST]),"")</f>
        <v/>
      </c>
      <c r="AF76" s="172">
        <f>IF(DATA_MASTER[[#This Row],[RODEO_ARTIST]]="",0,1)</f>
        <v>0</v>
      </c>
      <c r="AG76" t="str">
        <f>IFERROR(RIGHT(_xlfn.XLOOKUP(DATA_MASTER[[#This Row],[DATE]],ASTROS[DATE],ASTROS[OPPONENT]),LEN(_xlfn.XLOOKUP(DATA_MASTER[[#This Row],[DATE]],ASTROS[DATE],ASTROS[OPPONENT]))-3),"NO GAME")</f>
        <v>Kansas City Royals</v>
      </c>
      <c r="AH76">
        <f>IF(DATA_MASTER[[#This Row],[ASTROS_GAME]]="NO GAME",0,1)</f>
        <v>1</v>
      </c>
      <c r="AI76">
        <f>_xlfn.XLOOKUP(DATA_MASTER[[#This Row],[DATE]],WEATHER[DATE],WEATHER[tempmax])</f>
        <v>94</v>
      </c>
      <c r="AJ76">
        <f>_xlfn.XLOOKUP(DATA_MASTER[[#This Row],[DATE]],WEATHER[DATE],WEATHER[precip])</f>
        <v>0</v>
      </c>
      <c r="AQ76"/>
      <c r="AR76"/>
      <c r="AS76"/>
    </row>
    <row r="77" spans="1:45" x14ac:dyDescent="0.35">
      <c r="A77" s="155">
        <v>45193</v>
      </c>
      <c r="B77" s="144" t="s">
        <v>42</v>
      </c>
      <c r="C77" s="144" t="s">
        <v>50</v>
      </c>
      <c r="D77" s="144" t="s">
        <v>56</v>
      </c>
      <c r="E77" s="145">
        <f t="shared" si="36"/>
        <v>0</v>
      </c>
      <c r="F77" s="146">
        <f t="shared" si="19"/>
        <v>1</v>
      </c>
      <c r="G77" s="146">
        <f t="shared" si="20"/>
        <v>0</v>
      </c>
      <c r="H77" s="146">
        <f t="shared" si="21"/>
        <v>0</v>
      </c>
      <c r="I77" s="146">
        <f t="shared" si="22"/>
        <v>0</v>
      </c>
      <c r="J77" s="146">
        <f t="shared" si="23"/>
        <v>0</v>
      </c>
      <c r="K77" s="146">
        <f t="shared" si="24"/>
        <v>0</v>
      </c>
      <c r="L77" s="147">
        <f t="shared" si="37"/>
        <v>0</v>
      </c>
      <c r="M77" s="147">
        <f t="shared" si="25"/>
        <v>0</v>
      </c>
      <c r="N77" s="147">
        <f t="shared" si="26"/>
        <v>0</v>
      </c>
      <c r="O77" s="147">
        <f t="shared" si="27"/>
        <v>0</v>
      </c>
      <c r="P77" s="147">
        <f t="shared" si="28"/>
        <v>0</v>
      </c>
      <c r="Q77" s="147">
        <f t="shared" si="29"/>
        <v>0</v>
      </c>
      <c r="R77" s="147">
        <f t="shared" si="30"/>
        <v>0</v>
      </c>
      <c r="S77" s="147">
        <f t="shared" si="31"/>
        <v>1</v>
      </c>
      <c r="T77" s="147">
        <f t="shared" si="32"/>
        <v>0</v>
      </c>
      <c r="U77" s="147">
        <f t="shared" si="33"/>
        <v>0</v>
      </c>
      <c r="V77" s="147">
        <f t="shared" si="34"/>
        <v>0</v>
      </c>
      <c r="W77" s="129">
        <v>1</v>
      </c>
      <c r="X77" s="144" t="str">
        <f t="shared" si="35"/>
        <v>WEEKEND</v>
      </c>
      <c r="Y77" s="148">
        <v>4.0166666666666666</v>
      </c>
      <c r="Z77" s="144" t="s">
        <v>55</v>
      </c>
      <c r="AA77" s="149">
        <v>931</v>
      </c>
      <c r="AB77" s="149">
        <v>187.39946</v>
      </c>
      <c r="AC77" s="149">
        <v>231.78423236514524</v>
      </c>
      <c r="AD77" s="156">
        <v>46.655467219917014</v>
      </c>
      <c r="AE77" s="149" t="str">
        <f>IFERROR(_xlfn.XLOOKUP(DATA_MASTER[[#This Row],[DATE]],RODEO[DATE],RODEO[ARTIST]),"")</f>
        <v/>
      </c>
      <c r="AF77" s="172">
        <f>IF(DATA_MASTER[[#This Row],[RODEO_ARTIST]]="",0,1)</f>
        <v>0</v>
      </c>
      <c r="AG77" t="str">
        <f>IFERROR(RIGHT(_xlfn.XLOOKUP(DATA_MASTER[[#This Row],[DATE]],ASTROS[DATE],ASTROS[OPPONENT]),LEN(_xlfn.XLOOKUP(DATA_MASTER[[#This Row],[DATE]],ASTROS[DATE],ASTROS[OPPONENT]))-3),"NO GAME")</f>
        <v>Kansas City Royals</v>
      </c>
      <c r="AH77">
        <f>IF(DATA_MASTER[[#This Row],[ASTROS_GAME]]="NO GAME",0,1)</f>
        <v>1</v>
      </c>
      <c r="AI77">
        <f>_xlfn.XLOOKUP(DATA_MASTER[[#This Row],[DATE]],WEATHER[DATE],WEATHER[tempmax])</f>
        <v>95.1</v>
      </c>
      <c r="AJ77">
        <f>_xlfn.XLOOKUP(DATA_MASTER[[#This Row],[DATE]],WEATHER[DATE],WEATHER[precip])</f>
        <v>0</v>
      </c>
      <c r="AQ77"/>
      <c r="AR77"/>
      <c r="AS77"/>
    </row>
    <row r="78" spans="1:45" x14ac:dyDescent="0.35">
      <c r="A78" s="155">
        <v>45193</v>
      </c>
      <c r="B78" s="144" t="s">
        <v>46</v>
      </c>
      <c r="C78" s="144" t="s">
        <v>50</v>
      </c>
      <c r="D78" s="144" t="s">
        <v>56</v>
      </c>
      <c r="E78" s="145">
        <f t="shared" si="36"/>
        <v>1</v>
      </c>
      <c r="F78" s="146">
        <f t="shared" si="19"/>
        <v>1</v>
      </c>
      <c r="G78" s="146">
        <f t="shared" si="20"/>
        <v>0</v>
      </c>
      <c r="H78" s="146">
        <f t="shared" si="21"/>
        <v>0</v>
      </c>
      <c r="I78" s="146">
        <f t="shared" si="22"/>
        <v>0</v>
      </c>
      <c r="J78" s="146">
        <f t="shared" si="23"/>
        <v>0</v>
      </c>
      <c r="K78" s="146">
        <f t="shared" si="24"/>
        <v>0</v>
      </c>
      <c r="L78" s="147">
        <f t="shared" si="37"/>
        <v>0</v>
      </c>
      <c r="M78" s="147">
        <f t="shared" si="25"/>
        <v>0</v>
      </c>
      <c r="N78" s="147">
        <f t="shared" si="26"/>
        <v>0</v>
      </c>
      <c r="O78" s="147">
        <f t="shared" si="27"/>
        <v>0</v>
      </c>
      <c r="P78" s="147">
        <f t="shared" si="28"/>
        <v>0</v>
      </c>
      <c r="Q78" s="147">
        <f t="shared" si="29"/>
        <v>0</v>
      </c>
      <c r="R78" s="147">
        <f t="shared" si="30"/>
        <v>0</v>
      </c>
      <c r="S78" s="147">
        <f t="shared" si="31"/>
        <v>1</v>
      </c>
      <c r="T78" s="147">
        <f t="shared" si="32"/>
        <v>0</v>
      </c>
      <c r="U78" s="147">
        <f t="shared" si="33"/>
        <v>0</v>
      </c>
      <c r="V78" s="147">
        <f t="shared" si="34"/>
        <v>0</v>
      </c>
      <c r="W78" s="129">
        <v>1</v>
      </c>
      <c r="X78" s="144" t="str">
        <f t="shared" si="35"/>
        <v>WEEKEND</v>
      </c>
      <c r="Y78" s="148">
        <v>4.0166666666666666</v>
      </c>
      <c r="Z78" s="144" t="s">
        <v>55</v>
      </c>
      <c r="AA78" s="149">
        <v>931</v>
      </c>
      <c r="AB78" s="149">
        <v>187.39946</v>
      </c>
      <c r="AC78" s="149">
        <v>231.78423236514524</v>
      </c>
      <c r="AD78" s="156">
        <v>46.655467219917014</v>
      </c>
      <c r="AE78" s="149" t="str">
        <f>IFERROR(_xlfn.XLOOKUP(DATA_MASTER[[#This Row],[DATE]],RODEO[DATE],RODEO[ARTIST]),"")</f>
        <v/>
      </c>
      <c r="AF78" s="172">
        <f>IF(DATA_MASTER[[#This Row],[RODEO_ARTIST]]="",0,1)</f>
        <v>0</v>
      </c>
      <c r="AG78" t="str">
        <f>IFERROR(RIGHT(_xlfn.XLOOKUP(DATA_MASTER[[#This Row],[DATE]],ASTROS[DATE],ASTROS[OPPONENT]),LEN(_xlfn.XLOOKUP(DATA_MASTER[[#This Row],[DATE]],ASTROS[DATE],ASTROS[OPPONENT]))-3),"NO GAME")</f>
        <v>Kansas City Royals</v>
      </c>
      <c r="AH78">
        <f>IF(DATA_MASTER[[#This Row],[ASTROS_GAME]]="NO GAME",0,1)</f>
        <v>1</v>
      </c>
      <c r="AI78">
        <f>_xlfn.XLOOKUP(DATA_MASTER[[#This Row],[DATE]],WEATHER[DATE],WEATHER[tempmax])</f>
        <v>95.1</v>
      </c>
      <c r="AJ78">
        <f>_xlfn.XLOOKUP(DATA_MASTER[[#This Row],[DATE]],WEATHER[DATE],WEATHER[precip])</f>
        <v>0</v>
      </c>
      <c r="AQ78"/>
      <c r="AR78"/>
      <c r="AS78"/>
    </row>
    <row r="79" spans="1:45" x14ac:dyDescent="0.35">
      <c r="A79" s="155">
        <v>45194</v>
      </c>
      <c r="B79" s="144" t="s">
        <v>46</v>
      </c>
      <c r="C79" s="144" t="s">
        <v>51</v>
      </c>
      <c r="D79" s="144" t="s">
        <v>56</v>
      </c>
      <c r="E79" s="145">
        <f t="shared" si="36"/>
        <v>1</v>
      </c>
      <c r="F79" s="146">
        <f t="shared" si="19"/>
        <v>0</v>
      </c>
      <c r="G79" s="146">
        <f t="shared" si="20"/>
        <v>1</v>
      </c>
      <c r="H79" s="146">
        <f t="shared" si="21"/>
        <v>0</v>
      </c>
      <c r="I79" s="146">
        <f t="shared" si="22"/>
        <v>0</v>
      </c>
      <c r="J79" s="146">
        <f t="shared" si="23"/>
        <v>0</v>
      </c>
      <c r="K79" s="146">
        <f t="shared" si="24"/>
        <v>0</v>
      </c>
      <c r="L79" s="147">
        <f t="shared" si="37"/>
        <v>0</v>
      </c>
      <c r="M79" s="147">
        <f t="shared" si="25"/>
        <v>0</v>
      </c>
      <c r="N79" s="147">
        <f t="shared" si="26"/>
        <v>0</v>
      </c>
      <c r="O79" s="147">
        <f t="shared" si="27"/>
        <v>0</v>
      </c>
      <c r="P79" s="147">
        <f t="shared" si="28"/>
        <v>0</v>
      </c>
      <c r="Q79" s="147">
        <f t="shared" si="29"/>
        <v>0</v>
      </c>
      <c r="R79" s="147">
        <f t="shared" si="30"/>
        <v>0</v>
      </c>
      <c r="S79" s="147">
        <f t="shared" si="31"/>
        <v>1</v>
      </c>
      <c r="T79" s="147">
        <f t="shared" si="32"/>
        <v>0</v>
      </c>
      <c r="U79" s="147">
        <f t="shared" si="33"/>
        <v>0</v>
      </c>
      <c r="V79" s="147">
        <f t="shared" si="34"/>
        <v>0</v>
      </c>
      <c r="W79" s="129">
        <v>0</v>
      </c>
      <c r="X79" s="144" t="str">
        <f t="shared" si="35"/>
        <v>WEEKDAY</v>
      </c>
      <c r="Y79" s="148">
        <v>5.2833333333333332</v>
      </c>
      <c r="Z79" s="144" t="s">
        <v>45</v>
      </c>
      <c r="AA79" s="149">
        <v>1011.5</v>
      </c>
      <c r="AB79" s="149">
        <v>166.86658</v>
      </c>
      <c r="AC79" s="149">
        <v>191.45110410094637</v>
      </c>
      <c r="AD79" s="156">
        <v>31.583579810725553</v>
      </c>
      <c r="AE79" s="149" t="str">
        <f>IFERROR(_xlfn.XLOOKUP(DATA_MASTER[[#This Row],[DATE]],RODEO[DATE],RODEO[ARTIST]),"")</f>
        <v/>
      </c>
      <c r="AF79" s="172">
        <f>IF(DATA_MASTER[[#This Row],[RODEO_ARTIST]]="",0,1)</f>
        <v>0</v>
      </c>
      <c r="AG79" t="str">
        <f>IFERROR(RIGHT(_xlfn.XLOOKUP(DATA_MASTER[[#This Row],[DATE]],ASTROS[DATE],ASTROS[OPPONENT]),LEN(_xlfn.XLOOKUP(DATA_MASTER[[#This Row],[DATE]],ASTROS[DATE],ASTROS[OPPONENT]))-3),"NO GAME")</f>
        <v>NO GAME</v>
      </c>
      <c r="AH79">
        <f>IF(DATA_MASTER[[#This Row],[ASTROS_GAME]]="NO GAME",0,1)</f>
        <v>0</v>
      </c>
      <c r="AI79">
        <f>_xlfn.XLOOKUP(DATA_MASTER[[#This Row],[DATE]],WEATHER[DATE],WEATHER[tempmax])</f>
        <v>93.2</v>
      </c>
      <c r="AJ79">
        <f>_xlfn.XLOOKUP(DATA_MASTER[[#This Row],[DATE]],WEATHER[DATE],WEATHER[precip])</f>
        <v>0.90300000000000002</v>
      </c>
      <c r="AQ79"/>
      <c r="AR79"/>
      <c r="AS79"/>
    </row>
    <row r="80" spans="1:45" x14ac:dyDescent="0.35">
      <c r="A80" s="155">
        <v>45196</v>
      </c>
      <c r="B80" s="144" t="s">
        <v>46</v>
      </c>
      <c r="C80" s="144" t="s">
        <v>44</v>
      </c>
      <c r="D80" s="144" t="s">
        <v>56</v>
      </c>
      <c r="E80" s="145">
        <f t="shared" si="36"/>
        <v>1</v>
      </c>
      <c r="F80" s="146">
        <f t="shared" si="19"/>
        <v>0</v>
      </c>
      <c r="G80" s="146">
        <f t="shared" si="20"/>
        <v>0</v>
      </c>
      <c r="H80" s="146">
        <f t="shared" si="21"/>
        <v>1</v>
      </c>
      <c r="I80" s="146">
        <f t="shared" si="22"/>
        <v>0</v>
      </c>
      <c r="J80" s="146">
        <f t="shared" si="23"/>
        <v>0</v>
      </c>
      <c r="K80" s="146">
        <f t="shared" si="24"/>
        <v>0</v>
      </c>
      <c r="L80" s="147">
        <f t="shared" si="37"/>
        <v>0</v>
      </c>
      <c r="M80" s="147">
        <f t="shared" si="25"/>
        <v>0</v>
      </c>
      <c r="N80" s="147">
        <f t="shared" si="26"/>
        <v>0</v>
      </c>
      <c r="O80" s="147">
        <f t="shared" si="27"/>
        <v>0</v>
      </c>
      <c r="P80" s="147">
        <f t="shared" si="28"/>
        <v>0</v>
      </c>
      <c r="Q80" s="147">
        <f t="shared" si="29"/>
        <v>0</v>
      </c>
      <c r="R80" s="147">
        <f t="shared" si="30"/>
        <v>0</v>
      </c>
      <c r="S80" s="147">
        <f t="shared" si="31"/>
        <v>1</v>
      </c>
      <c r="T80" s="147">
        <f t="shared" si="32"/>
        <v>0</v>
      </c>
      <c r="U80" s="147">
        <f t="shared" si="33"/>
        <v>0</v>
      </c>
      <c r="V80" s="147">
        <f t="shared" si="34"/>
        <v>0</v>
      </c>
      <c r="W80" s="129">
        <v>0</v>
      </c>
      <c r="X80" s="144" t="str">
        <f t="shared" si="35"/>
        <v>WEEKDAY</v>
      </c>
      <c r="Y80" s="148">
        <v>4.7333333333333334</v>
      </c>
      <c r="Z80" s="144" t="s">
        <v>45</v>
      </c>
      <c r="AA80" s="149">
        <v>648</v>
      </c>
      <c r="AB80" s="149">
        <v>102.25415199999999</v>
      </c>
      <c r="AC80" s="149">
        <v>136.90140845070422</v>
      </c>
      <c r="AD80" s="156">
        <v>21.602989859154928</v>
      </c>
      <c r="AE80" s="149" t="str">
        <f>IFERROR(_xlfn.XLOOKUP(DATA_MASTER[[#This Row],[DATE]],RODEO[DATE],RODEO[ARTIST]),"")</f>
        <v/>
      </c>
      <c r="AF80" s="172">
        <f>IF(DATA_MASTER[[#This Row],[RODEO_ARTIST]]="",0,1)</f>
        <v>0</v>
      </c>
      <c r="AG80" t="str">
        <f>IFERROR(RIGHT(_xlfn.XLOOKUP(DATA_MASTER[[#This Row],[DATE]],ASTROS[DATE],ASTROS[OPPONENT]),LEN(_xlfn.XLOOKUP(DATA_MASTER[[#This Row],[DATE]],ASTROS[DATE],ASTROS[OPPONENT]))-3),"NO GAME")</f>
        <v>NO GAME</v>
      </c>
      <c r="AH80">
        <f>IF(DATA_MASTER[[#This Row],[ASTROS_GAME]]="NO GAME",0,1)</f>
        <v>0</v>
      </c>
      <c r="AI80">
        <f>_xlfn.XLOOKUP(DATA_MASTER[[#This Row],[DATE]],WEATHER[DATE],WEATHER[tempmax])</f>
        <v>91.5</v>
      </c>
      <c r="AJ80">
        <f>_xlfn.XLOOKUP(DATA_MASTER[[#This Row],[DATE]],WEATHER[DATE],WEATHER[precip])</f>
        <v>0</v>
      </c>
      <c r="AQ80"/>
      <c r="AR80"/>
      <c r="AS80"/>
    </row>
    <row r="81" spans="1:45" x14ac:dyDescent="0.35">
      <c r="A81" s="155">
        <v>45198</v>
      </c>
      <c r="B81" s="144" t="s">
        <v>46</v>
      </c>
      <c r="C81" s="144" t="s">
        <v>48</v>
      </c>
      <c r="D81" s="144" t="s">
        <v>56</v>
      </c>
      <c r="E81" s="145">
        <f t="shared" si="36"/>
        <v>1</v>
      </c>
      <c r="F81" s="146">
        <f t="shared" si="19"/>
        <v>0</v>
      </c>
      <c r="G81" s="146">
        <f t="shared" si="20"/>
        <v>0</v>
      </c>
      <c r="H81" s="146">
        <f t="shared" si="21"/>
        <v>0</v>
      </c>
      <c r="I81" s="146">
        <f t="shared" si="22"/>
        <v>0</v>
      </c>
      <c r="J81" s="146">
        <f t="shared" si="23"/>
        <v>1</v>
      </c>
      <c r="K81" s="146">
        <f t="shared" si="24"/>
        <v>0</v>
      </c>
      <c r="L81" s="147">
        <f t="shared" si="37"/>
        <v>0</v>
      </c>
      <c r="M81" s="147">
        <f t="shared" si="25"/>
        <v>0</v>
      </c>
      <c r="N81" s="147">
        <f t="shared" si="26"/>
        <v>0</v>
      </c>
      <c r="O81" s="147">
        <f t="shared" si="27"/>
        <v>0</v>
      </c>
      <c r="P81" s="147">
        <f t="shared" si="28"/>
        <v>0</v>
      </c>
      <c r="Q81" s="147">
        <f t="shared" si="29"/>
        <v>0</v>
      </c>
      <c r="R81" s="147">
        <f t="shared" si="30"/>
        <v>0</v>
      </c>
      <c r="S81" s="147">
        <f t="shared" si="31"/>
        <v>1</v>
      </c>
      <c r="T81" s="147">
        <f t="shared" si="32"/>
        <v>0</v>
      </c>
      <c r="U81" s="147">
        <f t="shared" si="33"/>
        <v>0</v>
      </c>
      <c r="V81" s="147">
        <f t="shared" si="34"/>
        <v>0</v>
      </c>
      <c r="W81" s="129">
        <v>1</v>
      </c>
      <c r="X81" s="144" t="str">
        <f t="shared" si="35"/>
        <v>WEEKEND</v>
      </c>
      <c r="Y81" s="148">
        <v>5.2333333333333334</v>
      </c>
      <c r="Z81" s="144" t="s">
        <v>45</v>
      </c>
      <c r="AA81" s="149">
        <v>848</v>
      </c>
      <c r="AB81" s="149">
        <v>135.44354399999997</v>
      </c>
      <c r="AC81" s="149">
        <v>162.03821656050954</v>
      </c>
      <c r="AD81" s="156">
        <v>25.880931974522287</v>
      </c>
      <c r="AE81" s="149" t="str">
        <f>IFERROR(_xlfn.XLOOKUP(DATA_MASTER[[#This Row],[DATE]],RODEO[DATE],RODEO[ARTIST]),"")</f>
        <v/>
      </c>
      <c r="AF81" s="172">
        <f>IF(DATA_MASTER[[#This Row],[RODEO_ARTIST]]="",0,1)</f>
        <v>0</v>
      </c>
      <c r="AG81" t="str">
        <f>IFERROR(RIGHT(_xlfn.XLOOKUP(DATA_MASTER[[#This Row],[DATE]],ASTROS[DATE],ASTROS[OPPONENT]),LEN(_xlfn.XLOOKUP(DATA_MASTER[[#This Row],[DATE]],ASTROS[DATE],ASTROS[OPPONENT]))-3),"NO GAME")</f>
        <v>NO GAME</v>
      </c>
      <c r="AH81">
        <f>IF(DATA_MASTER[[#This Row],[ASTROS_GAME]]="NO GAME",0,1)</f>
        <v>0</v>
      </c>
      <c r="AI81">
        <f>_xlfn.XLOOKUP(DATA_MASTER[[#This Row],[DATE]],WEATHER[DATE],WEATHER[tempmax])</f>
        <v>89.7</v>
      </c>
      <c r="AJ81">
        <f>_xlfn.XLOOKUP(DATA_MASTER[[#This Row],[DATE]],WEATHER[DATE],WEATHER[precip])</f>
        <v>0</v>
      </c>
      <c r="AQ81"/>
      <c r="AR81"/>
      <c r="AS81"/>
    </row>
    <row r="82" spans="1:45" x14ac:dyDescent="0.35">
      <c r="A82" s="155">
        <v>45199</v>
      </c>
      <c r="B82" s="144" t="s">
        <v>46</v>
      </c>
      <c r="C82" s="144" t="s">
        <v>49</v>
      </c>
      <c r="D82" s="144" t="s">
        <v>56</v>
      </c>
      <c r="E82" s="145">
        <f t="shared" si="36"/>
        <v>1</v>
      </c>
      <c r="F82" s="146">
        <f t="shared" si="19"/>
        <v>0</v>
      </c>
      <c r="G82" s="146">
        <f t="shared" si="20"/>
        <v>0</v>
      </c>
      <c r="H82" s="146">
        <f t="shared" si="21"/>
        <v>0</v>
      </c>
      <c r="I82" s="146">
        <f t="shared" si="22"/>
        <v>0</v>
      </c>
      <c r="J82" s="146">
        <f t="shared" si="23"/>
        <v>0</v>
      </c>
      <c r="K82" s="146">
        <f t="shared" si="24"/>
        <v>1</v>
      </c>
      <c r="L82" s="147">
        <f t="shared" si="37"/>
        <v>0</v>
      </c>
      <c r="M82" s="147">
        <f t="shared" si="25"/>
        <v>0</v>
      </c>
      <c r="N82" s="147">
        <f t="shared" si="26"/>
        <v>0</v>
      </c>
      <c r="O82" s="147">
        <f t="shared" si="27"/>
        <v>0</v>
      </c>
      <c r="P82" s="147">
        <f t="shared" si="28"/>
        <v>0</v>
      </c>
      <c r="Q82" s="147">
        <f t="shared" si="29"/>
        <v>0</v>
      </c>
      <c r="R82" s="147">
        <f t="shared" si="30"/>
        <v>0</v>
      </c>
      <c r="S82" s="147">
        <f t="shared" si="31"/>
        <v>1</v>
      </c>
      <c r="T82" s="147">
        <f t="shared" si="32"/>
        <v>0</v>
      </c>
      <c r="U82" s="147">
        <f t="shared" si="33"/>
        <v>0</v>
      </c>
      <c r="V82" s="147">
        <f t="shared" si="34"/>
        <v>0</v>
      </c>
      <c r="W82" s="129">
        <v>1</v>
      </c>
      <c r="X82" s="144" t="str">
        <f t="shared" si="35"/>
        <v>WEEKEND</v>
      </c>
      <c r="Y82" s="148">
        <v>10.916666666666666</v>
      </c>
      <c r="Z82" s="144" t="s">
        <v>45</v>
      </c>
      <c r="AA82" s="149">
        <v>1323</v>
      </c>
      <c r="AB82" s="149">
        <v>169.007724</v>
      </c>
      <c r="AC82" s="149">
        <v>121.19083969465649</v>
      </c>
      <c r="AD82" s="156">
        <v>15.481623572519084</v>
      </c>
      <c r="AE82" s="149" t="str">
        <f>IFERROR(_xlfn.XLOOKUP(DATA_MASTER[[#This Row],[DATE]],RODEO[DATE],RODEO[ARTIST]),"")</f>
        <v/>
      </c>
      <c r="AF82" s="172">
        <f>IF(DATA_MASTER[[#This Row],[RODEO_ARTIST]]="",0,1)</f>
        <v>0</v>
      </c>
      <c r="AG82" t="str">
        <f>IFERROR(RIGHT(_xlfn.XLOOKUP(DATA_MASTER[[#This Row],[DATE]],ASTROS[DATE],ASTROS[OPPONENT]),LEN(_xlfn.XLOOKUP(DATA_MASTER[[#This Row],[DATE]],ASTROS[DATE],ASTROS[OPPONENT]))-3),"NO GAME")</f>
        <v>NO GAME</v>
      </c>
      <c r="AH82">
        <f>IF(DATA_MASTER[[#This Row],[ASTROS_GAME]]="NO GAME",0,1)</f>
        <v>0</v>
      </c>
      <c r="AI82">
        <f>_xlfn.XLOOKUP(DATA_MASTER[[#This Row],[DATE]],WEATHER[DATE],WEATHER[tempmax])</f>
        <v>90.7</v>
      </c>
      <c r="AJ82">
        <f>_xlfn.XLOOKUP(DATA_MASTER[[#This Row],[DATE]],WEATHER[DATE],WEATHER[precip])</f>
        <v>0</v>
      </c>
      <c r="AQ82"/>
      <c r="AR82"/>
      <c r="AS82"/>
    </row>
    <row r="83" spans="1:45" x14ac:dyDescent="0.35">
      <c r="A83" s="155">
        <v>45200</v>
      </c>
      <c r="B83" s="144" t="s">
        <v>42</v>
      </c>
      <c r="C83" s="144" t="s">
        <v>50</v>
      </c>
      <c r="D83" s="144" t="s">
        <v>57</v>
      </c>
      <c r="E83" s="145">
        <f t="shared" si="36"/>
        <v>0</v>
      </c>
      <c r="F83" s="146">
        <f t="shared" si="19"/>
        <v>1</v>
      </c>
      <c r="G83" s="146">
        <f t="shared" si="20"/>
        <v>0</v>
      </c>
      <c r="H83" s="146">
        <f t="shared" si="21"/>
        <v>0</v>
      </c>
      <c r="I83" s="146">
        <f t="shared" si="22"/>
        <v>0</v>
      </c>
      <c r="J83" s="146">
        <f t="shared" si="23"/>
        <v>0</v>
      </c>
      <c r="K83" s="146">
        <f t="shared" si="24"/>
        <v>0</v>
      </c>
      <c r="L83" s="147">
        <f t="shared" si="37"/>
        <v>0</v>
      </c>
      <c r="M83" s="147">
        <f t="shared" si="25"/>
        <v>0</v>
      </c>
      <c r="N83" s="147">
        <f t="shared" si="26"/>
        <v>0</v>
      </c>
      <c r="O83" s="147">
        <f t="shared" si="27"/>
        <v>0</v>
      </c>
      <c r="P83" s="147">
        <f t="shared" si="28"/>
        <v>0</v>
      </c>
      <c r="Q83" s="147">
        <f t="shared" si="29"/>
        <v>0</v>
      </c>
      <c r="R83" s="147">
        <f t="shared" si="30"/>
        <v>0</v>
      </c>
      <c r="S83" s="147">
        <f t="shared" si="31"/>
        <v>0</v>
      </c>
      <c r="T83" s="147">
        <f t="shared" si="32"/>
        <v>1</v>
      </c>
      <c r="U83" s="147">
        <f t="shared" si="33"/>
        <v>0</v>
      </c>
      <c r="V83" s="147">
        <f t="shared" si="34"/>
        <v>0</v>
      </c>
      <c r="W83" s="129">
        <v>1</v>
      </c>
      <c r="X83" s="144" t="str">
        <f t="shared" si="35"/>
        <v>WEEKEND</v>
      </c>
      <c r="Y83" s="148">
        <v>5.083333333333333</v>
      </c>
      <c r="Z83" s="144" t="s">
        <v>55</v>
      </c>
      <c r="AA83" s="149">
        <v>978.25</v>
      </c>
      <c r="AB83" s="149">
        <v>200.75157999999999</v>
      </c>
      <c r="AC83" s="149">
        <v>192.4426229508197</v>
      </c>
      <c r="AD83" s="156">
        <v>39.492114098360659</v>
      </c>
      <c r="AE83" s="149" t="str">
        <f>IFERROR(_xlfn.XLOOKUP(DATA_MASTER[[#This Row],[DATE]],RODEO[DATE],RODEO[ARTIST]),"")</f>
        <v/>
      </c>
      <c r="AF83" s="172">
        <f>IF(DATA_MASTER[[#This Row],[RODEO_ARTIST]]="",0,1)</f>
        <v>0</v>
      </c>
      <c r="AG83" t="str">
        <f>IFERROR(RIGHT(_xlfn.XLOOKUP(DATA_MASTER[[#This Row],[DATE]],ASTROS[DATE],ASTROS[OPPONENT]),LEN(_xlfn.XLOOKUP(DATA_MASTER[[#This Row],[DATE]],ASTROS[DATE],ASTROS[OPPONENT]))-3),"NO GAME")</f>
        <v>NO GAME</v>
      </c>
      <c r="AH83">
        <f>IF(DATA_MASTER[[#This Row],[ASTROS_GAME]]="NO GAME",0,1)</f>
        <v>0</v>
      </c>
      <c r="AI83">
        <f>_xlfn.XLOOKUP(DATA_MASTER[[#This Row],[DATE]],WEATHER[DATE],WEATHER[tempmax])</f>
        <v>91.4</v>
      </c>
      <c r="AJ83">
        <f>_xlfn.XLOOKUP(DATA_MASTER[[#This Row],[DATE]],WEATHER[DATE],WEATHER[precip])</f>
        <v>0</v>
      </c>
      <c r="AQ83"/>
      <c r="AR83"/>
      <c r="AS83"/>
    </row>
    <row r="84" spans="1:45" x14ac:dyDescent="0.35">
      <c r="A84" s="155">
        <v>45200</v>
      </c>
      <c r="B84" s="144" t="s">
        <v>46</v>
      </c>
      <c r="C84" s="144" t="s">
        <v>50</v>
      </c>
      <c r="D84" s="144" t="s">
        <v>57</v>
      </c>
      <c r="E84" s="145">
        <f t="shared" si="36"/>
        <v>1</v>
      </c>
      <c r="F84" s="146">
        <f t="shared" si="19"/>
        <v>1</v>
      </c>
      <c r="G84" s="146">
        <f t="shared" si="20"/>
        <v>0</v>
      </c>
      <c r="H84" s="146">
        <f t="shared" si="21"/>
        <v>0</v>
      </c>
      <c r="I84" s="146">
        <f t="shared" si="22"/>
        <v>0</v>
      </c>
      <c r="J84" s="146">
        <f t="shared" si="23"/>
        <v>0</v>
      </c>
      <c r="K84" s="146">
        <f t="shared" si="24"/>
        <v>0</v>
      </c>
      <c r="L84" s="147">
        <f t="shared" si="37"/>
        <v>0</v>
      </c>
      <c r="M84" s="147">
        <f t="shared" si="25"/>
        <v>0</v>
      </c>
      <c r="N84" s="147">
        <f t="shared" si="26"/>
        <v>0</v>
      </c>
      <c r="O84" s="147">
        <f t="shared" si="27"/>
        <v>0</v>
      </c>
      <c r="P84" s="147">
        <f t="shared" si="28"/>
        <v>0</v>
      </c>
      <c r="Q84" s="147">
        <f t="shared" si="29"/>
        <v>0</v>
      </c>
      <c r="R84" s="147">
        <f t="shared" si="30"/>
        <v>0</v>
      </c>
      <c r="S84" s="147">
        <f t="shared" si="31"/>
        <v>0</v>
      </c>
      <c r="T84" s="147">
        <f t="shared" si="32"/>
        <v>1</v>
      </c>
      <c r="U84" s="147">
        <f t="shared" si="33"/>
        <v>0</v>
      </c>
      <c r="V84" s="147">
        <f t="shared" si="34"/>
        <v>0</v>
      </c>
      <c r="W84" s="129">
        <v>1</v>
      </c>
      <c r="X84" s="144" t="str">
        <f t="shared" si="35"/>
        <v>WEEKEND</v>
      </c>
      <c r="Y84" s="148">
        <v>5.083333333333333</v>
      </c>
      <c r="Z84" s="144" t="s">
        <v>55</v>
      </c>
      <c r="AA84" s="149">
        <v>978.25</v>
      </c>
      <c r="AB84" s="149">
        <v>200.75157999999999</v>
      </c>
      <c r="AC84" s="149">
        <v>192.4426229508197</v>
      </c>
      <c r="AD84" s="156">
        <v>39.492114098360659</v>
      </c>
      <c r="AE84" s="149" t="str">
        <f>IFERROR(_xlfn.XLOOKUP(DATA_MASTER[[#This Row],[DATE]],RODEO[DATE],RODEO[ARTIST]),"")</f>
        <v/>
      </c>
      <c r="AF84" s="172">
        <f>IF(DATA_MASTER[[#This Row],[RODEO_ARTIST]]="",0,1)</f>
        <v>0</v>
      </c>
      <c r="AG84" t="str">
        <f>IFERROR(RIGHT(_xlfn.XLOOKUP(DATA_MASTER[[#This Row],[DATE]],ASTROS[DATE],ASTROS[OPPONENT]),LEN(_xlfn.XLOOKUP(DATA_MASTER[[#This Row],[DATE]],ASTROS[DATE],ASTROS[OPPONENT]))-3),"NO GAME")</f>
        <v>NO GAME</v>
      </c>
      <c r="AH84">
        <f>IF(DATA_MASTER[[#This Row],[ASTROS_GAME]]="NO GAME",0,1)</f>
        <v>0</v>
      </c>
      <c r="AI84">
        <f>_xlfn.XLOOKUP(DATA_MASTER[[#This Row],[DATE]],WEATHER[DATE],WEATHER[tempmax])</f>
        <v>91.4</v>
      </c>
      <c r="AJ84">
        <f>_xlfn.XLOOKUP(DATA_MASTER[[#This Row],[DATE]],WEATHER[DATE],WEATHER[precip])</f>
        <v>0</v>
      </c>
      <c r="AQ84"/>
      <c r="AR84"/>
      <c r="AS84"/>
    </row>
    <row r="85" spans="1:45" x14ac:dyDescent="0.35">
      <c r="A85" s="155">
        <v>45201</v>
      </c>
      <c r="B85" s="144" t="s">
        <v>46</v>
      </c>
      <c r="C85" s="144" t="s">
        <v>51</v>
      </c>
      <c r="D85" s="144" t="s">
        <v>57</v>
      </c>
      <c r="E85" s="145">
        <f t="shared" si="36"/>
        <v>1</v>
      </c>
      <c r="F85" s="146">
        <f t="shared" si="19"/>
        <v>0</v>
      </c>
      <c r="G85" s="146">
        <f t="shared" si="20"/>
        <v>1</v>
      </c>
      <c r="H85" s="146">
        <f t="shared" si="21"/>
        <v>0</v>
      </c>
      <c r="I85" s="146">
        <f t="shared" si="22"/>
        <v>0</v>
      </c>
      <c r="J85" s="146">
        <f t="shared" si="23"/>
        <v>0</v>
      </c>
      <c r="K85" s="146">
        <f t="shared" si="24"/>
        <v>0</v>
      </c>
      <c r="L85" s="147">
        <f t="shared" si="37"/>
        <v>0</v>
      </c>
      <c r="M85" s="147">
        <f t="shared" si="25"/>
        <v>0</v>
      </c>
      <c r="N85" s="147">
        <f t="shared" si="26"/>
        <v>0</v>
      </c>
      <c r="O85" s="147">
        <f t="shared" si="27"/>
        <v>0</v>
      </c>
      <c r="P85" s="147">
        <f t="shared" si="28"/>
        <v>0</v>
      </c>
      <c r="Q85" s="147">
        <f t="shared" si="29"/>
        <v>0</v>
      </c>
      <c r="R85" s="147">
        <f t="shared" si="30"/>
        <v>0</v>
      </c>
      <c r="S85" s="147">
        <f t="shared" si="31"/>
        <v>0</v>
      </c>
      <c r="T85" s="147">
        <f t="shared" si="32"/>
        <v>1</v>
      </c>
      <c r="U85" s="147">
        <f t="shared" si="33"/>
        <v>0</v>
      </c>
      <c r="V85" s="147">
        <f t="shared" si="34"/>
        <v>0</v>
      </c>
      <c r="W85" s="129">
        <v>0</v>
      </c>
      <c r="X85" s="144" t="str">
        <f t="shared" si="35"/>
        <v>WEEKDAY</v>
      </c>
      <c r="Y85" s="148">
        <v>4.666666666666667</v>
      </c>
      <c r="Z85" s="144" t="s">
        <v>45</v>
      </c>
      <c r="AA85" s="149">
        <v>838.5</v>
      </c>
      <c r="AB85" s="149">
        <v>140.81690399999999</v>
      </c>
      <c r="AC85" s="149">
        <v>179.67857142857142</v>
      </c>
      <c r="AD85" s="156">
        <v>30.175050857142853</v>
      </c>
      <c r="AE85" s="149" t="str">
        <f>IFERROR(_xlfn.XLOOKUP(DATA_MASTER[[#This Row],[DATE]],RODEO[DATE],RODEO[ARTIST]),"")</f>
        <v/>
      </c>
      <c r="AF85" s="172">
        <f>IF(DATA_MASTER[[#This Row],[RODEO_ARTIST]]="",0,1)</f>
        <v>0</v>
      </c>
      <c r="AG85" t="str">
        <f>IFERROR(RIGHT(_xlfn.XLOOKUP(DATA_MASTER[[#This Row],[DATE]],ASTROS[DATE],ASTROS[OPPONENT]),LEN(_xlfn.XLOOKUP(DATA_MASTER[[#This Row],[DATE]],ASTROS[DATE],ASTROS[OPPONENT]))-3),"NO GAME")</f>
        <v>NO GAME</v>
      </c>
      <c r="AH85">
        <f>IF(DATA_MASTER[[#This Row],[ASTROS_GAME]]="NO GAME",0,1)</f>
        <v>0</v>
      </c>
      <c r="AI85">
        <f>_xlfn.XLOOKUP(DATA_MASTER[[#This Row],[DATE]],WEATHER[DATE],WEATHER[tempmax])</f>
        <v>89.7</v>
      </c>
      <c r="AJ85">
        <f>_xlfn.XLOOKUP(DATA_MASTER[[#This Row],[DATE]],WEATHER[DATE],WEATHER[precip])</f>
        <v>0</v>
      </c>
      <c r="AQ85"/>
      <c r="AR85"/>
      <c r="AS85"/>
    </row>
    <row r="86" spans="1:45" x14ac:dyDescent="0.35">
      <c r="A86" s="155">
        <v>45203</v>
      </c>
      <c r="B86" s="144" t="s">
        <v>42</v>
      </c>
      <c r="C86" s="144" t="s">
        <v>44</v>
      </c>
      <c r="D86" s="144" t="s">
        <v>57</v>
      </c>
      <c r="E86" s="145">
        <f t="shared" si="36"/>
        <v>0</v>
      </c>
      <c r="F86" s="146">
        <f t="shared" si="19"/>
        <v>0</v>
      </c>
      <c r="G86" s="146">
        <f t="shared" si="20"/>
        <v>0</v>
      </c>
      <c r="H86" s="146">
        <f t="shared" si="21"/>
        <v>1</v>
      </c>
      <c r="I86" s="146">
        <f t="shared" si="22"/>
        <v>0</v>
      </c>
      <c r="J86" s="146">
        <f t="shared" si="23"/>
        <v>0</v>
      </c>
      <c r="K86" s="146">
        <f t="shared" si="24"/>
        <v>0</v>
      </c>
      <c r="L86" s="147">
        <f t="shared" si="37"/>
        <v>0</v>
      </c>
      <c r="M86" s="147">
        <f t="shared" si="25"/>
        <v>0</v>
      </c>
      <c r="N86" s="147">
        <f t="shared" si="26"/>
        <v>0</v>
      </c>
      <c r="O86" s="147">
        <f t="shared" si="27"/>
        <v>0</v>
      </c>
      <c r="P86" s="147">
        <f t="shared" si="28"/>
        <v>0</v>
      </c>
      <c r="Q86" s="147">
        <f t="shared" si="29"/>
        <v>0</v>
      </c>
      <c r="R86" s="147">
        <f t="shared" si="30"/>
        <v>0</v>
      </c>
      <c r="S86" s="147">
        <f t="shared" si="31"/>
        <v>0</v>
      </c>
      <c r="T86" s="147">
        <f t="shared" si="32"/>
        <v>1</v>
      </c>
      <c r="U86" s="147">
        <f t="shared" si="33"/>
        <v>0</v>
      </c>
      <c r="V86" s="147">
        <f t="shared" si="34"/>
        <v>0</v>
      </c>
      <c r="W86" s="129">
        <v>0</v>
      </c>
      <c r="X86" s="144" t="str">
        <f t="shared" si="35"/>
        <v>WEEKDAY</v>
      </c>
      <c r="Y86" s="148">
        <v>4.666666666666667</v>
      </c>
      <c r="Z86" s="144" t="s">
        <v>45</v>
      </c>
      <c r="AA86" s="149">
        <v>350</v>
      </c>
      <c r="AB86" s="149">
        <v>48.305231999999997</v>
      </c>
      <c r="AC86" s="149">
        <v>75</v>
      </c>
      <c r="AD86" s="156">
        <v>10.351121142857142</v>
      </c>
      <c r="AE86" s="149" t="str">
        <f>IFERROR(_xlfn.XLOOKUP(DATA_MASTER[[#This Row],[DATE]],RODEO[DATE],RODEO[ARTIST]),"")</f>
        <v/>
      </c>
      <c r="AF86" s="172">
        <f>IF(DATA_MASTER[[#This Row],[RODEO_ARTIST]]="",0,1)</f>
        <v>0</v>
      </c>
      <c r="AG86" t="str">
        <f>IFERROR(RIGHT(_xlfn.XLOOKUP(DATA_MASTER[[#This Row],[DATE]],ASTROS[DATE],ASTROS[OPPONENT]),LEN(_xlfn.XLOOKUP(DATA_MASTER[[#This Row],[DATE]],ASTROS[DATE],ASTROS[OPPONENT]))-3),"NO GAME")</f>
        <v>NO GAME</v>
      </c>
      <c r="AH86">
        <f>IF(DATA_MASTER[[#This Row],[ASTROS_GAME]]="NO GAME",0,1)</f>
        <v>0</v>
      </c>
      <c r="AI86">
        <f>_xlfn.XLOOKUP(DATA_MASTER[[#This Row],[DATE]],WEATHER[DATE],WEATHER[tempmax])</f>
        <v>84.2</v>
      </c>
      <c r="AJ86">
        <f>_xlfn.XLOOKUP(DATA_MASTER[[#This Row],[DATE]],WEATHER[DATE],WEATHER[precip])</f>
        <v>0.35899999999999999</v>
      </c>
      <c r="AQ86"/>
      <c r="AR86"/>
      <c r="AS86"/>
    </row>
    <row r="87" spans="1:45" x14ac:dyDescent="0.35">
      <c r="A87" s="155">
        <v>45206</v>
      </c>
      <c r="B87" s="144" t="s">
        <v>46</v>
      </c>
      <c r="C87" s="144" t="s">
        <v>49</v>
      </c>
      <c r="D87" s="144" t="s">
        <v>57</v>
      </c>
      <c r="E87" s="145">
        <f t="shared" si="36"/>
        <v>1</v>
      </c>
      <c r="F87" s="146">
        <f t="shared" si="19"/>
        <v>0</v>
      </c>
      <c r="G87" s="146">
        <f t="shared" si="20"/>
        <v>0</v>
      </c>
      <c r="H87" s="146">
        <f t="shared" si="21"/>
        <v>0</v>
      </c>
      <c r="I87" s="146">
        <f t="shared" si="22"/>
        <v>0</v>
      </c>
      <c r="J87" s="146">
        <f t="shared" si="23"/>
        <v>0</v>
      </c>
      <c r="K87" s="146">
        <f t="shared" si="24"/>
        <v>1</v>
      </c>
      <c r="L87" s="147">
        <f t="shared" si="37"/>
        <v>0</v>
      </c>
      <c r="M87" s="147">
        <f t="shared" si="25"/>
        <v>0</v>
      </c>
      <c r="N87" s="147">
        <f t="shared" si="26"/>
        <v>0</v>
      </c>
      <c r="O87" s="147">
        <f t="shared" si="27"/>
        <v>0</v>
      </c>
      <c r="P87" s="147">
        <f t="shared" si="28"/>
        <v>0</v>
      </c>
      <c r="Q87" s="147">
        <f t="shared" si="29"/>
        <v>0</v>
      </c>
      <c r="R87" s="147">
        <f t="shared" si="30"/>
        <v>0</v>
      </c>
      <c r="S87" s="147">
        <f t="shared" si="31"/>
        <v>0</v>
      </c>
      <c r="T87" s="147">
        <f t="shared" si="32"/>
        <v>1</v>
      </c>
      <c r="U87" s="147">
        <f t="shared" si="33"/>
        <v>0</v>
      </c>
      <c r="V87" s="147">
        <f t="shared" si="34"/>
        <v>0</v>
      </c>
      <c r="W87" s="129">
        <v>1</v>
      </c>
      <c r="X87" s="144" t="str">
        <f t="shared" si="35"/>
        <v>WEEKEND</v>
      </c>
      <c r="Y87" s="148">
        <v>6.8833333333333337</v>
      </c>
      <c r="Z87" s="144" t="s">
        <v>45</v>
      </c>
      <c r="AA87" s="149">
        <v>892</v>
      </c>
      <c r="AB87" s="149">
        <v>146.1317</v>
      </c>
      <c r="AC87" s="149">
        <v>129.58837772397095</v>
      </c>
      <c r="AD87" s="156">
        <v>21.229786924939464</v>
      </c>
      <c r="AE87" s="149" t="str">
        <f>IFERROR(_xlfn.XLOOKUP(DATA_MASTER[[#This Row],[DATE]],RODEO[DATE],RODEO[ARTIST]),"")</f>
        <v/>
      </c>
      <c r="AF87" s="172">
        <f>IF(DATA_MASTER[[#This Row],[RODEO_ARTIST]]="",0,1)</f>
        <v>0</v>
      </c>
      <c r="AG87" t="str">
        <f>IFERROR(RIGHT(_xlfn.XLOOKUP(DATA_MASTER[[#This Row],[DATE]],ASTROS[DATE],ASTROS[OPPONENT]),LEN(_xlfn.XLOOKUP(DATA_MASTER[[#This Row],[DATE]],ASTROS[DATE],ASTROS[OPPONENT]))-3),"NO GAME")</f>
        <v>NO GAME</v>
      </c>
      <c r="AH87">
        <f>IF(DATA_MASTER[[#This Row],[ASTROS_GAME]]="NO GAME",0,1)</f>
        <v>0</v>
      </c>
      <c r="AI87">
        <f>_xlfn.XLOOKUP(DATA_MASTER[[#This Row],[DATE]],WEATHER[DATE],WEATHER[tempmax])</f>
        <v>76.900000000000006</v>
      </c>
      <c r="AJ87">
        <f>_xlfn.XLOOKUP(DATA_MASTER[[#This Row],[DATE]],WEATHER[DATE],WEATHER[precip])</f>
        <v>0</v>
      </c>
      <c r="AQ87"/>
      <c r="AR87"/>
      <c r="AS87"/>
    </row>
    <row r="88" spans="1:45" x14ac:dyDescent="0.35">
      <c r="A88" s="155">
        <v>45207</v>
      </c>
      <c r="B88" s="144" t="s">
        <v>46</v>
      </c>
      <c r="C88" s="144" t="s">
        <v>50</v>
      </c>
      <c r="D88" s="144" t="s">
        <v>57</v>
      </c>
      <c r="E88" s="145">
        <f t="shared" si="36"/>
        <v>1</v>
      </c>
      <c r="F88" s="146">
        <f t="shared" si="19"/>
        <v>1</v>
      </c>
      <c r="G88" s="146">
        <f t="shared" si="20"/>
        <v>0</v>
      </c>
      <c r="H88" s="146">
        <f t="shared" si="21"/>
        <v>0</v>
      </c>
      <c r="I88" s="146">
        <f t="shared" si="22"/>
        <v>0</v>
      </c>
      <c r="J88" s="146">
        <f t="shared" si="23"/>
        <v>0</v>
      </c>
      <c r="K88" s="146">
        <f t="shared" si="24"/>
        <v>0</v>
      </c>
      <c r="L88" s="147">
        <f t="shared" si="37"/>
        <v>0</v>
      </c>
      <c r="M88" s="147">
        <f t="shared" si="25"/>
        <v>0</v>
      </c>
      <c r="N88" s="147">
        <f t="shared" si="26"/>
        <v>0</v>
      </c>
      <c r="O88" s="147">
        <f t="shared" si="27"/>
        <v>0</v>
      </c>
      <c r="P88" s="147">
        <f t="shared" si="28"/>
        <v>0</v>
      </c>
      <c r="Q88" s="147">
        <f t="shared" si="29"/>
        <v>0</v>
      </c>
      <c r="R88" s="147">
        <f t="shared" si="30"/>
        <v>0</v>
      </c>
      <c r="S88" s="147">
        <f t="shared" si="31"/>
        <v>0</v>
      </c>
      <c r="T88" s="147">
        <f t="shared" si="32"/>
        <v>1</v>
      </c>
      <c r="U88" s="147">
        <f t="shared" si="33"/>
        <v>0</v>
      </c>
      <c r="V88" s="147">
        <f t="shared" si="34"/>
        <v>0</v>
      </c>
      <c r="W88" s="129">
        <v>1</v>
      </c>
      <c r="X88" s="144" t="str">
        <f t="shared" si="35"/>
        <v>WEEKEND</v>
      </c>
      <c r="Y88" s="148">
        <v>5.9333333333333336</v>
      </c>
      <c r="Z88" s="144" t="s">
        <v>45</v>
      </c>
      <c r="AA88" s="149">
        <v>1409</v>
      </c>
      <c r="AB88" s="149">
        <v>249.44045599999998</v>
      </c>
      <c r="AC88" s="149">
        <v>237.47191011235955</v>
      </c>
      <c r="AD88" s="156">
        <v>42.040526292134828</v>
      </c>
      <c r="AE88" s="149" t="str">
        <f>IFERROR(_xlfn.XLOOKUP(DATA_MASTER[[#This Row],[DATE]],RODEO[DATE],RODEO[ARTIST]),"")</f>
        <v/>
      </c>
      <c r="AF88" s="172">
        <f>IF(DATA_MASTER[[#This Row],[RODEO_ARTIST]]="",0,1)</f>
        <v>0</v>
      </c>
      <c r="AG88" t="str">
        <f>IFERROR(RIGHT(_xlfn.XLOOKUP(DATA_MASTER[[#This Row],[DATE]],ASTROS[DATE],ASTROS[OPPONENT]),LEN(_xlfn.XLOOKUP(DATA_MASTER[[#This Row],[DATE]],ASTROS[DATE],ASTROS[OPPONENT]))-3),"NO GAME")</f>
        <v>NO GAME</v>
      </c>
      <c r="AH88">
        <f>IF(DATA_MASTER[[#This Row],[ASTROS_GAME]]="NO GAME",0,1)</f>
        <v>0</v>
      </c>
      <c r="AI88">
        <f>_xlfn.XLOOKUP(DATA_MASTER[[#This Row],[DATE]],WEATHER[DATE],WEATHER[tempmax])</f>
        <v>73.400000000000006</v>
      </c>
      <c r="AJ88">
        <f>_xlfn.XLOOKUP(DATA_MASTER[[#This Row],[DATE]],WEATHER[DATE],WEATHER[precip])</f>
        <v>0</v>
      </c>
      <c r="AQ88"/>
      <c r="AR88"/>
      <c r="AS88"/>
    </row>
    <row r="89" spans="1:45" x14ac:dyDescent="0.35">
      <c r="A89" s="155">
        <v>45208</v>
      </c>
      <c r="B89" s="144" t="s">
        <v>46</v>
      </c>
      <c r="C89" s="144" t="s">
        <v>51</v>
      </c>
      <c r="D89" s="144" t="s">
        <v>57</v>
      </c>
      <c r="E89" s="145">
        <f t="shared" si="36"/>
        <v>1</v>
      </c>
      <c r="F89" s="146">
        <f t="shared" si="19"/>
        <v>0</v>
      </c>
      <c r="G89" s="146">
        <f t="shared" si="20"/>
        <v>1</v>
      </c>
      <c r="H89" s="146">
        <f t="shared" si="21"/>
        <v>0</v>
      </c>
      <c r="I89" s="146">
        <f t="shared" si="22"/>
        <v>0</v>
      </c>
      <c r="J89" s="146">
        <f t="shared" si="23"/>
        <v>0</v>
      </c>
      <c r="K89" s="146">
        <f t="shared" si="24"/>
        <v>0</v>
      </c>
      <c r="L89" s="147">
        <f t="shared" si="37"/>
        <v>0</v>
      </c>
      <c r="M89" s="147">
        <f t="shared" si="25"/>
        <v>0</v>
      </c>
      <c r="N89" s="147">
        <f t="shared" si="26"/>
        <v>0</v>
      </c>
      <c r="O89" s="147">
        <f t="shared" si="27"/>
        <v>0</v>
      </c>
      <c r="P89" s="147">
        <f t="shared" si="28"/>
        <v>0</v>
      </c>
      <c r="Q89" s="147">
        <f t="shared" si="29"/>
        <v>0</v>
      </c>
      <c r="R89" s="147">
        <f t="shared" si="30"/>
        <v>0</v>
      </c>
      <c r="S89" s="147">
        <f t="shared" si="31"/>
        <v>0</v>
      </c>
      <c r="T89" s="147">
        <f t="shared" si="32"/>
        <v>1</v>
      </c>
      <c r="U89" s="147">
        <f t="shared" si="33"/>
        <v>0</v>
      </c>
      <c r="V89" s="147">
        <f t="shared" si="34"/>
        <v>0</v>
      </c>
      <c r="W89" s="129">
        <v>0</v>
      </c>
      <c r="X89" s="144" t="str">
        <f t="shared" si="35"/>
        <v>WEEKDAY</v>
      </c>
      <c r="Y89" s="148">
        <v>6.2166666666666668</v>
      </c>
      <c r="Z89" s="144" t="s">
        <v>45</v>
      </c>
      <c r="AA89" s="149">
        <v>1222.5</v>
      </c>
      <c r="AB89" s="149">
        <v>231.20622</v>
      </c>
      <c r="AC89" s="149">
        <v>196.64879356568363</v>
      </c>
      <c r="AD89" s="156">
        <v>37.191349061662201</v>
      </c>
      <c r="AE89" s="149" t="str">
        <f>IFERROR(_xlfn.XLOOKUP(DATA_MASTER[[#This Row],[DATE]],RODEO[DATE],RODEO[ARTIST]),"")</f>
        <v/>
      </c>
      <c r="AF89" s="172">
        <f>IF(DATA_MASTER[[#This Row],[RODEO_ARTIST]]="",0,1)</f>
        <v>0</v>
      </c>
      <c r="AG89" t="str">
        <f>IFERROR(RIGHT(_xlfn.XLOOKUP(DATA_MASTER[[#This Row],[DATE]],ASTROS[DATE],ASTROS[OPPONENT]),LEN(_xlfn.XLOOKUP(DATA_MASTER[[#This Row],[DATE]],ASTROS[DATE],ASTROS[OPPONENT]))-3),"NO GAME")</f>
        <v>NO GAME</v>
      </c>
      <c r="AH89">
        <f>IF(DATA_MASTER[[#This Row],[ASTROS_GAME]]="NO GAME",0,1)</f>
        <v>0</v>
      </c>
      <c r="AI89">
        <f>_xlfn.XLOOKUP(DATA_MASTER[[#This Row],[DATE]],WEATHER[DATE],WEATHER[tempmax])</f>
        <v>80.7</v>
      </c>
      <c r="AJ89">
        <f>_xlfn.XLOOKUP(DATA_MASTER[[#This Row],[DATE]],WEATHER[DATE],WEATHER[precip])</f>
        <v>0</v>
      </c>
      <c r="AQ89"/>
      <c r="AR89"/>
      <c r="AS89"/>
    </row>
    <row r="90" spans="1:45" x14ac:dyDescent="0.35">
      <c r="A90" s="155">
        <v>45209</v>
      </c>
      <c r="B90" s="144" t="s">
        <v>46</v>
      </c>
      <c r="C90" s="144" t="s">
        <v>52</v>
      </c>
      <c r="D90" s="144" t="s">
        <v>57</v>
      </c>
      <c r="E90" s="145">
        <f t="shared" si="36"/>
        <v>1</v>
      </c>
      <c r="F90" s="146">
        <f t="shared" si="19"/>
        <v>0</v>
      </c>
      <c r="G90" s="146">
        <f t="shared" si="20"/>
        <v>0</v>
      </c>
      <c r="H90" s="146">
        <f t="shared" si="21"/>
        <v>0</v>
      </c>
      <c r="I90" s="146">
        <f t="shared" si="22"/>
        <v>0</v>
      </c>
      <c r="J90" s="146">
        <f t="shared" si="23"/>
        <v>0</v>
      </c>
      <c r="K90" s="146">
        <f t="shared" si="24"/>
        <v>0</v>
      </c>
      <c r="L90" s="147">
        <f t="shared" si="37"/>
        <v>0</v>
      </c>
      <c r="M90" s="147">
        <f t="shared" si="25"/>
        <v>0</v>
      </c>
      <c r="N90" s="147">
        <f t="shared" si="26"/>
        <v>0</v>
      </c>
      <c r="O90" s="147">
        <f t="shared" si="27"/>
        <v>0</v>
      </c>
      <c r="P90" s="147">
        <f t="shared" si="28"/>
        <v>0</v>
      </c>
      <c r="Q90" s="147">
        <f t="shared" si="29"/>
        <v>0</v>
      </c>
      <c r="R90" s="147">
        <f t="shared" si="30"/>
        <v>0</v>
      </c>
      <c r="S90" s="147">
        <f t="shared" si="31"/>
        <v>0</v>
      </c>
      <c r="T90" s="147">
        <f t="shared" si="32"/>
        <v>1</v>
      </c>
      <c r="U90" s="147">
        <f t="shared" si="33"/>
        <v>0</v>
      </c>
      <c r="V90" s="147">
        <f t="shared" si="34"/>
        <v>0</v>
      </c>
      <c r="W90" s="129">
        <v>0</v>
      </c>
      <c r="X90" s="144" t="str">
        <f t="shared" si="35"/>
        <v>WEEKDAY</v>
      </c>
      <c r="Y90" s="148">
        <v>4.5</v>
      </c>
      <c r="Z90" s="144" t="s">
        <v>45</v>
      </c>
      <c r="AA90" s="149">
        <v>1012</v>
      </c>
      <c r="AB90" s="149">
        <v>162.29396800000001</v>
      </c>
      <c r="AC90" s="149">
        <v>224.88888888888889</v>
      </c>
      <c r="AD90" s="156">
        <v>36.065326222222225</v>
      </c>
      <c r="AE90" s="149" t="str">
        <f>IFERROR(_xlfn.XLOOKUP(DATA_MASTER[[#This Row],[DATE]],RODEO[DATE],RODEO[ARTIST]),"")</f>
        <v/>
      </c>
      <c r="AF90" s="172">
        <f>IF(DATA_MASTER[[#This Row],[RODEO_ARTIST]]="",0,1)</f>
        <v>0</v>
      </c>
      <c r="AG90" t="str">
        <f>IFERROR(RIGHT(_xlfn.XLOOKUP(DATA_MASTER[[#This Row],[DATE]],ASTROS[DATE],ASTROS[OPPONENT]),LEN(_xlfn.XLOOKUP(DATA_MASTER[[#This Row],[DATE]],ASTROS[DATE],ASTROS[OPPONENT]))-3),"NO GAME")</f>
        <v>NO GAME</v>
      </c>
      <c r="AH90">
        <f>IF(DATA_MASTER[[#This Row],[ASTROS_GAME]]="NO GAME",0,1)</f>
        <v>0</v>
      </c>
      <c r="AI90">
        <f>_xlfn.XLOOKUP(DATA_MASTER[[#This Row],[DATE]],WEATHER[DATE],WEATHER[tempmax])</f>
        <v>78.900000000000006</v>
      </c>
      <c r="AJ90">
        <f>_xlfn.XLOOKUP(DATA_MASTER[[#This Row],[DATE]],WEATHER[DATE],WEATHER[precip])</f>
        <v>0</v>
      </c>
      <c r="AQ90"/>
      <c r="AR90"/>
      <c r="AS90"/>
    </row>
    <row r="91" spans="1:45" x14ac:dyDescent="0.35">
      <c r="A91" s="155">
        <v>45210</v>
      </c>
      <c r="B91" s="144" t="s">
        <v>46</v>
      </c>
      <c r="C91" s="144" t="s">
        <v>44</v>
      </c>
      <c r="D91" s="144" t="s">
        <v>57</v>
      </c>
      <c r="E91" s="145">
        <f t="shared" si="36"/>
        <v>1</v>
      </c>
      <c r="F91" s="146">
        <f t="shared" si="19"/>
        <v>0</v>
      </c>
      <c r="G91" s="146">
        <f t="shared" si="20"/>
        <v>0</v>
      </c>
      <c r="H91" s="146">
        <f t="shared" si="21"/>
        <v>1</v>
      </c>
      <c r="I91" s="146">
        <f t="shared" si="22"/>
        <v>0</v>
      </c>
      <c r="J91" s="146">
        <f t="shared" si="23"/>
        <v>0</v>
      </c>
      <c r="K91" s="146">
        <f t="shared" si="24"/>
        <v>0</v>
      </c>
      <c r="L91" s="147">
        <f t="shared" si="37"/>
        <v>0</v>
      </c>
      <c r="M91" s="147">
        <f t="shared" si="25"/>
        <v>0</v>
      </c>
      <c r="N91" s="147">
        <f t="shared" si="26"/>
        <v>0</v>
      </c>
      <c r="O91" s="147">
        <f t="shared" si="27"/>
        <v>0</v>
      </c>
      <c r="P91" s="147">
        <f t="shared" si="28"/>
        <v>0</v>
      </c>
      <c r="Q91" s="147">
        <f t="shared" si="29"/>
        <v>0</v>
      </c>
      <c r="R91" s="147">
        <f t="shared" si="30"/>
        <v>0</v>
      </c>
      <c r="S91" s="147">
        <f t="shared" si="31"/>
        <v>0</v>
      </c>
      <c r="T91" s="147">
        <f t="shared" si="32"/>
        <v>1</v>
      </c>
      <c r="U91" s="147">
        <f t="shared" si="33"/>
        <v>0</v>
      </c>
      <c r="V91" s="147">
        <f t="shared" si="34"/>
        <v>0</v>
      </c>
      <c r="W91" s="129">
        <v>0</v>
      </c>
      <c r="X91" s="144" t="str">
        <f t="shared" si="35"/>
        <v>WEEKDAY</v>
      </c>
      <c r="Y91" s="148">
        <v>3.25</v>
      </c>
      <c r="Z91" s="144" t="s">
        <v>45</v>
      </c>
      <c r="AA91" s="149">
        <v>212.5</v>
      </c>
      <c r="AB91" s="149">
        <v>31.566172000000002</v>
      </c>
      <c r="AC91" s="149">
        <v>65.384615384615387</v>
      </c>
      <c r="AD91" s="156">
        <v>9.7126683076923079</v>
      </c>
      <c r="AE91" s="149" t="str">
        <f>IFERROR(_xlfn.XLOOKUP(DATA_MASTER[[#This Row],[DATE]],RODEO[DATE],RODEO[ARTIST]),"")</f>
        <v/>
      </c>
      <c r="AF91" s="172">
        <f>IF(DATA_MASTER[[#This Row],[RODEO_ARTIST]]="",0,1)</f>
        <v>0</v>
      </c>
      <c r="AG91" t="str">
        <f>IFERROR(RIGHT(_xlfn.XLOOKUP(DATA_MASTER[[#This Row],[DATE]],ASTROS[DATE],ASTROS[OPPONENT]),LEN(_xlfn.XLOOKUP(DATA_MASTER[[#This Row],[DATE]],ASTROS[DATE],ASTROS[OPPONENT]))-3),"NO GAME")</f>
        <v>NO GAME</v>
      </c>
      <c r="AH91">
        <f>IF(DATA_MASTER[[#This Row],[ASTROS_GAME]]="NO GAME",0,1)</f>
        <v>0</v>
      </c>
      <c r="AI91">
        <f>_xlfn.XLOOKUP(DATA_MASTER[[#This Row],[DATE]],WEATHER[DATE],WEATHER[tempmax])</f>
        <v>71.599999999999994</v>
      </c>
      <c r="AJ91">
        <f>_xlfn.XLOOKUP(DATA_MASTER[[#This Row],[DATE]],WEATHER[DATE],WEATHER[precip])</f>
        <v>0.28299999999999997</v>
      </c>
      <c r="AQ91"/>
      <c r="AR91"/>
      <c r="AS91"/>
    </row>
    <row r="92" spans="1:45" x14ac:dyDescent="0.35">
      <c r="A92" s="155">
        <v>45211</v>
      </c>
      <c r="B92" s="144" t="s">
        <v>46</v>
      </c>
      <c r="C92" s="144" t="s">
        <v>47</v>
      </c>
      <c r="D92" s="144" t="s">
        <v>57</v>
      </c>
      <c r="E92" s="145">
        <f t="shared" si="36"/>
        <v>1</v>
      </c>
      <c r="F92" s="146">
        <f t="shared" si="19"/>
        <v>0</v>
      </c>
      <c r="G92" s="146">
        <f t="shared" si="20"/>
        <v>0</v>
      </c>
      <c r="H92" s="146">
        <f t="shared" si="21"/>
        <v>0</v>
      </c>
      <c r="I92" s="146">
        <f t="shared" si="22"/>
        <v>1</v>
      </c>
      <c r="J92" s="146">
        <f t="shared" si="23"/>
        <v>0</v>
      </c>
      <c r="K92" s="146">
        <f t="shared" si="24"/>
        <v>0</v>
      </c>
      <c r="L92" s="147">
        <f t="shared" si="37"/>
        <v>0</v>
      </c>
      <c r="M92" s="147">
        <f t="shared" si="25"/>
        <v>0</v>
      </c>
      <c r="N92" s="147">
        <f t="shared" si="26"/>
        <v>0</v>
      </c>
      <c r="O92" s="147">
        <f t="shared" si="27"/>
        <v>0</v>
      </c>
      <c r="P92" s="147">
        <f t="shared" si="28"/>
        <v>0</v>
      </c>
      <c r="Q92" s="147">
        <f t="shared" si="29"/>
        <v>0</v>
      </c>
      <c r="R92" s="147">
        <f t="shared" si="30"/>
        <v>0</v>
      </c>
      <c r="S92" s="147">
        <f t="shared" si="31"/>
        <v>0</v>
      </c>
      <c r="T92" s="147">
        <f t="shared" si="32"/>
        <v>1</v>
      </c>
      <c r="U92" s="147">
        <f t="shared" si="33"/>
        <v>0</v>
      </c>
      <c r="V92" s="147">
        <f t="shared" si="34"/>
        <v>0</v>
      </c>
      <c r="W92" s="129">
        <v>0</v>
      </c>
      <c r="X92" s="144" t="str">
        <f t="shared" si="35"/>
        <v>WEEKDAY</v>
      </c>
      <c r="Y92" s="148">
        <v>3.75</v>
      </c>
      <c r="Z92" s="144" t="s">
        <v>45</v>
      </c>
      <c r="AA92" s="149">
        <v>306.5</v>
      </c>
      <c r="AB92" s="149">
        <v>50.00262</v>
      </c>
      <c r="AC92" s="149">
        <v>81.733333333333334</v>
      </c>
      <c r="AD92" s="156">
        <v>13.334032000000001</v>
      </c>
      <c r="AE92" s="149" t="str">
        <f>IFERROR(_xlfn.XLOOKUP(DATA_MASTER[[#This Row],[DATE]],RODEO[DATE],RODEO[ARTIST]),"")</f>
        <v/>
      </c>
      <c r="AF92" s="172">
        <f>IF(DATA_MASTER[[#This Row],[RODEO_ARTIST]]="",0,1)</f>
        <v>0</v>
      </c>
      <c r="AG92" t="str">
        <f>IFERROR(RIGHT(_xlfn.XLOOKUP(DATA_MASTER[[#This Row],[DATE]],ASTROS[DATE],ASTROS[OPPONENT]),LEN(_xlfn.XLOOKUP(DATA_MASTER[[#This Row],[DATE]],ASTROS[DATE],ASTROS[OPPONENT]))-3),"NO GAME")</f>
        <v>NO GAME</v>
      </c>
      <c r="AH92">
        <f>IF(DATA_MASTER[[#This Row],[ASTROS_GAME]]="NO GAME",0,1)</f>
        <v>0</v>
      </c>
      <c r="AI92">
        <f>_xlfn.XLOOKUP(DATA_MASTER[[#This Row],[DATE]],WEATHER[DATE],WEATHER[tempmax])</f>
        <v>78.900000000000006</v>
      </c>
      <c r="AJ92">
        <f>_xlfn.XLOOKUP(DATA_MASTER[[#This Row],[DATE]],WEATHER[DATE],WEATHER[precip])</f>
        <v>0</v>
      </c>
      <c r="AQ92"/>
      <c r="AR92"/>
      <c r="AS92"/>
    </row>
    <row r="93" spans="1:45" x14ac:dyDescent="0.35">
      <c r="A93" s="155">
        <v>45214</v>
      </c>
      <c r="B93" s="144" t="s">
        <v>46</v>
      </c>
      <c r="C93" s="144" t="s">
        <v>50</v>
      </c>
      <c r="D93" s="144" t="s">
        <v>57</v>
      </c>
      <c r="E93" s="145">
        <f t="shared" si="36"/>
        <v>1</v>
      </c>
      <c r="F93" s="146">
        <f t="shared" si="19"/>
        <v>1</v>
      </c>
      <c r="G93" s="146">
        <f t="shared" si="20"/>
        <v>0</v>
      </c>
      <c r="H93" s="146">
        <f t="shared" si="21"/>
        <v>0</v>
      </c>
      <c r="I93" s="146">
        <f t="shared" si="22"/>
        <v>0</v>
      </c>
      <c r="J93" s="146">
        <f t="shared" si="23"/>
        <v>0</v>
      </c>
      <c r="K93" s="146">
        <f t="shared" si="24"/>
        <v>0</v>
      </c>
      <c r="L93" s="147">
        <f t="shared" si="37"/>
        <v>0</v>
      </c>
      <c r="M93" s="147">
        <f t="shared" si="25"/>
        <v>0</v>
      </c>
      <c r="N93" s="147">
        <f t="shared" si="26"/>
        <v>0</v>
      </c>
      <c r="O93" s="147">
        <f t="shared" si="27"/>
        <v>0</v>
      </c>
      <c r="P93" s="147">
        <f t="shared" si="28"/>
        <v>0</v>
      </c>
      <c r="Q93" s="147">
        <f t="shared" si="29"/>
        <v>0</v>
      </c>
      <c r="R93" s="147">
        <f t="shared" si="30"/>
        <v>0</v>
      </c>
      <c r="S93" s="147">
        <f t="shared" si="31"/>
        <v>0</v>
      </c>
      <c r="T93" s="147">
        <f t="shared" si="32"/>
        <v>1</v>
      </c>
      <c r="U93" s="147">
        <f t="shared" si="33"/>
        <v>0</v>
      </c>
      <c r="V93" s="147">
        <f t="shared" si="34"/>
        <v>0</v>
      </c>
      <c r="W93" s="129">
        <v>1</v>
      </c>
      <c r="X93" s="144" t="str">
        <f t="shared" si="35"/>
        <v>WEEKEND</v>
      </c>
      <c r="Y93" s="148">
        <v>6.0166666666666666</v>
      </c>
      <c r="Z93" s="144" t="s">
        <v>45</v>
      </c>
      <c r="AA93" s="149">
        <v>1403.5</v>
      </c>
      <c r="AB93" s="149">
        <v>137.80432400000001</v>
      </c>
      <c r="AC93" s="149">
        <v>233.26869806094183</v>
      </c>
      <c r="AD93" s="156">
        <v>22.903765761772856</v>
      </c>
      <c r="AE93" s="149" t="str">
        <f>IFERROR(_xlfn.XLOOKUP(DATA_MASTER[[#This Row],[DATE]],RODEO[DATE],RODEO[ARTIST]),"")</f>
        <v/>
      </c>
      <c r="AF93" s="172">
        <f>IF(DATA_MASTER[[#This Row],[RODEO_ARTIST]]="",0,1)</f>
        <v>0</v>
      </c>
      <c r="AG93" t="str">
        <f>IFERROR(RIGHT(_xlfn.XLOOKUP(DATA_MASTER[[#This Row],[DATE]],ASTROS[DATE],ASTROS[OPPONENT]),LEN(_xlfn.XLOOKUP(DATA_MASTER[[#This Row],[DATE]],ASTROS[DATE],ASTROS[OPPONENT]))-3),"NO GAME")</f>
        <v>NO GAME</v>
      </c>
      <c r="AH93">
        <f>IF(DATA_MASTER[[#This Row],[ASTROS_GAME]]="NO GAME",0,1)</f>
        <v>0</v>
      </c>
      <c r="AI93">
        <f>_xlfn.XLOOKUP(DATA_MASTER[[#This Row],[DATE]],WEATHER[DATE],WEATHER[tempmax])</f>
        <v>70</v>
      </c>
      <c r="AJ93">
        <f>_xlfn.XLOOKUP(DATA_MASTER[[#This Row],[DATE]],WEATHER[DATE],WEATHER[precip])</f>
        <v>0</v>
      </c>
      <c r="AQ93"/>
      <c r="AR93"/>
      <c r="AS93"/>
    </row>
    <row r="94" spans="1:45" x14ac:dyDescent="0.35">
      <c r="A94" s="155">
        <v>45215</v>
      </c>
      <c r="B94" s="144" t="s">
        <v>46</v>
      </c>
      <c r="C94" s="144" t="s">
        <v>51</v>
      </c>
      <c r="D94" s="144" t="s">
        <v>57</v>
      </c>
      <c r="E94" s="145">
        <f t="shared" si="36"/>
        <v>1</v>
      </c>
      <c r="F94" s="146">
        <f t="shared" si="19"/>
        <v>0</v>
      </c>
      <c r="G94" s="146">
        <f t="shared" si="20"/>
        <v>1</v>
      </c>
      <c r="H94" s="146">
        <f t="shared" si="21"/>
        <v>0</v>
      </c>
      <c r="I94" s="146">
        <f t="shared" si="22"/>
        <v>0</v>
      </c>
      <c r="J94" s="146">
        <f t="shared" si="23"/>
        <v>0</v>
      </c>
      <c r="K94" s="146">
        <f t="shared" si="24"/>
        <v>0</v>
      </c>
      <c r="L94" s="147">
        <f t="shared" si="37"/>
        <v>0</v>
      </c>
      <c r="M94" s="147">
        <f t="shared" si="25"/>
        <v>0</v>
      </c>
      <c r="N94" s="147">
        <f t="shared" si="26"/>
        <v>0</v>
      </c>
      <c r="O94" s="147">
        <f t="shared" si="27"/>
        <v>0</v>
      </c>
      <c r="P94" s="147">
        <f t="shared" si="28"/>
        <v>0</v>
      </c>
      <c r="Q94" s="147">
        <f t="shared" si="29"/>
        <v>0</v>
      </c>
      <c r="R94" s="147">
        <f t="shared" si="30"/>
        <v>0</v>
      </c>
      <c r="S94" s="147">
        <f t="shared" si="31"/>
        <v>0</v>
      </c>
      <c r="T94" s="147">
        <f t="shared" si="32"/>
        <v>1</v>
      </c>
      <c r="U94" s="147">
        <f t="shared" si="33"/>
        <v>0</v>
      </c>
      <c r="V94" s="147">
        <f t="shared" si="34"/>
        <v>0</v>
      </c>
      <c r="W94" s="129">
        <v>0</v>
      </c>
      <c r="X94" s="144" t="str">
        <f t="shared" si="35"/>
        <v>WEEKDAY</v>
      </c>
      <c r="Y94" s="148">
        <v>6.4333333333333336</v>
      </c>
      <c r="Z94" s="144" t="s">
        <v>45</v>
      </c>
      <c r="AA94" s="149">
        <v>1422.48</v>
      </c>
      <c r="AB94" s="149">
        <v>242.09894400000002</v>
      </c>
      <c r="AC94" s="149">
        <v>221.11088082901554</v>
      </c>
      <c r="AD94" s="156">
        <v>37.63196020725389</v>
      </c>
      <c r="AE94" s="149" t="str">
        <f>IFERROR(_xlfn.XLOOKUP(DATA_MASTER[[#This Row],[DATE]],RODEO[DATE],RODEO[ARTIST]),"")</f>
        <v/>
      </c>
      <c r="AF94" s="172">
        <f>IF(DATA_MASTER[[#This Row],[RODEO_ARTIST]]="",0,1)</f>
        <v>0</v>
      </c>
      <c r="AG94" t="str">
        <f>IFERROR(RIGHT(_xlfn.XLOOKUP(DATA_MASTER[[#This Row],[DATE]],ASTROS[DATE],ASTROS[OPPONENT]),LEN(_xlfn.XLOOKUP(DATA_MASTER[[#This Row],[DATE]],ASTROS[DATE],ASTROS[OPPONENT]))-3),"NO GAME")</f>
        <v>NO GAME</v>
      </c>
      <c r="AH94">
        <f>IF(DATA_MASTER[[#This Row],[ASTROS_GAME]]="NO GAME",0,1)</f>
        <v>0</v>
      </c>
      <c r="AI94">
        <f>_xlfn.XLOOKUP(DATA_MASTER[[#This Row],[DATE]],WEATHER[DATE],WEATHER[tempmax])</f>
        <v>66.400000000000006</v>
      </c>
      <c r="AJ94">
        <f>_xlfn.XLOOKUP(DATA_MASTER[[#This Row],[DATE]],WEATHER[DATE],WEATHER[precip])</f>
        <v>0</v>
      </c>
      <c r="AQ94"/>
      <c r="AR94"/>
      <c r="AS94"/>
    </row>
    <row r="95" spans="1:45" x14ac:dyDescent="0.35">
      <c r="A95" s="155">
        <v>45216</v>
      </c>
      <c r="B95" s="144" t="s">
        <v>42</v>
      </c>
      <c r="C95" s="144" t="s">
        <v>52</v>
      </c>
      <c r="D95" s="144" t="s">
        <v>57</v>
      </c>
      <c r="E95" s="145">
        <f t="shared" si="36"/>
        <v>0</v>
      </c>
      <c r="F95" s="146">
        <f t="shared" si="19"/>
        <v>0</v>
      </c>
      <c r="G95" s="146">
        <f t="shared" si="20"/>
        <v>0</v>
      </c>
      <c r="H95" s="146">
        <f t="shared" si="21"/>
        <v>0</v>
      </c>
      <c r="I95" s="146">
        <f t="shared" si="22"/>
        <v>0</v>
      </c>
      <c r="J95" s="146">
        <f t="shared" si="23"/>
        <v>0</v>
      </c>
      <c r="K95" s="146">
        <f t="shared" si="24"/>
        <v>0</v>
      </c>
      <c r="L95" s="147">
        <f t="shared" si="37"/>
        <v>0</v>
      </c>
      <c r="M95" s="147">
        <f t="shared" si="25"/>
        <v>0</v>
      </c>
      <c r="N95" s="147">
        <f t="shared" si="26"/>
        <v>0</v>
      </c>
      <c r="O95" s="147">
        <f t="shared" si="27"/>
        <v>0</v>
      </c>
      <c r="P95" s="147">
        <f t="shared" si="28"/>
        <v>0</v>
      </c>
      <c r="Q95" s="147">
        <f t="shared" si="29"/>
        <v>0</v>
      </c>
      <c r="R95" s="147">
        <f t="shared" si="30"/>
        <v>0</v>
      </c>
      <c r="S95" s="147">
        <f t="shared" si="31"/>
        <v>0</v>
      </c>
      <c r="T95" s="147">
        <f t="shared" si="32"/>
        <v>1</v>
      </c>
      <c r="U95" s="147">
        <f t="shared" si="33"/>
        <v>0</v>
      </c>
      <c r="V95" s="147">
        <f t="shared" si="34"/>
        <v>0</v>
      </c>
      <c r="W95" s="129">
        <v>0</v>
      </c>
      <c r="X95" s="144" t="str">
        <f t="shared" si="35"/>
        <v>WEEKDAY</v>
      </c>
      <c r="Y95" s="148">
        <v>5.2</v>
      </c>
      <c r="Z95" s="144" t="s">
        <v>55</v>
      </c>
      <c r="AA95" s="149">
        <v>836</v>
      </c>
      <c r="AB95" s="149">
        <v>115.57019199999999</v>
      </c>
      <c r="AC95" s="149">
        <v>160.76923076923077</v>
      </c>
      <c r="AD95" s="156">
        <v>22.225036923076921</v>
      </c>
      <c r="AE95" s="149" t="str">
        <f>IFERROR(_xlfn.XLOOKUP(DATA_MASTER[[#This Row],[DATE]],RODEO[DATE],RODEO[ARTIST]),"")</f>
        <v/>
      </c>
      <c r="AF95" s="172">
        <f>IF(DATA_MASTER[[#This Row],[RODEO_ARTIST]]="",0,1)</f>
        <v>0</v>
      </c>
      <c r="AG95" t="str">
        <f>IFERROR(RIGHT(_xlfn.XLOOKUP(DATA_MASTER[[#This Row],[DATE]],ASTROS[DATE],ASTROS[OPPONENT]),LEN(_xlfn.XLOOKUP(DATA_MASTER[[#This Row],[DATE]],ASTROS[DATE],ASTROS[OPPONENT]))-3),"NO GAME")</f>
        <v>NO GAME</v>
      </c>
      <c r="AH95">
        <f>IF(DATA_MASTER[[#This Row],[ASTROS_GAME]]="NO GAME",0,1)</f>
        <v>0</v>
      </c>
      <c r="AI95">
        <f>_xlfn.XLOOKUP(DATA_MASTER[[#This Row],[DATE]],WEATHER[DATE],WEATHER[tempmax])</f>
        <v>72.7</v>
      </c>
      <c r="AJ95">
        <f>_xlfn.XLOOKUP(DATA_MASTER[[#This Row],[DATE]],WEATHER[DATE],WEATHER[precip])</f>
        <v>0</v>
      </c>
      <c r="AQ95"/>
      <c r="AR95"/>
      <c r="AS95"/>
    </row>
    <row r="96" spans="1:45" x14ac:dyDescent="0.35">
      <c r="A96" s="155">
        <v>45216</v>
      </c>
      <c r="B96" s="144" t="s">
        <v>46</v>
      </c>
      <c r="C96" s="144" t="s">
        <v>52</v>
      </c>
      <c r="D96" s="144" t="s">
        <v>57</v>
      </c>
      <c r="E96" s="145">
        <f t="shared" si="36"/>
        <v>1</v>
      </c>
      <c r="F96" s="146">
        <f t="shared" si="19"/>
        <v>0</v>
      </c>
      <c r="G96" s="146">
        <f t="shared" si="20"/>
        <v>0</v>
      </c>
      <c r="H96" s="146">
        <f t="shared" si="21"/>
        <v>0</v>
      </c>
      <c r="I96" s="146">
        <f t="shared" si="22"/>
        <v>0</v>
      </c>
      <c r="J96" s="146">
        <f t="shared" si="23"/>
        <v>0</v>
      </c>
      <c r="K96" s="146">
        <f t="shared" si="24"/>
        <v>0</v>
      </c>
      <c r="L96" s="147">
        <f t="shared" si="37"/>
        <v>0</v>
      </c>
      <c r="M96" s="147">
        <f t="shared" si="25"/>
        <v>0</v>
      </c>
      <c r="N96" s="147">
        <f t="shared" si="26"/>
        <v>0</v>
      </c>
      <c r="O96" s="147">
        <f t="shared" si="27"/>
        <v>0</v>
      </c>
      <c r="P96" s="147">
        <f t="shared" si="28"/>
        <v>0</v>
      </c>
      <c r="Q96" s="147">
        <f t="shared" si="29"/>
        <v>0</v>
      </c>
      <c r="R96" s="147">
        <f t="shared" si="30"/>
        <v>0</v>
      </c>
      <c r="S96" s="147">
        <f t="shared" si="31"/>
        <v>0</v>
      </c>
      <c r="T96" s="147">
        <f t="shared" si="32"/>
        <v>1</v>
      </c>
      <c r="U96" s="147">
        <f t="shared" si="33"/>
        <v>0</v>
      </c>
      <c r="V96" s="147">
        <f t="shared" si="34"/>
        <v>0</v>
      </c>
      <c r="W96" s="129">
        <v>0</v>
      </c>
      <c r="X96" s="144" t="str">
        <f t="shared" si="35"/>
        <v>WEEKDAY</v>
      </c>
      <c r="Y96" s="148">
        <v>2.9333333333333331</v>
      </c>
      <c r="Z96" s="144" t="s">
        <v>55</v>
      </c>
      <c r="AA96" s="149">
        <v>245</v>
      </c>
      <c r="AB96" s="149">
        <v>39.669471999999999</v>
      </c>
      <c r="AC96" s="149">
        <v>83.52272727272728</v>
      </c>
      <c r="AD96" s="156">
        <v>13.523683636363637</v>
      </c>
      <c r="AE96" s="149" t="str">
        <f>IFERROR(_xlfn.XLOOKUP(DATA_MASTER[[#This Row],[DATE]],RODEO[DATE],RODEO[ARTIST]),"")</f>
        <v/>
      </c>
      <c r="AF96" s="172">
        <f>IF(DATA_MASTER[[#This Row],[RODEO_ARTIST]]="",0,1)</f>
        <v>0</v>
      </c>
      <c r="AG96" t="str">
        <f>IFERROR(RIGHT(_xlfn.XLOOKUP(DATA_MASTER[[#This Row],[DATE]],ASTROS[DATE],ASTROS[OPPONENT]),LEN(_xlfn.XLOOKUP(DATA_MASTER[[#This Row],[DATE]],ASTROS[DATE],ASTROS[OPPONENT]))-3),"NO GAME")</f>
        <v>NO GAME</v>
      </c>
      <c r="AH96">
        <f>IF(DATA_MASTER[[#This Row],[ASTROS_GAME]]="NO GAME",0,1)</f>
        <v>0</v>
      </c>
      <c r="AI96">
        <f>_xlfn.XLOOKUP(DATA_MASTER[[#This Row],[DATE]],WEATHER[DATE],WEATHER[tempmax])</f>
        <v>72.7</v>
      </c>
      <c r="AJ96">
        <f>_xlfn.XLOOKUP(DATA_MASTER[[#This Row],[DATE]],WEATHER[DATE],WEATHER[precip])</f>
        <v>0</v>
      </c>
      <c r="AQ96"/>
      <c r="AR96"/>
      <c r="AS96"/>
    </row>
    <row r="97" spans="1:45" x14ac:dyDescent="0.35">
      <c r="A97" s="155">
        <v>45217</v>
      </c>
      <c r="B97" s="144" t="s">
        <v>46</v>
      </c>
      <c r="C97" s="144" t="s">
        <v>44</v>
      </c>
      <c r="D97" s="144" t="s">
        <v>57</v>
      </c>
      <c r="E97" s="145">
        <f t="shared" si="36"/>
        <v>1</v>
      </c>
      <c r="F97" s="146">
        <f t="shared" si="19"/>
        <v>0</v>
      </c>
      <c r="G97" s="146">
        <f t="shared" si="20"/>
        <v>0</v>
      </c>
      <c r="H97" s="146">
        <f t="shared" si="21"/>
        <v>1</v>
      </c>
      <c r="I97" s="146">
        <f t="shared" si="22"/>
        <v>0</v>
      </c>
      <c r="J97" s="146">
        <f t="shared" si="23"/>
        <v>0</v>
      </c>
      <c r="K97" s="146">
        <f t="shared" si="24"/>
        <v>0</v>
      </c>
      <c r="L97" s="147">
        <f t="shared" si="37"/>
        <v>0</v>
      </c>
      <c r="M97" s="147">
        <f t="shared" si="25"/>
        <v>0</v>
      </c>
      <c r="N97" s="147">
        <f t="shared" si="26"/>
        <v>0</v>
      </c>
      <c r="O97" s="147">
        <f t="shared" si="27"/>
        <v>0</v>
      </c>
      <c r="P97" s="147">
        <f t="shared" si="28"/>
        <v>0</v>
      </c>
      <c r="Q97" s="147">
        <f t="shared" si="29"/>
        <v>0</v>
      </c>
      <c r="R97" s="147">
        <f t="shared" si="30"/>
        <v>0</v>
      </c>
      <c r="S97" s="147">
        <f t="shared" si="31"/>
        <v>0</v>
      </c>
      <c r="T97" s="147">
        <f t="shared" si="32"/>
        <v>1</v>
      </c>
      <c r="U97" s="147">
        <f t="shared" si="33"/>
        <v>0</v>
      </c>
      <c r="V97" s="147">
        <f t="shared" si="34"/>
        <v>0</v>
      </c>
      <c r="W97" s="129">
        <v>0</v>
      </c>
      <c r="X97" s="144" t="str">
        <f t="shared" si="35"/>
        <v>WEEKDAY</v>
      </c>
      <c r="Y97" s="148">
        <v>4.5666666666666664</v>
      </c>
      <c r="Z97" s="144" t="s">
        <v>45</v>
      </c>
      <c r="AA97" s="149">
        <v>1018</v>
      </c>
      <c r="AB97" s="149">
        <v>188.66008000000002</v>
      </c>
      <c r="AC97" s="149">
        <v>222.9197080291971</v>
      </c>
      <c r="AD97" s="156">
        <v>41.312426277372268</v>
      </c>
      <c r="AE97" s="149" t="str">
        <f>IFERROR(_xlfn.XLOOKUP(DATA_MASTER[[#This Row],[DATE]],RODEO[DATE],RODEO[ARTIST]),"")</f>
        <v/>
      </c>
      <c r="AF97" s="172">
        <f>IF(DATA_MASTER[[#This Row],[RODEO_ARTIST]]="",0,1)</f>
        <v>0</v>
      </c>
      <c r="AG97" t="str">
        <f>IFERROR(RIGHT(_xlfn.XLOOKUP(DATA_MASTER[[#This Row],[DATE]],ASTROS[DATE],ASTROS[OPPONENT]),LEN(_xlfn.XLOOKUP(DATA_MASTER[[#This Row],[DATE]],ASTROS[DATE],ASTROS[OPPONENT]))-3),"NO GAME")</f>
        <v>NO GAME</v>
      </c>
      <c r="AH97">
        <f>IF(DATA_MASTER[[#This Row],[ASTROS_GAME]]="NO GAME",0,1)</f>
        <v>0</v>
      </c>
      <c r="AI97">
        <f>_xlfn.XLOOKUP(DATA_MASTER[[#This Row],[DATE]],WEATHER[DATE],WEATHER[tempmax])</f>
        <v>79</v>
      </c>
      <c r="AJ97">
        <f>_xlfn.XLOOKUP(DATA_MASTER[[#This Row],[DATE]],WEATHER[DATE],WEATHER[precip])</f>
        <v>0</v>
      </c>
      <c r="AQ97"/>
      <c r="AR97"/>
      <c r="AS97"/>
    </row>
    <row r="98" spans="1:45" x14ac:dyDescent="0.35">
      <c r="A98" s="155">
        <v>45218</v>
      </c>
      <c r="B98" s="144" t="s">
        <v>46</v>
      </c>
      <c r="C98" s="144" t="s">
        <v>47</v>
      </c>
      <c r="D98" s="144" t="s">
        <v>57</v>
      </c>
      <c r="E98" s="145">
        <f t="shared" si="36"/>
        <v>1</v>
      </c>
      <c r="F98" s="146">
        <f t="shared" si="19"/>
        <v>0</v>
      </c>
      <c r="G98" s="146">
        <f t="shared" si="20"/>
        <v>0</v>
      </c>
      <c r="H98" s="146">
        <f t="shared" si="21"/>
        <v>0</v>
      </c>
      <c r="I98" s="146">
        <f t="shared" si="22"/>
        <v>1</v>
      </c>
      <c r="J98" s="146">
        <f t="shared" si="23"/>
        <v>0</v>
      </c>
      <c r="K98" s="146">
        <f t="shared" si="24"/>
        <v>0</v>
      </c>
      <c r="L98" s="147">
        <f t="shared" si="37"/>
        <v>0</v>
      </c>
      <c r="M98" s="147">
        <f t="shared" si="25"/>
        <v>0</v>
      </c>
      <c r="N98" s="147">
        <f t="shared" si="26"/>
        <v>0</v>
      </c>
      <c r="O98" s="147">
        <f t="shared" si="27"/>
        <v>0</v>
      </c>
      <c r="P98" s="147">
        <f t="shared" si="28"/>
        <v>0</v>
      </c>
      <c r="Q98" s="147">
        <f t="shared" si="29"/>
        <v>0</v>
      </c>
      <c r="R98" s="147">
        <f t="shared" si="30"/>
        <v>0</v>
      </c>
      <c r="S98" s="147">
        <f t="shared" si="31"/>
        <v>0</v>
      </c>
      <c r="T98" s="147">
        <f t="shared" si="32"/>
        <v>1</v>
      </c>
      <c r="U98" s="147">
        <f t="shared" si="33"/>
        <v>0</v>
      </c>
      <c r="V98" s="147">
        <f t="shared" si="34"/>
        <v>0</v>
      </c>
      <c r="W98" s="129">
        <v>0</v>
      </c>
      <c r="X98" s="144" t="str">
        <f t="shared" si="35"/>
        <v>WEEKDAY</v>
      </c>
      <c r="Y98" s="148">
        <v>6.05</v>
      </c>
      <c r="Z98" s="144" t="s">
        <v>45</v>
      </c>
      <c r="AA98" s="149">
        <v>955</v>
      </c>
      <c r="AB98" s="149">
        <v>156.47206000000003</v>
      </c>
      <c r="AC98" s="149">
        <v>157.85123966942149</v>
      </c>
      <c r="AD98" s="156">
        <v>25.863150413223146</v>
      </c>
      <c r="AE98" s="149" t="str">
        <f>IFERROR(_xlfn.XLOOKUP(DATA_MASTER[[#This Row],[DATE]],RODEO[DATE],RODEO[ARTIST]),"")</f>
        <v/>
      </c>
      <c r="AF98" s="172">
        <f>IF(DATA_MASTER[[#This Row],[RODEO_ARTIST]]="",0,1)</f>
        <v>0</v>
      </c>
      <c r="AG98" t="str">
        <f>IFERROR(RIGHT(_xlfn.XLOOKUP(DATA_MASTER[[#This Row],[DATE]],ASTROS[DATE],ASTROS[OPPONENT]),LEN(_xlfn.XLOOKUP(DATA_MASTER[[#This Row],[DATE]],ASTROS[DATE],ASTROS[OPPONENT]))-3),"NO GAME")</f>
        <v>NO GAME</v>
      </c>
      <c r="AH98">
        <f>IF(DATA_MASTER[[#This Row],[ASTROS_GAME]]="NO GAME",0,1)</f>
        <v>0</v>
      </c>
      <c r="AI98">
        <f>_xlfn.XLOOKUP(DATA_MASTER[[#This Row],[DATE]],WEATHER[DATE],WEATHER[tempmax])</f>
        <v>84.3</v>
      </c>
      <c r="AJ98">
        <f>_xlfn.XLOOKUP(DATA_MASTER[[#This Row],[DATE]],WEATHER[DATE],WEATHER[precip])</f>
        <v>0</v>
      </c>
      <c r="AQ98"/>
      <c r="AR98"/>
      <c r="AS98"/>
    </row>
    <row r="99" spans="1:45" x14ac:dyDescent="0.35">
      <c r="A99" s="155">
        <v>45221</v>
      </c>
      <c r="B99" s="144" t="s">
        <v>46</v>
      </c>
      <c r="C99" s="144" t="s">
        <v>50</v>
      </c>
      <c r="D99" s="144" t="s">
        <v>57</v>
      </c>
      <c r="E99" s="145">
        <f t="shared" si="36"/>
        <v>1</v>
      </c>
      <c r="F99" s="146">
        <f t="shared" si="19"/>
        <v>1</v>
      </c>
      <c r="G99" s="146">
        <f t="shared" si="20"/>
        <v>0</v>
      </c>
      <c r="H99" s="146">
        <f t="shared" si="21"/>
        <v>0</v>
      </c>
      <c r="I99" s="146">
        <f t="shared" si="22"/>
        <v>0</v>
      </c>
      <c r="J99" s="146">
        <f t="shared" si="23"/>
        <v>0</v>
      </c>
      <c r="K99" s="146">
        <f t="shared" si="24"/>
        <v>0</v>
      </c>
      <c r="L99" s="147">
        <f t="shared" si="37"/>
        <v>0</v>
      </c>
      <c r="M99" s="147">
        <f t="shared" si="25"/>
        <v>0</v>
      </c>
      <c r="N99" s="147">
        <f t="shared" si="26"/>
        <v>0</v>
      </c>
      <c r="O99" s="147">
        <f t="shared" si="27"/>
        <v>0</v>
      </c>
      <c r="P99" s="147">
        <f t="shared" si="28"/>
        <v>0</v>
      </c>
      <c r="Q99" s="147">
        <f t="shared" si="29"/>
        <v>0</v>
      </c>
      <c r="R99" s="147">
        <f t="shared" si="30"/>
        <v>0</v>
      </c>
      <c r="S99" s="147">
        <f t="shared" si="31"/>
        <v>0</v>
      </c>
      <c r="T99" s="147">
        <f t="shared" si="32"/>
        <v>1</v>
      </c>
      <c r="U99" s="147">
        <f t="shared" si="33"/>
        <v>0</v>
      </c>
      <c r="V99" s="147">
        <f t="shared" si="34"/>
        <v>0</v>
      </c>
      <c r="W99" s="129">
        <v>1</v>
      </c>
      <c r="X99" s="144" t="str">
        <f t="shared" si="35"/>
        <v>WEEKEND</v>
      </c>
      <c r="Y99" s="148">
        <v>5.4833333333333334</v>
      </c>
      <c r="Z99" s="144" t="s">
        <v>45</v>
      </c>
      <c r="AA99" s="149">
        <v>1040.5</v>
      </c>
      <c r="AB99" s="149">
        <v>174.95838000000001</v>
      </c>
      <c r="AC99" s="149">
        <v>189.75683890577508</v>
      </c>
      <c r="AD99" s="156">
        <v>31.907303343465045</v>
      </c>
      <c r="AE99" s="149" t="str">
        <f>IFERROR(_xlfn.XLOOKUP(DATA_MASTER[[#This Row],[DATE]],RODEO[DATE],RODEO[ARTIST]),"")</f>
        <v/>
      </c>
      <c r="AF99" s="172">
        <f>IF(DATA_MASTER[[#This Row],[RODEO_ARTIST]]="",0,1)</f>
        <v>0</v>
      </c>
      <c r="AG99" t="str">
        <f>IFERROR(RIGHT(_xlfn.XLOOKUP(DATA_MASTER[[#This Row],[DATE]],ASTROS[DATE],ASTROS[OPPONENT]),LEN(_xlfn.XLOOKUP(DATA_MASTER[[#This Row],[DATE]],ASTROS[DATE],ASTROS[OPPONENT]))-3),"NO GAME")</f>
        <v>NO GAME</v>
      </c>
      <c r="AH99">
        <f>IF(DATA_MASTER[[#This Row],[ASTROS_GAME]]="NO GAME",0,1)</f>
        <v>0</v>
      </c>
      <c r="AI99">
        <f>_xlfn.XLOOKUP(DATA_MASTER[[#This Row],[DATE]],WEATHER[DATE],WEATHER[tempmax])</f>
        <v>84.3</v>
      </c>
      <c r="AJ99">
        <f>_xlfn.XLOOKUP(DATA_MASTER[[#This Row],[DATE]],WEATHER[DATE],WEATHER[precip])</f>
        <v>0</v>
      </c>
      <c r="AQ99"/>
      <c r="AR99"/>
      <c r="AS99"/>
    </row>
    <row r="100" spans="1:45" x14ac:dyDescent="0.35">
      <c r="A100" s="155">
        <v>45222</v>
      </c>
      <c r="B100" s="144" t="s">
        <v>46</v>
      </c>
      <c r="C100" s="144" t="s">
        <v>51</v>
      </c>
      <c r="D100" s="144" t="s">
        <v>57</v>
      </c>
      <c r="E100" s="145">
        <f t="shared" si="36"/>
        <v>1</v>
      </c>
      <c r="F100" s="146">
        <f t="shared" si="19"/>
        <v>0</v>
      </c>
      <c r="G100" s="146">
        <f t="shared" si="20"/>
        <v>1</v>
      </c>
      <c r="H100" s="146">
        <f t="shared" si="21"/>
        <v>0</v>
      </c>
      <c r="I100" s="146">
        <f t="shared" si="22"/>
        <v>0</v>
      </c>
      <c r="J100" s="146">
        <f t="shared" si="23"/>
        <v>0</v>
      </c>
      <c r="K100" s="146">
        <f t="shared" si="24"/>
        <v>0</v>
      </c>
      <c r="L100" s="147">
        <f t="shared" si="37"/>
        <v>0</v>
      </c>
      <c r="M100" s="147">
        <f t="shared" si="25"/>
        <v>0</v>
      </c>
      <c r="N100" s="147">
        <f t="shared" si="26"/>
        <v>0</v>
      </c>
      <c r="O100" s="147">
        <f t="shared" si="27"/>
        <v>0</v>
      </c>
      <c r="P100" s="147">
        <f t="shared" si="28"/>
        <v>0</v>
      </c>
      <c r="Q100" s="147">
        <f t="shared" si="29"/>
        <v>0</v>
      </c>
      <c r="R100" s="147">
        <f t="shared" si="30"/>
        <v>0</v>
      </c>
      <c r="S100" s="147">
        <f t="shared" si="31"/>
        <v>0</v>
      </c>
      <c r="T100" s="147">
        <f t="shared" si="32"/>
        <v>1</v>
      </c>
      <c r="U100" s="147">
        <f t="shared" si="33"/>
        <v>0</v>
      </c>
      <c r="V100" s="147">
        <f t="shared" si="34"/>
        <v>0</v>
      </c>
      <c r="W100" s="129">
        <v>0</v>
      </c>
      <c r="X100" s="144" t="str">
        <f t="shared" si="35"/>
        <v>WEEKDAY</v>
      </c>
      <c r="Y100" s="148">
        <v>5.583333333333333</v>
      </c>
      <c r="Z100" s="144" t="s">
        <v>45</v>
      </c>
      <c r="AA100" s="149">
        <v>1279</v>
      </c>
      <c r="AB100" s="149">
        <v>204.05530799999997</v>
      </c>
      <c r="AC100" s="149">
        <v>229.07462686567166</v>
      </c>
      <c r="AD100" s="156">
        <v>36.547219343283579</v>
      </c>
      <c r="AE100" s="149" t="str">
        <f>IFERROR(_xlfn.XLOOKUP(DATA_MASTER[[#This Row],[DATE]],RODEO[DATE],RODEO[ARTIST]),"")</f>
        <v/>
      </c>
      <c r="AF100" s="172">
        <f>IF(DATA_MASTER[[#This Row],[RODEO_ARTIST]]="",0,1)</f>
        <v>0</v>
      </c>
      <c r="AG100" t="str">
        <f>IFERROR(RIGHT(_xlfn.XLOOKUP(DATA_MASTER[[#This Row],[DATE]],ASTROS[DATE],ASTROS[OPPONENT]),LEN(_xlfn.XLOOKUP(DATA_MASTER[[#This Row],[DATE]],ASTROS[DATE],ASTROS[OPPONENT]))-3),"NO GAME")</f>
        <v>NO GAME</v>
      </c>
      <c r="AH100">
        <f>IF(DATA_MASTER[[#This Row],[ASTROS_GAME]]="NO GAME",0,1)</f>
        <v>0</v>
      </c>
      <c r="AI100">
        <f>_xlfn.XLOOKUP(DATA_MASTER[[#This Row],[DATE]],WEATHER[DATE],WEATHER[tempmax])</f>
        <v>85.1</v>
      </c>
      <c r="AJ100">
        <f>_xlfn.XLOOKUP(DATA_MASTER[[#This Row],[DATE]],WEATHER[DATE],WEATHER[precip])</f>
        <v>4.4999999999999998E-2</v>
      </c>
    </row>
    <row r="101" spans="1:45" x14ac:dyDescent="0.35">
      <c r="A101" s="155">
        <v>45223</v>
      </c>
      <c r="B101" s="144" t="s">
        <v>42</v>
      </c>
      <c r="C101" s="144" t="s">
        <v>52</v>
      </c>
      <c r="D101" s="144" t="s">
        <v>57</v>
      </c>
      <c r="E101" s="145">
        <f t="shared" si="36"/>
        <v>0</v>
      </c>
      <c r="F101" s="146">
        <f t="shared" si="19"/>
        <v>0</v>
      </c>
      <c r="G101" s="146">
        <f t="shared" si="20"/>
        <v>0</v>
      </c>
      <c r="H101" s="146">
        <f t="shared" si="21"/>
        <v>0</v>
      </c>
      <c r="I101" s="146">
        <f t="shared" si="22"/>
        <v>0</v>
      </c>
      <c r="J101" s="146">
        <f t="shared" si="23"/>
        <v>0</v>
      </c>
      <c r="K101" s="146">
        <f t="shared" si="24"/>
        <v>0</v>
      </c>
      <c r="L101" s="147">
        <f t="shared" si="37"/>
        <v>0</v>
      </c>
      <c r="M101" s="147">
        <f t="shared" si="25"/>
        <v>0</v>
      </c>
      <c r="N101" s="147">
        <f t="shared" si="26"/>
        <v>0</v>
      </c>
      <c r="O101" s="147">
        <f t="shared" si="27"/>
        <v>0</v>
      </c>
      <c r="P101" s="147">
        <f t="shared" si="28"/>
        <v>0</v>
      </c>
      <c r="Q101" s="147">
        <f t="shared" si="29"/>
        <v>0</v>
      </c>
      <c r="R101" s="147">
        <f t="shared" si="30"/>
        <v>0</v>
      </c>
      <c r="S101" s="147">
        <f t="shared" si="31"/>
        <v>0</v>
      </c>
      <c r="T101" s="147">
        <f t="shared" si="32"/>
        <v>1</v>
      </c>
      <c r="U101" s="147">
        <f t="shared" si="33"/>
        <v>0</v>
      </c>
      <c r="V101" s="147">
        <f t="shared" si="34"/>
        <v>0</v>
      </c>
      <c r="W101" s="129">
        <v>0</v>
      </c>
      <c r="X101" s="144" t="str">
        <f t="shared" si="35"/>
        <v>WEEKDAY</v>
      </c>
      <c r="Y101" s="148">
        <v>3.2333333333333334</v>
      </c>
      <c r="Z101" s="144" t="s">
        <v>55</v>
      </c>
      <c r="AA101" s="149">
        <v>640</v>
      </c>
      <c r="AB101" s="149">
        <v>102.89900799999999</v>
      </c>
      <c r="AC101" s="149">
        <v>197.93814432989691</v>
      </c>
      <c r="AD101" s="156">
        <v>31.824435463917524</v>
      </c>
      <c r="AE101" s="149" t="str">
        <f>IFERROR(_xlfn.XLOOKUP(DATA_MASTER[[#This Row],[DATE]],RODEO[DATE],RODEO[ARTIST]),"")</f>
        <v/>
      </c>
      <c r="AF101" s="172">
        <f>IF(DATA_MASTER[[#This Row],[RODEO_ARTIST]]="",0,1)</f>
        <v>0</v>
      </c>
      <c r="AG101" t="str">
        <f>IFERROR(RIGHT(_xlfn.XLOOKUP(DATA_MASTER[[#This Row],[DATE]],ASTROS[DATE],ASTROS[OPPONENT]),LEN(_xlfn.XLOOKUP(DATA_MASTER[[#This Row],[DATE]],ASTROS[DATE],ASTROS[OPPONENT]))-3),"NO GAME")</f>
        <v>NO GAME</v>
      </c>
      <c r="AH101">
        <f>IF(DATA_MASTER[[#This Row],[ASTROS_GAME]]="NO GAME",0,1)</f>
        <v>0</v>
      </c>
      <c r="AI101">
        <f>_xlfn.XLOOKUP(DATA_MASTER[[#This Row],[DATE]],WEATHER[DATE],WEATHER[tempmax])</f>
        <v>82.7</v>
      </c>
      <c r="AJ101">
        <f>_xlfn.XLOOKUP(DATA_MASTER[[#This Row],[DATE]],WEATHER[DATE],WEATHER[precip])</f>
        <v>0</v>
      </c>
    </row>
    <row r="102" spans="1:45" x14ac:dyDescent="0.35">
      <c r="A102" s="155">
        <v>45223</v>
      </c>
      <c r="B102" s="144" t="s">
        <v>46</v>
      </c>
      <c r="C102" s="144" t="s">
        <v>52</v>
      </c>
      <c r="D102" s="144" t="s">
        <v>57</v>
      </c>
      <c r="E102" s="145">
        <f t="shared" si="36"/>
        <v>1</v>
      </c>
      <c r="F102" s="146">
        <f t="shared" si="19"/>
        <v>0</v>
      </c>
      <c r="G102" s="146">
        <f t="shared" si="20"/>
        <v>0</v>
      </c>
      <c r="H102" s="146">
        <f t="shared" si="21"/>
        <v>0</v>
      </c>
      <c r="I102" s="146">
        <f t="shared" si="22"/>
        <v>0</v>
      </c>
      <c r="J102" s="146">
        <f t="shared" si="23"/>
        <v>0</v>
      </c>
      <c r="K102" s="146">
        <f t="shared" si="24"/>
        <v>0</v>
      </c>
      <c r="L102" s="147">
        <f t="shared" si="37"/>
        <v>0</v>
      </c>
      <c r="M102" s="147">
        <f t="shared" si="25"/>
        <v>0</v>
      </c>
      <c r="N102" s="147">
        <f t="shared" si="26"/>
        <v>0</v>
      </c>
      <c r="O102" s="147">
        <f t="shared" si="27"/>
        <v>0</v>
      </c>
      <c r="P102" s="147">
        <f t="shared" si="28"/>
        <v>0</v>
      </c>
      <c r="Q102" s="147">
        <f t="shared" si="29"/>
        <v>0</v>
      </c>
      <c r="R102" s="147">
        <f t="shared" si="30"/>
        <v>0</v>
      </c>
      <c r="S102" s="147">
        <f t="shared" si="31"/>
        <v>0</v>
      </c>
      <c r="T102" s="147">
        <f t="shared" si="32"/>
        <v>1</v>
      </c>
      <c r="U102" s="147">
        <f t="shared" si="33"/>
        <v>0</v>
      </c>
      <c r="V102" s="147">
        <f t="shared" si="34"/>
        <v>0</v>
      </c>
      <c r="W102" s="129">
        <v>0</v>
      </c>
      <c r="X102" s="144" t="str">
        <f t="shared" si="35"/>
        <v>WEEKDAY</v>
      </c>
      <c r="Y102" s="148">
        <v>3.6</v>
      </c>
      <c r="Z102" s="144" t="s">
        <v>55</v>
      </c>
      <c r="AA102" s="149">
        <v>558</v>
      </c>
      <c r="AB102" s="149">
        <v>90.058800000000005</v>
      </c>
      <c r="AC102" s="149">
        <v>155</v>
      </c>
      <c r="AD102" s="156">
        <v>25.016333333333336</v>
      </c>
      <c r="AE102" s="149" t="str">
        <f>IFERROR(_xlfn.XLOOKUP(DATA_MASTER[[#This Row],[DATE]],RODEO[DATE],RODEO[ARTIST]),"")</f>
        <v/>
      </c>
      <c r="AF102" s="172">
        <f>IF(DATA_MASTER[[#This Row],[RODEO_ARTIST]]="",0,1)</f>
        <v>0</v>
      </c>
      <c r="AG102" t="str">
        <f>IFERROR(RIGHT(_xlfn.XLOOKUP(DATA_MASTER[[#This Row],[DATE]],ASTROS[DATE],ASTROS[OPPONENT]),LEN(_xlfn.XLOOKUP(DATA_MASTER[[#This Row],[DATE]],ASTROS[DATE],ASTROS[OPPONENT]))-3),"NO GAME")</f>
        <v>NO GAME</v>
      </c>
      <c r="AH102">
        <f>IF(DATA_MASTER[[#This Row],[ASTROS_GAME]]="NO GAME",0,1)</f>
        <v>0</v>
      </c>
      <c r="AI102">
        <f>_xlfn.XLOOKUP(DATA_MASTER[[#This Row],[DATE]],WEATHER[DATE],WEATHER[tempmax])</f>
        <v>82.7</v>
      </c>
      <c r="AJ102">
        <f>_xlfn.XLOOKUP(DATA_MASTER[[#This Row],[DATE]],WEATHER[DATE],WEATHER[precip])</f>
        <v>0</v>
      </c>
    </row>
    <row r="103" spans="1:45" x14ac:dyDescent="0.35">
      <c r="A103" s="155">
        <v>45224</v>
      </c>
      <c r="B103" s="144" t="s">
        <v>42</v>
      </c>
      <c r="C103" s="144" t="s">
        <v>44</v>
      </c>
      <c r="D103" s="144" t="s">
        <v>57</v>
      </c>
      <c r="E103" s="145">
        <f t="shared" si="36"/>
        <v>0</v>
      </c>
      <c r="F103" s="146">
        <f t="shared" si="19"/>
        <v>0</v>
      </c>
      <c r="G103" s="146">
        <f t="shared" si="20"/>
        <v>0</v>
      </c>
      <c r="H103" s="146">
        <f t="shared" si="21"/>
        <v>1</v>
      </c>
      <c r="I103" s="146">
        <f t="shared" si="22"/>
        <v>0</v>
      </c>
      <c r="J103" s="146">
        <f t="shared" si="23"/>
        <v>0</v>
      </c>
      <c r="K103" s="146">
        <f t="shared" si="24"/>
        <v>0</v>
      </c>
      <c r="L103" s="147">
        <f t="shared" si="37"/>
        <v>0</v>
      </c>
      <c r="M103" s="147">
        <f t="shared" si="25"/>
        <v>0</v>
      </c>
      <c r="N103" s="147">
        <f t="shared" si="26"/>
        <v>0</v>
      </c>
      <c r="O103" s="147">
        <f t="shared" si="27"/>
        <v>0</v>
      </c>
      <c r="P103" s="147">
        <f t="shared" si="28"/>
        <v>0</v>
      </c>
      <c r="Q103" s="147">
        <f t="shared" si="29"/>
        <v>0</v>
      </c>
      <c r="R103" s="147">
        <f t="shared" si="30"/>
        <v>0</v>
      </c>
      <c r="S103" s="147">
        <f t="shared" si="31"/>
        <v>0</v>
      </c>
      <c r="T103" s="147">
        <f t="shared" si="32"/>
        <v>1</v>
      </c>
      <c r="U103" s="147">
        <f t="shared" si="33"/>
        <v>0</v>
      </c>
      <c r="V103" s="147">
        <f t="shared" si="34"/>
        <v>0</v>
      </c>
      <c r="W103" s="129">
        <v>0</v>
      </c>
      <c r="X103" s="144" t="str">
        <f t="shared" si="35"/>
        <v>WEEKDAY</v>
      </c>
      <c r="Y103" s="148">
        <v>3.2666666666666666</v>
      </c>
      <c r="Z103" s="144" t="s">
        <v>45</v>
      </c>
      <c r="AA103" s="149">
        <v>351</v>
      </c>
      <c r="AB103" s="149">
        <v>60.758799999999994</v>
      </c>
      <c r="AC103" s="149">
        <v>107.44897959183673</v>
      </c>
      <c r="AD103" s="156">
        <v>18.599632653061224</v>
      </c>
      <c r="AE103" s="149" t="str">
        <f>IFERROR(_xlfn.XLOOKUP(DATA_MASTER[[#This Row],[DATE]],RODEO[DATE],RODEO[ARTIST]),"")</f>
        <v/>
      </c>
      <c r="AF103" s="172">
        <f>IF(DATA_MASTER[[#This Row],[RODEO_ARTIST]]="",0,1)</f>
        <v>0</v>
      </c>
      <c r="AG103" t="str">
        <f>IFERROR(RIGHT(_xlfn.XLOOKUP(DATA_MASTER[[#This Row],[DATE]],ASTROS[DATE],ASTROS[OPPONENT]),LEN(_xlfn.XLOOKUP(DATA_MASTER[[#This Row],[DATE]],ASTROS[DATE],ASTROS[OPPONENT]))-3),"NO GAME")</f>
        <v>NO GAME</v>
      </c>
      <c r="AH103">
        <f>IF(DATA_MASTER[[#This Row],[ASTROS_GAME]]="NO GAME",0,1)</f>
        <v>0</v>
      </c>
      <c r="AI103">
        <f>_xlfn.XLOOKUP(DATA_MASTER[[#This Row],[DATE]],WEATHER[DATE],WEATHER[tempmax])</f>
        <v>85.6</v>
      </c>
      <c r="AJ103">
        <f>_xlfn.XLOOKUP(DATA_MASTER[[#This Row],[DATE]],WEATHER[DATE],WEATHER[precip])</f>
        <v>0</v>
      </c>
    </row>
    <row r="104" spans="1:45" x14ac:dyDescent="0.35">
      <c r="A104" s="155">
        <v>45226</v>
      </c>
      <c r="B104" s="144" t="s">
        <v>46</v>
      </c>
      <c r="C104" s="144" t="s">
        <v>48</v>
      </c>
      <c r="D104" s="144" t="s">
        <v>57</v>
      </c>
      <c r="E104" s="145">
        <f t="shared" si="36"/>
        <v>1</v>
      </c>
      <c r="F104" s="146">
        <f t="shared" si="19"/>
        <v>0</v>
      </c>
      <c r="G104" s="146">
        <f t="shared" si="20"/>
        <v>0</v>
      </c>
      <c r="H104" s="146">
        <f t="shared" si="21"/>
        <v>0</v>
      </c>
      <c r="I104" s="146">
        <f t="shared" si="22"/>
        <v>0</v>
      </c>
      <c r="J104" s="146">
        <f t="shared" si="23"/>
        <v>1</v>
      </c>
      <c r="K104" s="146">
        <f t="shared" si="24"/>
        <v>0</v>
      </c>
      <c r="L104" s="147">
        <f t="shared" si="37"/>
        <v>0</v>
      </c>
      <c r="M104" s="147">
        <f t="shared" si="25"/>
        <v>0</v>
      </c>
      <c r="N104" s="147">
        <f t="shared" si="26"/>
        <v>0</v>
      </c>
      <c r="O104" s="147">
        <f t="shared" si="27"/>
        <v>0</v>
      </c>
      <c r="P104" s="147">
        <f t="shared" si="28"/>
        <v>0</v>
      </c>
      <c r="Q104" s="147">
        <f t="shared" si="29"/>
        <v>0</v>
      </c>
      <c r="R104" s="147">
        <f t="shared" si="30"/>
        <v>0</v>
      </c>
      <c r="S104" s="147">
        <f t="shared" si="31"/>
        <v>0</v>
      </c>
      <c r="T104" s="147">
        <f t="shared" si="32"/>
        <v>1</v>
      </c>
      <c r="U104" s="147">
        <f t="shared" si="33"/>
        <v>0</v>
      </c>
      <c r="V104" s="147">
        <f t="shared" si="34"/>
        <v>0</v>
      </c>
      <c r="W104" s="129">
        <v>1</v>
      </c>
      <c r="X104" s="144" t="str">
        <f t="shared" si="35"/>
        <v>WEEKEND</v>
      </c>
      <c r="Y104" s="148">
        <v>5.4333333333333336</v>
      </c>
      <c r="Z104" s="144" t="s">
        <v>45</v>
      </c>
      <c r="AA104" s="149">
        <v>1010</v>
      </c>
      <c r="AB104" s="149">
        <v>198.68506400000001</v>
      </c>
      <c r="AC104" s="149">
        <v>185.88957055214723</v>
      </c>
      <c r="AD104" s="156">
        <v>36.567803190184051</v>
      </c>
      <c r="AE104" s="149" t="str">
        <f>IFERROR(_xlfn.XLOOKUP(DATA_MASTER[[#This Row],[DATE]],RODEO[DATE],RODEO[ARTIST]),"")</f>
        <v/>
      </c>
      <c r="AF104" s="172">
        <f>IF(DATA_MASTER[[#This Row],[RODEO_ARTIST]]="",0,1)</f>
        <v>0</v>
      </c>
      <c r="AG104" t="str">
        <f>IFERROR(RIGHT(_xlfn.XLOOKUP(DATA_MASTER[[#This Row],[DATE]],ASTROS[DATE],ASTROS[OPPONENT]),LEN(_xlfn.XLOOKUP(DATA_MASTER[[#This Row],[DATE]],ASTROS[DATE],ASTROS[OPPONENT]))-3),"NO GAME")</f>
        <v>NO GAME</v>
      </c>
      <c r="AH104">
        <f>IF(DATA_MASTER[[#This Row],[ASTROS_GAME]]="NO GAME",0,1)</f>
        <v>0</v>
      </c>
      <c r="AI104">
        <f>_xlfn.XLOOKUP(DATA_MASTER[[#This Row],[DATE]],WEATHER[DATE],WEATHER[tempmax])</f>
        <v>85.3</v>
      </c>
      <c r="AJ104">
        <f>_xlfn.XLOOKUP(DATA_MASTER[[#This Row],[DATE]],WEATHER[DATE],WEATHER[precip])</f>
        <v>4.0000000000000001E-3</v>
      </c>
    </row>
    <row r="105" spans="1:45" x14ac:dyDescent="0.35">
      <c r="A105" s="155">
        <v>45227</v>
      </c>
      <c r="B105" s="144" t="s">
        <v>46</v>
      </c>
      <c r="C105" s="144" t="s">
        <v>49</v>
      </c>
      <c r="D105" s="144" t="s">
        <v>57</v>
      </c>
      <c r="E105" s="145">
        <f t="shared" si="36"/>
        <v>1</v>
      </c>
      <c r="F105" s="146">
        <f t="shared" si="19"/>
        <v>0</v>
      </c>
      <c r="G105" s="146">
        <f t="shared" si="20"/>
        <v>0</v>
      </c>
      <c r="H105" s="146">
        <f t="shared" si="21"/>
        <v>0</v>
      </c>
      <c r="I105" s="146">
        <f t="shared" si="22"/>
        <v>0</v>
      </c>
      <c r="J105" s="146">
        <f t="shared" si="23"/>
        <v>0</v>
      </c>
      <c r="K105" s="146">
        <f t="shared" si="24"/>
        <v>1</v>
      </c>
      <c r="L105" s="147">
        <f t="shared" si="37"/>
        <v>0</v>
      </c>
      <c r="M105" s="147">
        <f t="shared" si="25"/>
        <v>0</v>
      </c>
      <c r="N105" s="147">
        <f t="shared" si="26"/>
        <v>0</v>
      </c>
      <c r="O105" s="147">
        <f t="shared" si="27"/>
        <v>0</v>
      </c>
      <c r="P105" s="147">
        <f t="shared" si="28"/>
        <v>0</v>
      </c>
      <c r="Q105" s="147">
        <f t="shared" si="29"/>
        <v>0</v>
      </c>
      <c r="R105" s="147">
        <f t="shared" si="30"/>
        <v>0</v>
      </c>
      <c r="S105" s="147">
        <f t="shared" si="31"/>
        <v>0</v>
      </c>
      <c r="T105" s="147">
        <f t="shared" si="32"/>
        <v>1</v>
      </c>
      <c r="U105" s="147">
        <f t="shared" si="33"/>
        <v>0</v>
      </c>
      <c r="V105" s="147">
        <f t="shared" si="34"/>
        <v>0</v>
      </c>
      <c r="W105" s="129">
        <v>1</v>
      </c>
      <c r="X105" s="144" t="str">
        <f t="shared" si="35"/>
        <v>WEEKEND</v>
      </c>
      <c r="Y105" s="148">
        <v>7.6833333333333336</v>
      </c>
      <c r="Z105" s="144" t="s">
        <v>45</v>
      </c>
      <c r="AA105" s="149">
        <v>1353</v>
      </c>
      <c r="AB105" s="149">
        <v>220.97762</v>
      </c>
      <c r="AC105" s="149">
        <v>176.09544468546636</v>
      </c>
      <c r="AD105" s="156">
        <v>28.760644685466378</v>
      </c>
      <c r="AE105" s="149" t="str">
        <f>IFERROR(_xlfn.XLOOKUP(DATA_MASTER[[#This Row],[DATE]],RODEO[DATE],RODEO[ARTIST]),"")</f>
        <v/>
      </c>
      <c r="AF105" s="172">
        <f>IF(DATA_MASTER[[#This Row],[RODEO_ARTIST]]="",0,1)</f>
        <v>0</v>
      </c>
      <c r="AG105" t="str">
        <f>IFERROR(RIGHT(_xlfn.XLOOKUP(DATA_MASTER[[#This Row],[DATE]],ASTROS[DATE],ASTROS[OPPONENT]),LEN(_xlfn.XLOOKUP(DATA_MASTER[[#This Row],[DATE]],ASTROS[DATE],ASTROS[OPPONENT]))-3),"NO GAME")</f>
        <v>NO GAME</v>
      </c>
      <c r="AH105">
        <f>IF(DATA_MASTER[[#This Row],[ASTROS_GAME]]="NO GAME",0,1)</f>
        <v>0</v>
      </c>
      <c r="AI105">
        <f>_xlfn.XLOOKUP(DATA_MASTER[[#This Row],[DATE]],WEATHER[DATE],WEATHER[tempmax])</f>
        <v>84.3</v>
      </c>
      <c r="AJ105">
        <f>_xlfn.XLOOKUP(DATA_MASTER[[#This Row],[DATE]],WEATHER[DATE],WEATHER[precip])</f>
        <v>0</v>
      </c>
    </row>
    <row r="106" spans="1:45" x14ac:dyDescent="0.35">
      <c r="A106" s="155">
        <v>45229</v>
      </c>
      <c r="B106" s="144" t="s">
        <v>46</v>
      </c>
      <c r="C106" s="144" t="s">
        <v>51</v>
      </c>
      <c r="D106" s="144" t="s">
        <v>57</v>
      </c>
      <c r="E106" s="145">
        <f t="shared" si="36"/>
        <v>1</v>
      </c>
      <c r="F106" s="146">
        <f t="shared" si="19"/>
        <v>0</v>
      </c>
      <c r="G106" s="146">
        <f t="shared" si="20"/>
        <v>1</v>
      </c>
      <c r="H106" s="146">
        <f t="shared" si="21"/>
        <v>0</v>
      </c>
      <c r="I106" s="146">
        <f t="shared" si="22"/>
        <v>0</v>
      </c>
      <c r="J106" s="146">
        <f t="shared" si="23"/>
        <v>0</v>
      </c>
      <c r="K106" s="146">
        <f t="shared" si="24"/>
        <v>0</v>
      </c>
      <c r="L106" s="147">
        <f t="shared" si="37"/>
        <v>0</v>
      </c>
      <c r="M106" s="147">
        <f t="shared" si="25"/>
        <v>0</v>
      </c>
      <c r="N106" s="147">
        <f t="shared" si="26"/>
        <v>0</v>
      </c>
      <c r="O106" s="147">
        <f t="shared" si="27"/>
        <v>0</v>
      </c>
      <c r="P106" s="147">
        <f t="shared" si="28"/>
        <v>0</v>
      </c>
      <c r="Q106" s="147">
        <f t="shared" si="29"/>
        <v>0</v>
      </c>
      <c r="R106" s="147">
        <f t="shared" si="30"/>
        <v>0</v>
      </c>
      <c r="S106" s="147">
        <f t="shared" si="31"/>
        <v>0</v>
      </c>
      <c r="T106" s="147">
        <f t="shared" si="32"/>
        <v>1</v>
      </c>
      <c r="U106" s="147">
        <f t="shared" si="33"/>
        <v>0</v>
      </c>
      <c r="V106" s="147">
        <f t="shared" si="34"/>
        <v>0</v>
      </c>
      <c r="W106" s="129">
        <v>0</v>
      </c>
      <c r="X106" s="144" t="str">
        <f t="shared" si="35"/>
        <v>WEEKDAY</v>
      </c>
      <c r="Y106" s="148">
        <v>3.7</v>
      </c>
      <c r="Z106" s="144" t="s">
        <v>45</v>
      </c>
      <c r="AA106" s="149">
        <v>593</v>
      </c>
      <c r="AB106" s="149">
        <v>99.087248000000002</v>
      </c>
      <c r="AC106" s="149">
        <v>160.27027027027026</v>
      </c>
      <c r="AD106" s="156">
        <v>26.780337297297297</v>
      </c>
      <c r="AE106" s="149" t="str">
        <f>IFERROR(_xlfn.XLOOKUP(DATA_MASTER[[#This Row],[DATE]],RODEO[DATE],RODEO[ARTIST]),"")</f>
        <v/>
      </c>
      <c r="AF106" s="172">
        <f>IF(DATA_MASTER[[#This Row],[RODEO_ARTIST]]="",0,1)</f>
        <v>0</v>
      </c>
      <c r="AG106" t="str">
        <f>IFERROR(RIGHT(_xlfn.XLOOKUP(DATA_MASTER[[#This Row],[DATE]],ASTROS[DATE],ASTROS[OPPONENT]),LEN(_xlfn.XLOOKUP(DATA_MASTER[[#This Row],[DATE]],ASTROS[DATE],ASTROS[OPPONENT]))-3),"NO GAME")</f>
        <v>NO GAME</v>
      </c>
      <c r="AH106">
        <f>IF(DATA_MASTER[[#This Row],[ASTROS_GAME]]="NO GAME",0,1)</f>
        <v>0</v>
      </c>
      <c r="AI106">
        <f>_xlfn.XLOOKUP(DATA_MASTER[[#This Row],[DATE]],WEATHER[DATE],WEATHER[tempmax])</f>
        <v>54.7</v>
      </c>
      <c r="AJ106">
        <f>_xlfn.XLOOKUP(DATA_MASTER[[#This Row],[DATE]],WEATHER[DATE],WEATHER[precip])</f>
        <v>0</v>
      </c>
    </row>
    <row r="107" spans="1:45" x14ac:dyDescent="0.35">
      <c r="A107" s="155">
        <v>45230</v>
      </c>
      <c r="B107" s="144" t="s">
        <v>42</v>
      </c>
      <c r="C107" s="144" t="s">
        <v>52</v>
      </c>
      <c r="D107" s="144" t="s">
        <v>57</v>
      </c>
      <c r="E107" s="145">
        <f t="shared" si="36"/>
        <v>0</v>
      </c>
      <c r="F107" s="146">
        <f t="shared" si="19"/>
        <v>0</v>
      </c>
      <c r="G107" s="146">
        <f t="shared" si="20"/>
        <v>0</v>
      </c>
      <c r="H107" s="146">
        <f t="shared" si="21"/>
        <v>0</v>
      </c>
      <c r="I107" s="146">
        <f t="shared" si="22"/>
        <v>0</v>
      </c>
      <c r="J107" s="146">
        <f t="shared" si="23"/>
        <v>0</v>
      </c>
      <c r="K107" s="146">
        <f t="shared" si="24"/>
        <v>0</v>
      </c>
      <c r="L107" s="147">
        <f t="shared" si="37"/>
        <v>0</v>
      </c>
      <c r="M107" s="147">
        <f t="shared" si="25"/>
        <v>0</v>
      </c>
      <c r="N107" s="147">
        <f t="shared" si="26"/>
        <v>0</v>
      </c>
      <c r="O107" s="147">
        <f t="shared" si="27"/>
        <v>0</v>
      </c>
      <c r="P107" s="147">
        <f t="shared" si="28"/>
        <v>0</v>
      </c>
      <c r="Q107" s="147">
        <f t="shared" si="29"/>
        <v>0</v>
      </c>
      <c r="R107" s="147">
        <f t="shared" si="30"/>
        <v>0</v>
      </c>
      <c r="S107" s="147">
        <f t="shared" si="31"/>
        <v>0</v>
      </c>
      <c r="T107" s="147">
        <f t="shared" si="32"/>
        <v>1</v>
      </c>
      <c r="U107" s="147">
        <f t="shared" si="33"/>
        <v>0</v>
      </c>
      <c r="V107" s="147">
        <f t="shared" si="34"/>
        <v>0</v>
      </c>
      <c r="W107" s="129">
        <v>0</v>
      </c>
      <c r="X107" s="144" t="str">
        <f t="shared" si="35"/>
        <v>WEEKDAY</v>
      </c>
      <c r="Y107" s="148">
        <v>3.2166666666666668</v>
      </c>
      <c r="Z107" s="144" t="s">
        <v>55</v>
      </c>
      <c r="AA107" s="149">
        <v>410</v>
      </c>
      <c r="AB107" s="149">
        <v>71.073899999999995</v>
      </c>
      <c r="AC107" s="149">
        <v>127.46113989637306</v>
      </c>
      <c r="AD107" s="156">
        <v>22.095512953367873</v>
      </c>
      <c r="AE107" s="149" t="str">
        <f>IFERROR(_xlfn.XLOOKUP(DATA_MASTER[[#This Row],[DATE]],RODEO[DATE],RODEO[ARTIST]),"")</f>
        <v/>
      </c>
      <c r="AF107" s="172">
        <f>IF(DATA_MASTER[[#This Row],[RODEO_ARTIST]]="",0,1)</f>
        <v>0</v>
      </c>
      <c r="AG107" t="str">
        <f>IFERROR(RIGHT(_xlfn.XLOOKUP(DATA_MASTER[[#This Row],[DATE]],ASTROS[DATE],ASTROS[OPPONENT]),LEN(_xlfn.XLOOKUP(DATA_MASTER[[#This Row],[DATE]],ASTROS[DATE],ASTROS[OPPONENT]))-3),"NO GAME")</f>
        <v>NO GAME</v>
      </c>
      <c r="AH107">
        <f>IF(DATA_MASTER[[#This Row],[ASTROS_GAME]]="NO GAME",0,1)</f>
        <v>0</v>
      </c>
      <c r="AI107">
        <f>_xlfn.XLOOKUP(DATA_MASTER[[#This Row],[DATE]],WEATHER[DATE],WEATHER[tempmax])</f>
        <v>58.1</v>
      </c>
      <c r="AJ107">
        <f>_xlfn.XLOOKUP(DATA_MASTER[[#This Row],[DATE]],WEATHER[DATE],WEATHER[precip])</f>
        <v>8.0000000000000002E-3</v>
      </c>
    </row>
    <row r="108" spans="1:45" x14ac:dyDescent="0.35">
      <c r="A108" s="155">
        <v>45230</v>
      </c>
      <c r="B108" s="144" t="s">
        <v>46</v>
      </c>
      <c r="C108" s="144" t="s">
        <v>52</v>
      </c>
      <c r="D108" s="144" t="s">
        <v>57</v>
      </c>
      <c r="E108" s="145">
        <f t="shared" si="36"/>
        <v>1</v>
      </c>
      <c r="F108" s="146">
        <f t="shared" si="19"/>
        <v>0</v>
      </c>
      <c r="G108" s="146">
        <f t="shared" si="20"/>
        <v>0</v>
      </c>
      <c r="H108" s="146">
        <f t="shared" si="21"/>
        <v>0</v>
      </c>
      <c r="I108" s="146">
        <f t="shared" si="22"/>
        <v>0</v>
      </c>
      <c r="J108" s="146">
        <f t="shared" si="23"/>
        <v>0</v>
      </c>
      <c r="K108" s="146">
        <f t="shared" si="24"/>
        <v>0</v>
      </c>
      <c r="L108" s="147">
        <f t="shared" si="37"/>
        <v>0</v>
      </c>
      <c r="M108" s="147">
        <f t="shared" si="25"/>
        <v>0</v>
      </c>
      <c r="N108" s="147">
        <f t="shared" si="26"/>
        <v>0</v>
      </c>
      <c r="O108" s="147">
        <f t="shared" si="27"/>
        <v>0</v>
      </c>
      <c r="P108" s="147">
        <f t="shared" si="28"/>
        <v>0</v>
      </c>
      <c r="Q108" s="147">
        <f t="shared" si="29"/>
        <v>0</v>
      </c>
      <c r="R108" s="147">
        <f t="shared" si="30"/>
        <v>0</v>
      </c>
      <c r="S108" s="147">
        <f t="shared" si="31"/>
        <v>0</v>
      </c>
      <c r="T108" s="147">
        <f t="shared" si="32"/>
        <v>1</v>
      </c>
      <c r="U108" s="147">
        <f t="shared" si="33"/>
        <v>0</v>
      </c>
      <c r="V108" s="147">
        <f t="shared" si="34"/>
        <v>0</v>
      </c>
      <c r="W108" s="129">
        <v>0</v>
      </c>
      <c r="X108" s="144" t="str">
        <f t="shared" si="35"/>
        <v>WEEKDAY</v>
      </c>
      <c r="Y108" s="148">
        <v>3.6166666666666667</v>
      </c>
      <c r="Z108" s="144" t="s">
        <v>55</v>
      </c>
      <c r="AA108" s="149">
        <v>603</v>
      </c>
      <c r="AB108" s="149">
        <v>94.832580000000007</v>
      </c>
      <c r="AC108" s="149">
        <v>166.72811059907835</v>
      </c>
      <c r="AD108" s="156">
        <v>26.220989861751153</v>
      </c>
      <c r="AE108" s="149" t="str">
        <f>IFERROR(_xlfn.XLOOKUP(DATA_MASTER[[#This Row],[DATE]],RODEO[DATE],RODEO[ARTIST]),"")</f>
        <v/>
      </c>
      <c r="AF108" s="172">
        <f>IF(DATA_MASTER[[#This Row],[RODEO_ARTIST]]="",0,1)</f>
        <v>0</v>
      </c>
      <c r="AG108" t="str">
        <f>IFERROR(RIGHT(_xlfn.XLOOKUP(DATA_MASTER[[#This Row],[DATE]],ASTROS[DATE],ASTROS[OPPONENT]),LEN(_xlfn.XLOOKUP(DATA_MASTER[[#This Row],[DATE]],ASTROS[DATE],ASTROS[OPPONENT]))-3),"NO GAME")</f>
        <v>NO GAME</v>
      </c>
      <c r="AH108">
        <f>IF(DATA_MASTER[[#This Row],[ASTROS_GAME]]="NO GAME",0,1)</f>
        <v>0</v>
      </c>
      <c r="AI108">
        <f>_xlfn.XLOOKUP(DATA_MASTER[[#This Row],[DATE]],WEATHER[DATE],WEATHER[tempmax])</f>
        <v>58.1</v>
      </c>
      <c r="AJ108">
        <f>_xlfn.XLOOKUP(DATA_MASTER[[#This Row],[DATE]],WEATHER[DATE],WEATHER[precip])</f>
        <v>8.0000000000000002E-3</v>
      </c>
    </row>
    <row r="109" spans="1:45" x14ac:dyDescent="0.35">
      <c r="A109" s="155">
        <v>45233</v>
      </c>
      <c r="B109" s="144" t="s">
        <v>46</v>
      </c>
      <c r="C109" s="144" t="s">
        <v>48</v>
      </c>
      <c r="D109" s="144" t="s">
        <v>58</v>
      </c>
      <c r="E109" s="145">
        <f t="shared" si="36"/>
        <v>1</v>
      </c>
      <c r="F109" s="146">
        <f t="shared" si="19"/>
        <v>0</v>
      </c>
      <c r="G109" s="146">
        <f t="shared" si="20"/>
        <v>0</v>
      </c>
      <c r="H109" s="146">
        <f t="shared" si="21"/>
        <v>0</v>
      </c>
      <c r="I109" s="146">
        <f t="shared" si="22"/>
        <v>0</v>
      </c>
      <c r="J109" s="146">
        <f t="shared" si="23"/>
        <v>1</v>
      </c>
      <c r="K109" s="146">
        <f t="shared" si="24"/>
        <v>0</v>
      </c>
      <c r="L109" s="147">
        <f t="shared" si="37"/>
        <v>0</v>
      </c>
      <c r="M109" s="147">
        <f t="shared" si="25"/>
        <v>0</v>
      </c>
      <c r="N109" s="147">
        <f t="shared" si="26"/>
        <v>0</v>
      </c>
      <c r="O109" s="147">
        <f t="shared" si="27"/>
        <v>0</v>
      </c>
      <c r="P109" s="147">
        <f t="shared" si="28"/>
        <v>0</v>
      </c>
      <c r="Q109" s="147">
        <f t="shared" si="29"/>
        <v>0</v>
      </c>
      <c r="R109" s="147">
        <f t="shared" si="30"/>
        <v>0</v>
      </c>
      <c r="S109" s="147">
        <f t="shared" si="31"/>
        <v>0</v>
      </c>
      <c r="T109" s="147">
        <f t="shared" si="32"/>
        <v>0</v>
      </c>
      <c r="U109" s="147">
        <f t="shared" si="33"/>
        <v>1</v>
      </c>
      <c r="V109" s="147">
        <f t="shared" si="34"/>
        <v>0</v>
      </c>
      <c r="W109" s="129">
        <v>1</v>
      </c>
      <c r="X109" s="144" t="str">
        <f t="shared" si="35"/>
        <v>WEEKEND</v>
      </c>
      <c r="Y109" s="148">
        <v>7.083333333333333</v>
      </c>
      <c r="Z109" s="144" t="s">
        <v>45</v>
      </c>
      <c r="AA109" s="149">
        <v>1618.5</v>
      </c>
      <c r="AB109" s="149">
        <v>333.18904399999997</v>
      </c>
      <c r="AC109" s="149">
        <v>228.49411764705883</v>
      </c>
      <c r="AD109" s="156">
        <v>47.038453270588235</v>
      </c>
      <c r="AE109" s="149" t="str">
        <f>IFERROR(_xlfn.XLOOKUP(DATA_MASTER[[#This Row],[DATE]],RODEO[DATE],RODEO[ARTIST]),"")</f>
        <v/>
      </c>
      <c r="AF109" s="172">
        <f>IF(DATA_MASTER[[#This Row],[RODEO_ARTIST]]="",0,1)</f>
        <v>0</v>
      </c>
      <c r="AG109" t="str">
        <f>IFERROR(RIGHT(_xlfn.XLOOKUP(DATA_MASTER[[#This Row],[DATE]],ASTROS[DATE],ASTROS[OPPONENT]),LEN(_xlfn.XLOOKUP(DATA_MASTER[[#This Row],[DATE]],ASTROS[DATE],ASTROS[OPPONENT]))-3),"NO GAME")</f>
        <v>NO GAME</v>
      </c>
      <c r="AH109">
        <f>IF(DATA_MASTER[[#This Row],[ASTROS_GAME]]="NO GAME",0,1)</f>
        <v>0</v>
      </c>
      <c r="AI109">
        <f>_xlfn.XLOOKUP(DATA_MASTER[[#This Row],[DATE]],WEATHER[DATE],WEATHER[tempmax])</f>
        <v>74.2</v>
      </c>
      <c r="AJ109">
        <f>_xlfn.XLOOKUP(DATA_MASTER[[#This Row],[DATE]],WEATHER[DATE],WEATHER[precip])</f>
        <v>0</v>
      </c>
    </row>
    <row r="110" spans="1:45" x14ac:dyDescent="0.35">
      <c r="A110" s="155">
        <v>45234</v>
      </c>
      <c r="B110" s="144" t="s">
        <v>46</v>
      </c>
      <c r="C110" s="144" t="s">
        <v>49</v>
      </c>
      <c r="D110" s="144" t="s">
        <v>58</v>
      </c>
      <c r="E110" s="145">
        <f t="shared" si="36"/>
        <v>1</v>
      </c>
      <c r="F110" s="146">
        <f t="shared" si="19"/>
        <v>0</v>
      </c>
      <c r="G110" s="146">
        <f t="shared" si="20"/>
        <v>0</v>
      </c>
      <c r="H110" s="146">
        <f t="shared" si="21"/>
        <v>0</v>
      </c>
      <c r="I110" s="146">
        <f t="shared" si="22"/>
        <v>0</v>
      </c>
      <c r="J110" s="146">
        <f t="shared" si="23"/>
        <v>0</v>
      </c>
      <c r="K110" s="146">
        <f t="shared" si="24"/>
        <v>1</v>
      </c>
      <c r="L110" s="147">
        <f t="shared" si="37"/>
        <v>0</v>
      </c>
      <c r="M110" s="147">
        <f t="shared" si="25"/>
        <v>0</v>
      </c>
      <c r="N110" s="147">
        <f t="shared" si="26"/>
        <v>0</v>
      </c>
      <c r="O110" s="147">
        <f t="shared" si="27"/>
        <v>0</v>
      </c>
      <c r="P110" s="147">
        <f t="shared" si="28"/>
        <v>0</v>
      </c>
      <c r="Q110" s="147">
        <f t="shared" si="29"/>
        <v>0</v>
      </c>
      <c r="R110" s="147">
        <f t="shared" si="30"/>
        <v>0</v>
      </c>
      <c r="S110" s="147">
        <f t="shared" si="31"/>
        <v>0</v>
      </c>
      <c r="T110" s="147">
        <f t="shared" si="32"/>
        <v>0</v>
      </c>
      <c r="U110" s="147">
        <f t="shared" si="33"/>
        <v>1</v>
      </c>
      <c r="V110" s="147">
        <f t="shared" si="34"/>
        <v>0</v>
      </c>
      <c r="W110" s="129">
        <v>1</v>
      </c>
      <c r="X110" s="144" t="str">
        <f t="shared" si="35"/>
        <v>WEEKEND</v>
      </c>
      <c r="Y110" s="148">
        <v>6.85</v>
      </c>
      <c r="Z110" s="144" t="s">
        <v>45</v>
      </c>
      <c r="AA110" s="149">
        <v>1228.5</v>
      </c>
      <c r="AB110" s="149">
        <v>194.315012</v>
      </c>
      <c r="AC110" s="149">
        <v>179.34306569343067</v>
      </c>
      <c r="AD110" s="156">
        <v>28.367155036496353</v>
      </c>
      <c r="AE110" s="149" t="str">
        <f>IFERROR(_xlfn.XLOOKUP(DATA_MASTER[[#This Row],[DATE]],RODEO[DATE],RODEO[ARTIST]),"")</f>
        <v/>
      </c>
      <c r="AF110" s="172">
        <f>IF(DATA_MASTER[[#This Row],[RODEO_ARTIST]]="",0,1)</f>
        <v>0</v>
      </c>
      <c r="AG110" t="str">
        <f>IFERROR(RIGHT(_xlfn.XLOOKUP(DATA_MASTER[[#This Row],[DATE]],ASTROS[DATE],ASTROS[OPPONENT]),LEN(_xlfn.XLOOKUP(DATA_MASTER[[#This Row],[DATE]],ASTROS[DATE],ASTROS[OPPONENT]))-3),"NO GAME")</f>
        <v>NO GAME</v>
      </c>
      <c r="AH110">
        <f>IF(DATA_MASTER[[#This Row],[ASTROS_GAME]]="NO GAME",0,1)</f>
        <v>0</v>
      </c>
      <c r="AI110">
        <f>_xlfn.XLOOKUP(DATA_MASTER[[#This Row],[DATE]],WEATHER[DATE],WEATHER[tempmax])</f>
        <v>77.2</v>
      </c>
      <c r="AJ110">
        <f>_xlfn.XLOOKUP(DATA_MASTER[[#This Row],[DATE]],WEATHER[DATE],WEATHER[precip])</f>
        <v>0</v>
      </c>
    </row>
    <row r="111" spans="1:45" x14ac:dyDescent="0.35">
      <c r="A111" s="155">
        <v>45236</v>
      </c>
      <c r="B111" s="144" t="s">
        <v>46</v>
      </c>
      <c r="C111" s="144" t="s">
        <v>51</v>
      </c>
      <c r="D111" s="144" t="s">
        <v>58</v>
      </c>
      <c r="E111" s="145">
        <f t="shared" si="36"/>
        <v>1</v>
      </c>
      <c r="F111" s="146">
        <f t="shared" si="19"/>
        <v>0</v>
      </c>
      <c r="G111" s="146">
        <f t="shared" si="20"/>
        <v>1</v>
      </c>
      <c r="H111" s="146">
        <f t="shared" si="21"/>
        <v>0</v>
      </c>
      <c r="I111" s="146">
        <f t="shared" si="22"/>
        <v>0</v>
      </c>
      <c r="J111" s="146">
        <f t="shared" si="23"/>
        <v>0</v>
      </c>
      <c r="K111" s="146">
        <f t="shared" si="24"/>
        <v>0</v>
      </c>
      <c r="L111" s="147">
        <f t="shared" si="37"/>
        <v>0</v>
      </c>
      <c r="M111" s="147">
        <f t="shared" si="25"/>
        <v>0</v>
      </c>
      <c r="N111" s="147">
        <f t="shared" si="26"/>
        <v>0</v>
      </c>
      <c r="O111" s="147">
        <f t="shared" si="27"/>
        <v>0</v>
      </c>
      <c r="P111" s="147">
        <f t="shared" si="28"/>
        <v>0</v>
      </c>
      <c r="Q111" s="147">
        <f t="shared" si="29"/>
        <v>0</v>
      </c>
      <c r="R111" s="147">
        <f t="shared" si="30"/>
        <v>0</v>
      </c>
      <c r="S111" s="147">
        <f t="shared" si="31"/>
        <v>0</v>
      </c>
      <c r="T111" s="147">
        <f t="shared" si="32"/>
        <v>0</v>
      </c>
      <c r="U111" s="147">
        <f t="shared" si="33"/>
        <v>1</v>
      </c>
      <c r="V111" s="147">
        <f t="shared" si="34"/>
        <v>0</v>
      </c>
      <c r="W111" s="129">
        <v>0</v>
      </c>
      <c r="X111" s="144" t="str">
        <f t="shared" si="35"/>
        <v>WEEKDAY</v>
      </c>
      <c r="Y111" s="148">
        <v>6.4</v>
      </c>
      <c r="Z111" s="144" t="s">
        <v>45</v>
      </c>
      <c r="AA111" s="149">
        <v>1127.25</v>
      </c>
      <c r="AB111" s="149">
        <v>193.85134399999998</v>
      </c>
      <c r="AC111" s="149">
        <v>176.1328125</v>
      </c>
      <c r="AD111" s="156">
        <v>30.289272499999996</v>
      </c>
      <c r="AE111" s="149" t="str">
        <f>IFERROR(_xlfn.XLOOKUP(DATA_MASTER[[#This Row],[DATE]],RODEO[DATE],RODEO[ARTIST]),"")</f>
        <v/>
      </c>
      <c r="AF111" s="172">
        <f>IF(DATA_MASTER[[#This Row],[RODEO_ARTIST]]="",0,1)</f>
        <v>0</v>
      </c>
      <c r="AG111" t="str">
        <f>IFERROR(RIGHT(_xlfn.XLOOKUP(DATA_MASTER[[#This Row],[DATE]],ASTROS[DATE],ASTROS[OPPONENT]),LEN(_xlfn.XLOOKUP(DATA_MASTER[[#This Row],[DATE]],ASTROS[DATE],ASTROS[OPPONENT]))-3),"NO GAME")</f>
        <v>NO GAME</v>
      </c>
      <c r="AH111">
        <f>IF(DATA_MASTER[[#This Row],[ASTROS_GAME]]="NO GAME",0,1)</f>
        <v>0</v>
      </c>
      <c r="AI111">
        <f>_xlfn.XLOOKUP(DATA_MASTER[[#This Row],[DATE]],WEATHER[DATE],WEATHER[tempmax])</f>
        <v>80</v>
      </c>
      <c r="AJ111">
        <f>_xlfn.XLOOKUP(DATA_MASTER[[#This Row],[DATE]],WEATHER[DATE],WEATHER[precip])</f>
        <v>0</v>
      </c>
    </row>
    <row r="112" spans="1:45" x14ac:dyDescent="0.35">
      <c r="A112" s="155">
        <v>45237</v>
      </c>
      <c r="B112" s="144" t="s">
        <v>42</v>
      </c>
      <c r="C112" s="144" t="s">
        <v>52</v>
      </c>
      <c r="D112" s="144" t="s">
        <v>58</v>
      </c>
      <c r="E112" s="145">
        <f t="shared" si="36"/>
        <v>0</v>
      </c>
      <c r="F112" s="146">
        <f t="shared" si="19"/>
        <v>0</v>
      </c>
      <c r="G112" s="146">
        <f t="shared" si="20"/>
        <v>0</v>
      </c>
      <c r="H112" s="146">
        <f t="shared" si="21"/>
        <v>0</v>
      </c>
      <c r="I112" s="146">
        <f t="shared" si="22"/>
        <v>0</v>
      </c>
      <c r="J112" s="146">
        <f t="shared" si="23"/>
        <v>0</v>
      </c>
      <c r="K112" s="146">
        <f t="shared" si="24"/>
        <v>0</v>
      </c>
      <c r="L112" s="147">
        <f t="shared" si="37"/>
        <v>0</v>
      </c>
      <c r="M112" s="147">
        <f t="shared" si="25"/>
        <v>0</v>
      </c>
      <c r="N112" s="147">
        <f t="shared" si="26"/>
        <v>0</v>
      </c>
      <c r="O112" s="147">
        <f t="shared" si="27"/>
        <v>0</v>
      </c>
      <c r="P112" s="147">
        <f t="shared" si="28"/>
        <v>0</v>
      </c>
      <c r="Q112" s="147">
        <f t="shared" si="29"/>
        <v>0</v>
      </c>
      <c r="R112" s="147">
        <f t="shared" si="30"/>
        <v>0</v>
      </c>
      <c r="S112" s="147">
        <f t="shared" si="31"/>
        <v>0</v>
      </c>
      <c r="T112" s="147">
        <f t="shared" si="32"/>
        <v>0</v>
      </c>
      <c r="U112" s="147">
        <f t="shared" si="33"/>
        <v>1</v>
      </c>
      <c r="V112" s="147">
        <f t="shared" si="34"/>
        <v>0</v>
      </c>
      <c r="W112" s="129">
        <v>0</v>
      </c>
      <c r="X112" s="144" t="str">
        <f t="shared" si="35"/>
        <v>WEEKDAY</v>
      </c>
      <c r="Y112" s="148">
        <v>3.05</v>
      </c>
      <c r="Z112" s="144" t="s">
        <v>55</v>
      </c>
      <c r="AA112" s="149">
        <v>591.5</v>
      </c>
      <c r="AB112" s="149">
        <v>98.136363999999986</v>
      </c>
      <c r="AC112" s="149">
        <v>193.9344262295082</v>
      </c>
      <c r="AD112" s="156">
        <v>32.175857049180323</v>
      </c>
      <c r="AE112" s="149" t="str">
        <f>IFERROR(_xlfn.XLOOKUP(DATA_MASTER[[#This Row],[DATE]],RODEO[DATE],RODEO[ARTIST]),"")</f>
        <v/>
      </c>
      <c r="AF112" s="172">
        <f>IF(DATA_MASTER[[#This Row],[RODEO_ARTIST]]="",0,1)</f>
        <v>0</v>
      </c>
      <c r="AG112" t="str">
        <f>IFERROR(RIGHT(_xlfn.XLOOKUP(DATA_MASTER[[#This Row],[DATE]],ASTROS[DATE],ASTROS[OPPONENT]),LEN(_xlfn.XLOOKUP(DATA_MASTER[[#This Row],[DATE]],ASTROS[DATE],ASTROS[OPPONENT]))-3),"NO GAME")</f>
        <v>NO GAME</v>
      </c>
      <c r="AH112">
        <f>IF(DATA_MASTER[[#This Row],[ASTROS_GAME]]="NO GAME",0,1)</f>
        <v>0</v>
      </c>
      <c r="AI112">
        <f>_xlfn.XLOOKUP(DATA_MASTER[[#This Row],[DATE]],WEATHER[DATE],WEATHER[tempmax])</f>
        <v>83.3</v>
      </c>
      <c r="AJ112">
        <f>_xlfn.XLOOKUP(DATA_MASTER[[#This Row],[DATE]],WEATHER[DATE],WEATHER[precip])</f>
        <v>0</v>
      </c>
    </row>
    <row r="113" spans="1:36" x14ac:dyDescent="0.35">
      <c r="A113" s="155">
        <v>45237</v>
      </c>
      <c r="B113" s="144" t="s">
        <v>46</v>
      </c>
      <c r="C113" s="144" t="s">
        <v>52</v>
      </c>
      <c r="D113" s="144" t="s">
        <v>58</v>
      </c>
      <c r="E113" s="145">
        <f t="shared" si="36"/>
        <v>1</v>
      </c>
      <c r="F113" s="146">
        <f t="shared" si="19"/>
        <v>0</v>
      </c>
      <c r="G113" s="146">
        <f t="shared" si="20"/>
        <v>0</v>
      </c>
      <c r="H113" s="146">
        <f t="shared" si="21"/>
        <v>0</v>
      </c>
      <c r="I113" s="146">
        <f t="shared" si="22"/>
        <v>0</v>
      </c>
      <c r="J113" s="146">
        <f t="shared" si="23"/>
        <v>0</v>
      </c>
      <c r="K113" s="146">
        <f t="shared" si="24"/>
        <v>0</v>
      </c>
      <c r="L113" s="147">
        <f t="shared" si="37"/>
        <v>0</v>
      </c>
      <c r="M113" s="147">
        <f t="shared" si="25"/>
        <v>0</v>
      </c>
      <c r="N113" s="147">
        <f t="shared" si="26"/>
        <v>0</v>
      </c>
      <c r="O113" s="147">
        <f t="shared" si="27"/>
        <v>0</v>
      </c>
      <c r="P113" s="147">
        <f t="shared" si="28"/>
        <v>0</v>
      </c>
      <c r="Q113" s="147">
        <f t="shared" si="29"/>
        <v>0</v>
      </c>
      <c r="R113" s="147">
        <f t="shared" si="30"/>
        <v>0</v>
      </c>
      <c r="S113" s="147">
        <f t="shared" si="31"/>
        <v>0</v>
      </c>
      <c r="T113" s="147">
        <f t="shared" si="32"/>
        <v>0</v>
      </c>
      <c r="U113" s="147">
        <f t="shared" si="33"/>
        <v>1</v>
      </c>
      <c r="V113" s="147">
        <f t="shared" si="34"/>
        <v>0</v>
      </c>
      <c r="W113" s="129">
        <v>0</v>
      </c>
      <c r="X113" s="144" t="str">
        <f t="shared" si="35"/>
        <v>WEEKDAY</v>
      </c>
      <c r="Y113" s="148">
        <v>5.0333333333333332</v>
      </c>
      <c r="Z113" s="144" t="s">
        <v>55</v>
      </c>
      <c r="AA113" s="149">
        <v>947.5</v>
      </c>
      <c r="AB113" s="149">
        <v>176.85569600000002</v>
      </c>
      <c r="AC113" s="149">
        <v>188.24503311258277</v>
      </c>
      <c r="AD113" s="156">
        <v>35.136893245033122</v>
      </c>
      <c r="AE113" s="149" t="str">
        <f>IFERROR(_xlfn.XLOOKUP(DATA_MASTER[[#This Row],[DATE]],RODEO[DATE],RODEO[ARTIST]),"")</f>
        <v/>
      </c>
      <c r="AF113" s="172">
        <f>IF(DATA_MASTER[[#This Row],[RODEO_ARTIST]]="",0,1)</f>
        <v>0</v>
      </c>
      <c r="AG113" t="str">
        <f>IFERROR(RIGHT(_xlfn.XLOOKUP(DATA_MASTER[[#This Row],[DATE]],ASTROS[DATE],ASTROS[OPPONENT]),LEN(_xlfn.XLOOKUP(DATA_MASTER[[#This Row],[DATE]],ASTROS[DATE],ASTROS[OPPONENT]))-3),"NO GAME")</f>
        <v>NO GAME</v>
      </c>
      <c r="AH113">
        <f>IF(DATA_MASTER[[#This Row],[ASTROS_GAME]]="NO GAME",0,1)</f>
        <v>0</v>
      </c>
      <c r="AI113">
        <f>_xlfn.XLOOKUP(DATA_MASTER[[#This Row],[DATE]],WEATHER[DATE],WEATHER[tempmax])</f>
        <v>83.3</v>
      </c>
      <c r="AJ113">
        <f>_xlfn.XLOOKUP(DATA_MASTER[[#This Row],[DATE]],WEATHER[DATE],WEATHER[precip])</f>
        <v>0</v>
      </c>
    </row>
    <row r="114" spans="1:36" x14ac:dyDescent="0.35">
      <c r="A114" s="155">
        <v>45240</v>
      </c>
      <c r="B114" s="144" t="s">
        <v>46</v>
      </c>
      <c r="C114" s="144" t="s">
        <v>48</v>
      </c>
      <c r="D114" s="144" t="s">
        <v>58</v>
      </c>
      <c r="E114" s="145">
        <f t="shared" si="36"/>
        <v>1</v>
      </c>
      <c r="F114" s="146">
        <f t="shared" si="19"/>
        <v>0</v>
      </c>
      <c r="G114" s="146">
        <f t="shared" si="20"/>
        <v>0</v>
      </c>
      <c r="H114" s="146">
        <f t="shared" si="21"/>
        <v>0</v>
      </c>
      <c r="I114" s="146">
        <f t="shared" si="22"/>
        <v>0</v>
      </c>
      <c r="J114" s="146">
        <f t="shared" si="23"/>
        <v>1</v>
      </c>
      <c r="K114" s="146">
        <f t="shared" si="24"/>
        <v>0</v>
      </c>
      <c r="L114" s="147">
        <f t="shared" si="37"/>
        <v>0</v>
      </c>
      <c r="M114" s="147">
        <f t="shared" si="25"/>
        <v>0</v>
      </c>
      <c r="N114" s="147">
        <f t="shared" si="26"/>
        <v>0</v>
      </c>
      <c r="O114" s="147">
        <f t="shared" si="27"/>
        <v>0</v>
      </c>
      <c r="P114" s="147">
        <f t="shared" si="28"/>
        <v>0</v>
      </c>
      <c r="Q114" s="147">
        <f t="shared" si="29"/>
        <v>0</v>
      </c>
      <c r="R114" s="147">
        <f t="shared" si="30"/>
        <v>0</v>
      </c>
      <c r="S114" s="147">
        <f t="shared" si="31"/>
        <v>0</v>
      </c>
      <c r="T114" s="147">
        <f t="shared" si="32"/>
        <v>0</v>
      </c>
      <c r="U114" s="147">
        <f t="shared" si="33"/>
        <v>1</v>
      </c>
      <c r="V114" s="147">
        <f t="shared" si="34"/>
        <v>0</v>
      </c>
      <c r="W114" s="129">
        <v>1</v>
      </c>
      <c r="X114" s="144" t="str">
        <f t="shared" si="35"/>
        <v>WEEKEND</v>
      </c>
      <c r="Y114" s="148">
        <v>6.7666666666666666</v>
      </c>
      <c r="Z114" s="144" t="s">
        <v>45</v>
      </c>
      <c r="AA114" s="149">
        <v>1505</v>
      </c>
      <c r="AB114" s="149">
        <v>236.089088</v>
      </c>
      <c r="AC114" s="149">
        <v>222.41379310344828</v>
      </c>
      <c r="AD114" s="156">
        <v>34.890013004926111</v>
      </c>
      <c r="AE114" s="149" t="str">
        <f>IFERROR(_xlfn.XLOOKUP(DATA_MASTER[[#This Row],[DATE]],RODEO[DATE],RODEO[ARTIST]),"")</f>
        <v/>
      </c>
      <c r="AF114" s="172">
        <f>IF(DATA_MASTER[[#This Row],[RODEO_ARTIST]]="",0,1)</f>
        <v>0</v>
      </c>
      <c r="AG114" t="str">
        <f>IFERROR(RIGHT(_xlfn.XLOOKUP(DATA_MASTER[[#This Row],[DATE]],ASTROS[DATE],ASTROS[OPPONENT]),LEN(_xlfn.XLOOKUP(DATA_MASTER[[#This Row],[DATE]],ASTROS[DATE],ASTROS[OPPONENT]))-3),"NO GAME")</f>
        <v>NO GAME</v>
      </c>
      <c r="AH114">
        <f>IF(DATA_MASTER[[#This Row],[ASTROS_GAME]]="NO GAME",0,1)</f>
        <v>0</v>
      </c>
      <c r="AI114">
        <f>_xlfn.XLOOKUP(DATA_MASTER[[#This Row],[DATE]],WEATHER[DATE],WEATHER[tempmax])</f>
        <v>68.099999999999994</v>
      </c>
      <c r="AJ114">
        <f>_xlfn.XLOOKUP(DATA_MASTER[[#This Row],[DATE]],WEATHER[DATE],WEATHER[precip])</f>
        <v>0.14299999999999999</v>
      </c>
    </row>
    <row r="115" spans="1:36" x14ac:dyDescent="0.35">
      <c r="A115" s="155">
        <v>45241</v>
      </c>
      <c r="B115" s="144" t="s">
        <v>46</v>
      </c>
      <c r="C115" s="144" t="s">
        <v>49</v>
      </c>
      <c r="D115" s="144" t="s">
        <v>58</v>
      </c>
      <c r="E115" s="145">
        <f t="shared" si="36"/>
        <v>1</v>
      </c>
      <c r="F115" s="146">
        <f t="shared" si="19"/>
        <v>0</v>
      </c>
      <c r="G115" s="146">
        <f t="shared" si="20"/>
        <v>0</v>
      </c>
      <c r="H115" s="146">
        <f t="shared" si="21"/>
        <v>0</v>
      </c>
      <c r="I115" s="146">
        <f t="shared" si="22"/>
        <v>0</v>
      </c>
      <c r="J115" s="146">
        <f t="shared" si="23"/>
        <v>0</v>
      </c>
      <c r="K115" s="146">
        <f t="shared" si="24"/>
        <v>1</v>
      </c>
      <c r="L115" s="147">
        <f t="shared" si="37"/>
        <v>0</v>
      </c>
      <c r="M115" s="147">
        <f t="shared" si="25"/>
        <v>0</v>
      </c>
      <c r="N115" s="147">
        <f t="shared" si="26"/>
        <v>0</v>
      </c>
      <c r="O115" s="147">
        <f t="shared" si="27"/>
        <v>0</v>
      </c>
      <c r="P115" s="147">
        <f t="shared" si="28"/>
        <v>0</v>
      </c>
      <c r="Q115" s="147">
        <f t="shared" si="29"/>
        <v>0</v>
      </c>
      <c r="R115" s="147">
        <f t="shared" si="30"/>
        <v>0</v>
      </c>
      <c r="S115" s="147">
        <f t="shared" si="31"/>
        <v>0</v>
      </c>
      <c r="T115" s="147">
        <f t="shared" si="32"/>
        <v>0</v>
      </c>
      <c r="U115" s="147">
        <f t="shared" si="33"/>
        <v>1</v>
      </c>
      <c r="V115" s="147">
        <f t="shared" si="34"/>
        <v>0</v>
      </c>
      <c r="W115" s="129">
        <v>1</v>
      </c>
      <c r="X115" s="144" t="str">
        <f t="shared" si="35"/>
        <v>WEEKEND</v>
      </c>
      <c r="Y115" s="148">
        <v>6.3166666666666664</v>
      </c>
      <c r="Z115" s="144" t="s">
        <v>45</v>
      </c>
      <c r="AA115" s="149">
        <v>1098</v>
      </c>
      <c r="AB115" s="149">
        <v>205.845732</v>
      </c>
      <c r="AC115" s="149">
        <v>173.82585751978891</v>
      </c>
      <c r="AD115" s="156">
        <v>32.58771482849604</v>
      </c>
      <c r="AE115" s="149" t="str">
        <f>IFERROR(_xlfn.XLOOKUP(DATA_MASTER[[#This Row],[DATE]],RODEO[DATE],RODEO[ARTIST]),"")</f>
        <v/>
      </c>
      <c r="AF115" s="172">
        <f>IF(DATA_MASTER[[#This Row],[RODEO_ARTIST]]="",0,1)</f>
        <v>0</v>
      </c>
      <c r="AG115" t="str">
        <f>IFERROR(RIGHT(_xlfn.XLOOKUP(DATA_MASTER[[#This Row],[DATE]],ASTROS[DATE],ASTROS[OPPONENT]),LEN(_xlfn.XLOOKUP(DATA_MASTER[[#This Row],[DATE]],ASTROS[DATE],ASTROS[OPPONENT]))-3),"NO GAME")</f>
        <v>NO GAME</v>
      </c>
      <c r="AH115">
        <f>IF(DATA_MASTER[[#This Row],[ASTROS_GAME]]="NO GAME",0,1)</f>
        <v>0</v>
      </c>
      <c r="AI115">
        <f>_xlfn.XLOOKUP(DATA_MASTER[[#This Row],[DATE]],WEATHER[DATE],WEATHER[tempmax])</f>
        <v>60.4</v>
      </c>
      <c r="AJ115">
        <f>_xlfn.XLOOKUP(DATA_MASTER[[#This Row],[DATE]],WEATHER[DATE],WEATHER[precip])</f>
        <v>0</v>
      </c>
    </row>
    <row r="116" spans="1:36" x14ac:dyDescent="0.35">
      <c r="A116" s="155">
        <v>45242</v>
      </c>
      <c r="B116" s="144" t="s">
        <v>46</v>
      </c>
      <c r="C116" s="144" t="s">
        <v>50</v>
      </c>
      <c r="D116" s="144" t="s">
        <v>58</v>
      </c>
      <c r="E116" s="145">
        <f t="shared" si="36"/>
        <v>1</v>
      </c>
      <c r="F116" s="146">
        <f t="shared" si="19"/>
        <v>1</v>
      </c>
      <c r="G116" s="146">
        <f t="shared" si="20"/>
        <v>0</v>
      </c>
      <c r="H116" s="146">
        <f t="shared" si="21"/>
        <v>0</v>
      </c>
      <c r="I116" s="146">
        <f t="shared" si="22"/>
        <v>0</v>
      </c>
      <c r="J116" s="146">
        <f t="shared" si="23"/>
        <v>0</v>
      </c>
      <c r="K116" s="146">
        <f t="shared" si="24"/>
        <v>0</v>
      </c>
      <c r="L116" s="147">
        <f t="shared" si="37"/>
        <v>0</v>
      </c>
      <c r="M116" s="147">
        <f t="shared" si="25"/>
        <v>0</v>
      </c>
      <c r="N116" s="147">
        <f t="shared" si="26"/>
        <v>0</v>
      </c>
      <c r="O116" s="147">
        <f t="shared" si="27"/>
        <v>0</v>
      </c>
      <c r="P116" s="147">
        <f t="shared" si="28"/>
        <v>0</v>
      </c>
      <c r="Q116" s="147">
        <f t="shared" si="29"/>
        <v>0</v>
      </c>
      <c r="R116" s="147">
        <f t="shared" si="30"/>
        <v>0</v>
      </c>
      <c r="S116" s="147">
        <f t="shared" si="31"/>
        <v>0</v>
      </c>
      <c r="T116" s="147">
        <f t="shared" si="32"/>
        <v>0</v>
      </c>
      <c r="U116" s="147">
        <f t="shared" si="33"/>
        <v>1</v>
      </c>
      <c r="V116" s="147">
        <f t="shared" si="34"/>
        <v>0</v>
      </c>
      <c r="W116" s="129">
        <v>1</v>
      </c>
      <c r="X116" s="144" t="str">
        <f t="shared" si="35"/>
        <v>WEEKEND</v>
      </c>
      <c r="Y116" s="148">
        <v>6.55</v>
      </c>
      <c r="Z116" s="144" t="s">
        <v>45</v>
      </c>
      <c r="AA116" s="149">
        <v>1284</v>
      </c>
      <c r="AB116" s="149">
        <v>210.13176400000003</v>
      </c>
      <c r="AC116" s="149">
        <v>196.03053435114504</v>
      </c>
      <c r="AD116" s="156">
        <v>32.081185343511457</v>
      </c>
      <c r="AE116" s="149" t="str">
        <f>IFERROR(_xlfn.XLOOKUP(DATA_MASTER[[#This Row],[DATE]],RODEO[DATE],RODEO[ARTIST]),"")</f>
        <v/>
      </c>
      <c r="AF116" s="172">
        <f>IF(DATA_MASTER[[#This Row],[RODEO_ARTIST]]="",0,1)</f>
        <v>0</v>
      </c>
      <c r="AG116" t="str">
        <f>IFERROR(RIGHT(_xlfn.XLOOKUP(DATA_MASTER[[#This Row],[DATE]],ASTROS[DATE],ASTROS[OPPONENT]),LEN(_xlfn.XLOOKUP(DATA_MASTER[[#This Row],[DATE]],ASTROS[DATE],ASTROS[OPPONENT]))-3),"NO GAME")</f>
        <v>NO GAME</v>
      </c>
      <c r="AH116">
        <f>IF(DATA_MASTER[[#This Row],[ASTROS_GAME]]="NO GAME",0,1)</f>
        <v>0</v>
      </c>
      <c r="AI116">
        <f>_xlfn.XLOOKUP(DATA_MASTER[[#This Row],[DATE]],WEATHER[DATE],WEATHER[tempmax])</f>
        <v>64.5</v>
      </c>
      <c r="AJ116">
        <f>_xlfn.XLOOKUP(DATA_MASTER[[#This Row],[DATE]],WEATHER[DATE],WEATHER[precip])</f>
        <v>8.4000000000000005E-2</v>
      </c>
    </row>
    <row r="117" spans="1:36" x14ac:dyDescent="0.35">
      <c r="A117" s="155">
        <v>45243</v>
      </c>
      <c r="B117" s="144" t="s">
        <v>42</v>
      </c>
      <c r="C117" s="144" t="s">
        <v>51</v>
      </c>
      <c r="D117" s="144" t="s">
        <v>58</v>
      </c>
      <c r="E117" s="145">
        <f t="shared" si="36"/>
        <v>0</v>
      </c>
      <c r="F117" s="146">
        <f t="shared" si="19"/>
        <v>0</v>
      </c>
      <c r="G117" s="146">
        <f t="shared" si="20"/>
        <v>1</v>
      </c>
      <c r="H117" s="146">
        <f t="shared" si="21"/>
        <v>0</v>
      </c>
      <c r="I117" s="146">
        <f t="shared" si="22"/>
        <v>0</v>
      </c>
      <c r="J117" s="146">
        <f t="shared" si="23"/>
        <v>0</v>
      </c>
      <c r="K117" s="146">
        <f t="shared" si="24"/>
        <v>0</v>
      </c>
      <c r="L117" s="147">
        <f t="shared" si="37"/>
        <v>0</v>
      </c>
      <c r="M117" s="147">
        <f t="shared" si="25"/>
        <v>0</v>
      </c>
      <c r="N117" s="147">
        <f t="shared" si="26"/>
        <v>0</v>
      </c>
      <c r="O117" s="147">
        <f t="shared" si="27"/>
        <v>0</v>
      </c>
      <c r="P117" s="147">
        <f t="shared" si="28"/>
        <v>0</v>
      </c>
      <c r="Q117" s="147">
        <f t="shared" si="29"/>
        <v>0</v>
      </c>
      <c r="R117" s="147">
        <f t="shared" si="30"/>
        <v>0</v>
      </c>
      <c r="S117" s="147">
        <f t="shared" si="31"/>
        <v>0</v>
      </c>
      <c r="T117" s="147">
        <f t="shared" si="32"/>
        <v>0</v>
      </c>
      <c r="U117" s="147">
        <f t="shared" si="33"/>
        <v>1</v>
      </c>
      <c r="V117" s="147">
        <f t="shared" si="34"/>
        <v>0</v>
      </c>
      <c r="W117" s="129">
        <v>0</v>
      </c>
      <c r="X117" s="144" t="str">
        <f t="shared" si="35"/>
        <v>WEEKDAY</v>
      </c>
      <c r="Y117" s="148">
        <v>4.6333333333333337</v>
      </c>
      <c r="Z117" s="144" t="s">
        <v>45</v>
      </c>
      <c r="AA117" s="149">
        <v>568</v>
      </c>
      <c r="AB117" s="149">
        <v>97.287064000000001</v>
      </c>
      <c r="AC117" s="149">
        <v>122.58992805755395</v>
      </c>
      <c r="AD117" s="156">
        <v>20.997208057553955</v>
      </c>
      <c r="AE117" s="149" t="str">
        <f>IFERROR(_xlfn.XLOOKUP(DATA_MASTER[[#This Row],[DATE]],RODEO[DATE],RODEO[ARTIST]),"")</f>
        <v/>
      </c>
      <c r="AF117" s="172">
        <f>IF(DATA_MASTER[[#This Row],[RODEO_ARTIST]]="",0,1)</f>
        <v>0</v>
      </c>
      <c r="AG117" t="str">
        <f>IFERROR(RIGHT(_xlfn.XLOOKUP(DATA_MASTER[[#This Row],[DATE]],ASTROS[DATE],ASTROS[OPPONENT]),LEN(_xlfn.XLOOKUP(DATA_MASTER[[#This Row],[DATE]],ASTROS[DATE],ASTROS[OPPONENT]))-3),"NO GAME")</f>
        <v>NO GAME</v>
      </c>
      <c r="AH117">
        <f>IF(DATA_MASTER[[#This Row],[ASTROS_GAME]]="NO GAME",0,1)</f>
        <v>0</v>
      </c>
      <c r="AI117">
        <f>_xlfn.XLOOKUP(DATA_MASTER[[#This Row],[DATE]],WEATHER[DATE],WEATHER[tempmax])</f>
        <v>61.1</v>
      </c>
      <c r="AJ117">
        <f>_xlfn.XLOOKUP(DATA_MASTER[[#This Row],[DATE]],WEATHER[DATE],WEATHER[precip])</f>
        <v>0.60599999999999998</v>
      </c>
    </row>
    <row r="118" spans="1:36" x14ac:dyDescent="0.35">
      <c r="A118" s="155">
        <v>45244</v>
      </c>
      <c r="B118" s="144" t="s">
        <v>42</v>
      </c>
      <c r="C118" s="144" t="s">
        <v>52</v>
      </c>
      <c r="D118" s="144" t="s">
        <v>58</v>
      </c>
      <c r="E118" s="145">
        <f t="shared" si="36"/>
        <v>0</v>
      </c>
      <c r="F118" s="146">
        <f t="shared" si="19"/>
        <v>0</v>
      </c>
      <c r="G118" s="146">
        <f t="shared" si="20"/>
        <v>0</v>
      </c>
      <c r="H118" s="146">
        <f t="shared" si="21"/>
        <v>0</v>
      </c>
      <c r="I118" s="146">
        <f t="shared" si="22"/>
        <v>0</v>
      </c>
      <c r="J118" s="146">
        <f t="shared" si="23"/>
        <v>0</v>
      </c>
      <c r="K118" s="146">
        <f t="shared" si="24"/>
        <v>0</v>
      </c>
      <c r="L118" s="147">
        <f t="shared" si="37"/>
        <v>0</v>
      </c>
      <c r="M118" s="147">
        <f t="shared" si="25"/>
        <v>0</v>
      </c>
      <c r="N118" s="147">
        <f t="shared" si="26"/>
        <v>0</v>
      </c>
      <c r="O118" s="147">
        <f t="shared" si="27"/>
        <v>0</v>
      </c>
      <c r="P118" s="147">
        <f t="shared" si="28"/>
        <v>0</v>
      </c>
      <c r="Q118" s="147">
        <f t="shared" si="29"/>
        <v>0</v>
      </c>
      <c r="R118" s="147">
        <f t="shared" si="30"/>
        <v>0</v>
      </c>
      <c r="S118" s="147">
        <f t="shared" si="31"/>
        <v>0</v>
      </c>
      <c r="T118" s="147">
        <f t="shared" si="32"/>
        <v>0</v>
      </c>
      <c r="U118" s="147">
        <f t="shared" si="33"/>
        <v>1</v>
      </c>
      <c r="V118" s="147">
        <f t="shared" si="34"/>
        <v>0</v>
      </c>
      <c r="W118" s="129">
        <v>0</v>
      </c>
      <c r="X118" s="144" t="str">
        <f t="shared" si="35"/>
        <v>WEEKDAY</v>
      </c>
      <c r="Y118" s="148">
        <v>4.5333333333333332</v>
      </c>
      <c r="Z118" s="144" t="s">
        <v>45</v>
      </c>
      <c r="AA118" s="149">
        <v>988</v>
      </c>
      <c r="AB118" s="149">
        <v>148.91745600000002</v>
      </c>
      <c r="AC118" s="149">
        <v>217.94117647058823</v>
      </c>
      <c r="AD118" s="156">
        <v>32.849438823529418</v>
      </c>
      <c r="AE118" s="149" t="str">
        <f>IFERROR(_xlfn.XLOOKUP(DATA_MASTER[[#This Row],[DATE]],RODEO[DATE],RODEO[ARTIST]),"")</f>
        <v/>
      </c>
      <c r="AF118" s="172">
        <f>IF(DATA_MASTER[[#This Row],[RODEO_ARTIST]]="",0,1)</f>
        <v>0</v>
      </c>
      <c r="AG118" t="str">
        <f>IFERROR(RIGHT(_xlfn.XLOOKUP(DATA_MASTER[[#This Row],[DATE]],ASTROS[DATE],ASTROS[OPPONENT]),LEN(_xlfn.XLOOKUP(DATA_MASTER[[#This Row],[DATE]],ASTROS[DATE],ASTROS[OPPONENT]))-3),"NO GAME")</f>
        <v>NO GAME</v>
      </c>
      <c r="AH118">
        <f>IF(DATA_MASTER[[#This Row],[ASTROS_GAME]]="NO GAME",0,1)</f>
        <v>0</v>
      </c>
      <c r="AI118">
        <f>_xlfn.XLOOKUP(DATA_MASTER[[#This Row],[DATE]],WEATHER[DATE],WEATHER[tempmax])</f>
        <v>69.8</v>
      </c>
      <c r="AJ118">
        <f>_xlfn.XLOOKUP(DATA_MASTER[[#This Row],[DATE]],WEATHER[DATE],WEATHER[precip])</f>
        <v>0</v>
      </c>
    </row>
    <row r="119" spans="1:36" x14ac:dyDescent="0.35">
      <c r="A119" s="155">
        <v>45245</v>
      </c>
      <c r="B119" s="144" t="s">
        <v>42</v>
      </c>
      <c r="C119" s="144" t="s">
        <v>44</v>
      </c>
      <c r="D119" s="144" t="s">
        <v>58</v>
      </c>
      <c r="E119" s="145">
        <f t="shared" si="36"/>
        <v>0</v>
      </c>
      <c r="F119" s="146">
        <f t="shared" si="19"/>
        <v>0</v>
      </c>
      <c r="G119" s="146">
        <f t="shared" si="20"/>
        <v>0</v>
      </c>
      <c r="H119" s="146">
        <f t="shared" si="21"/>
        <v>1</v>
      </c>
      <c r="I119" s="146">
        <f t="shared" si="22"/>
        <v>0</v>
      </c>
      <c r="J119" s="146">
        <f t="shared" si="23"/>
        <v>0</v>
      </c>
      <c r="K119" s="146">
        <f t="shared" si="24"/>
        <v>0</v>
      </c>
      <c r="L119" s="147">
        <f t="shared" si="37"/>
        <v>0</v>
      </c>
      <c r="M119" s="147">
        <f t="shared" si="25"/>
        <v>0</v>
      </c>
      <c r="N119" s="147">
        <f t="shared" si="26"/>
        <v>0</v>
      </c>
      <c r="O119" s="147">
        <f t="shared" si="27"/>
        <v>0</v>
      </c>
      <c r="P119" s="147">
        <f t="shared" si="28"/>
        <v>0</v>
      </c>
      <c r="Q119" s="147">
        <f t="shared" si="29"/>
        <v>0</v>
      </c>
      <c r="R119" s="147">
        <f t="shared" si="30"/>
        <v>0</v>
      </c>
      <c r="S119" s="147">
        <f t="shared" si="31"/>
        <v>0</v>
      </c>
      <c r="T119" s="147">
        <f t="shared" si="32"/>
        <v>0</v>
      </c>
      <c r="U119" s="147">
        <f t="shared" si="33"/>
        <v>1</v>
      </c>
      <c r="V119" s="147">
        <f t="shared" si="34"/>
        <v>0</v>
      </c>
      <c r="W119" s="129">
        <v>0</v>
      </c>
      <c r="X119" s="144" t="str">
        <f t="shared" si="35"/>
        <v>WEEKDAY</v>
      </c>
      <c r="Y119" s="148">
        <v>3.7666666666666666</v>
      </c>
      <c r="Z119" s="144" t="s">
        <v>45</v>
      </c>
      <c r="AA119" s="149">
        <v>731</v>
      </c>
      <c r="AB119" s="149">
        <v>106.313872</v>
      </c>
      <c r="AC119" s="149">
        <v>194.07079646017701</v>
      </c>
      <c r="AD119" s="156">
        <v>28.224921769911507</v>
      </c>
      <c r="AE119" s="149" t="str">
        <f>IFERROR(_xlfn.XLOOKUP(DATA_MASTER[[#This Row],[DATE]],RODEO[DATE],RODEO[ARTIST]),"")</f>
        <v/>
      </c>
      <c r="AF119" s="172">
        <f>IF(DATA_MASTER[[#This Row],[RODEO_ARTIST]]="",0,1)</f>
        <v>0</v>
      </c>
      <c r="AG119" t="str">
        <f>IFERROR(RIGHT(_xlfn.XLOOKUP(DATA_MASTER[[#This Row],[DATE]],ASTROS[DATE],ASTROS[OPPONENT]),LEN(_xlfn.XLOOKUP(DATA_MASTER[[#This Row],[DATE]],ASTROS[DATE],ASTROS[OPPONENT]))-3),"NO GAME")</f>
        <v>NO GAME</v>
      </c>
      <c r="AH119">
        <f>IF(DATA_MASTER[[#This Row],[ASTROS_GAME]]="NO GAME",0,1)</f>
        <v>0</v>
      </c>
      <c r="AI119">
        <f>_xlfn.XLOOKUP(DATA_MASTER[[#This Row],[DATE]],WEATHER[DATE],WEATHER[tempmax])</f>
        <v>71.7</v>
      </c>
      <c r="AJ119">
        <f>_xlfn.XLOOKUP(DATA_MASTER[[#This Row],[DATE]],WEATHER[DATE],WEATHER[precip])</f>
        <v>0</v>
      </c>
    </row>
    <row r="120" spans="1:36" x14ac:dyDescent="0.35">
      <c r="A120" s="155">
        <v>45247</v>
      </c>
      <c r="B120" s="144" t="s">
        <v>46</v>
      </c>
      <c r="C120" s="144" t="s">
        <v>48</v>
      </c>
      <c r="D120" s="144" t="s">
        <v>58</v>
      </c>
      <c r="E120" s="145">
        <f t="shared" si="36"/>
        <v>1</v>
      </c>
      <c r="F120" s="146">
        <f t="shared" si="19"/>
        <v>0</v>
      </c>
      <c r="G120" s="146">
        <f t="shared" si="20"/>
        <v>0</v>
      </c>
      <c r="H120" s="146">
        <f t="shared" si="21"/>
        <v>0</v>
      </c>
      <c r="I120" s="146">
        <f t="shared" si="22"/>
        <v>0</v>
      </c>
      <c r="J120" s="146">
        <f t="shared" si="23"/>
        <v>1</v>
      </c>
      <c r="K120" s="146">
        <f t="shared" si="24"/>
        <v>0</v>
      </c>
      <c r="L120" s="147">
        <f t="shared" si="37"/>
        <v>0</v>
      </c>
      <c r="M120" s="147">
        <f t="shared" si="25"/>
        <v>0</v>
      </c>
      <c r="N120" s="147">
        <f t="shared" si="26"/>
        <v>0</v>
      </c>
      <c r="O120" s="147">
        <f t="shared" si="27"/>
        <v>0</v>
      </c>
      <c r="P120" s="147">
        <f t="shared" si="28"/>
        <v>0</v>
      </c>
      <c r="Q120" s="147">
        <f t="shared" si="29"/>
        <v>0</v>
      </c>
      <c r="R120" s="147">
        <f t="shared" si="30"/>
        <v>0</v>
      </c>
      <c r="S120" s="147">
        <f t="shared" si="31"/>
        <v>0</v>
      </c>
      <c r="T120" s="147">
        <f t="shared" si="32"/>
        <v>0</v>
      </c>
      <c r="U120" s="147">
        <f t="shared" si="33"/>
        <v>1</v>
      </c>
      <c r="V120" s="147">
        <f t="shared" si="34"/>
        <v>0</v>
      </c>
      <c r="W120" s="129">
        <v>1</v>
      </c>
      <c r="X120" s="144" t="str">
        <f t="shared" si="35"/>
        <v>WEEKEND</v>
      </c>
      <c r="Y120" s="148">
        <v>5.85</v>
      </c>
      <c r="Z120" s="144" t="s">
        <v>45</v>
      </c>
      <c r="AA120" s="149">
        <v>1036.5</v>
      </c>
      <c r="AB120" s="149">
        <v>162.82282000000001</v>
      </c>
      <c r="AC120" s="149">
        <v>177.17948717948718</v>
      </c>
      <c r="AD120" s="156">
        <v>27.832960683760685</v>
      </c>
      <c r="AE120" s="149" t="str">
        <f>IFERROR(_xlfn.XLOOKUP(DATA_MASTER[[#This Row],[DATE]],RODEO[DATE],RODEO[ARTIST]),"")</f>
        <v/>
      </c>
      <c r="AF120" s="172">
        <f>IF(DATA_MASTER[[#This Row],[RODEO_ARTIST]]="",0,1)</f>
        <v>0</v>
      </c>
      <c r="AG120" t="str">
        <f>IFERROR(RIGHT(_xlfn.XLOOKUP(DATA_MASTER[[#This Row],[DATE]],ASTROS[DATE],ASTROS[OPPONENT]),LEN(_xlfn.XLOOKUP(DATA_MASTER[[#This Row],[DATE]],ASTROS[DATE],ASTROS[OPPONENT]))-3),"NO GAME")</f>
        <v>NO GAME</v>
      </c>
      <c r="AH120">
        <f>IF(DATA_MASTER[[#This Row],[ASTROS_GAME]]="NO GAME",0,1)</f>
        <v>0</v>
      </c>
      <c r="AI120">
        <f>_xlfn.XLOOKUP(DATA_MASTER[[#This Row],[DATE]],WEATHER[DATE],WEATHER[tempmax])</f>
        <v>76.3</v>
      </c>
      <c r="AJ120">
        <f>_xlfn.XLOOKUP(DATA_MASTER[[#This Row],[DATE]],WEATHER[DATE],WEATHER[precip])</f>
        <v>0</v>
      </c>
    </row>
    <row r="121" spans="1:36" x14ac:dyDescent="0.35">
      <c r="A121" s="155">
        <v>45248</v>
      </c>
      <c r="B121" s="144" t="s">
        <v>46</v>
      </c>
      <c r="C121" s="144" t="s">
        <v>49</v>
      </c>
      <c r="D121" s="144" t="s">
        <v>58</v>
      </c>
      <c r="E121" s="145">
        <f t="shared" si="36"/>
        <v>1</v>
      </c>
      <c r="F121" s="146">
        <f t="shared" si="19"/>
        <v>0</v>
      </c>
      <c r="G121" s="146">
        <f t="shared" si="20"/>
        <v>0</v>
      </c>
      <c r="H121" s="146">
        <f t="shared" si="21"/>
        <v>0</v>
      </c>
      <c r="I121" s="146">
        <f t="shared" si="22"/>
        <v>0</v>
      </c>
      <c r="J121" s="146">
        <f t="shared" si="23"/>
        <v>0</v>
      </c>
      <c r="K121" s="146">
        <f t="shared" si="24"/>
        <v>1</v>
      </c>
      <c r="L121" s="147">
        <f t="shared" si="37"/>
        <v>0</v>
      </c>
      <c r="M121" s="147">
        <f t="shared" si="25"/>
        <v>0</v>
      </c>
      <c r="N121" s="147">
        <f t="shared" si="26"/>
        <v>0</v>
      </c>
      <c r="O121" s="147">
        <f t="shared" si="27"/>
        <v>0</v>
      </c>
      <c r="P121" s="147">
        <f t="shared" si="28"/>
        <v>0</v>
      </c>
      <c r="Q121" s="147">
        <f t="shared" si="29"/>
        <v>0</v>
      </c>
      <c r="R121" s="147">
        <f t="shared" si="30"/>
        <v>0</v>
      </c>
      <c r="S121" s="147">
        <f t="shared" si="31"/>
        <v>0</v>
      </c>
      <c r="T121" s="147">
        <f t="shared" si="32"/>
        <v>0</v>
      </c>
      <c r="U121" s="147">
        <f t="shared" si="33"/>
        <v>1</v>
      </c>
      <c r="V121" s="147">
        <f t="shared" si="34"/>
        <v>0</v>
      </c>
      <c r="W121" s="129">
        <v>1</v>
      </c>
      <c r="X121" s="144" t="str">
        <f t="shared" si="35"/>
        <v>WEEKEND</v>
      </c>
      <c r="Y121" s="148">
        <v>4.583333333333333</v>
      </c>
      <c r="Z121" s="144" t="s">
        <v>45</v>
      </c>
      <c r="AA121" s="149">
        <v>1264</v>
      </c>
      <c r="AB121" s="149">
        <v>210.67860399999998</v>
      </c>
      <c r="AC121" s="149">
        <v>275.78181818181821</v>
      </c>
      <c r="AD121" s="156">
        <v>45.966240872727269</v>
      </c>
      <c r="AE121" s="149" t="str">
        <f>IFERROR(_xlfn.XLOOKUP(DATA_MASTER[[#This Row],[DATE]],RODEO[DATE],RODEO[ARTIST]),"")</f>
        <v/>
      </c>
      <c r="AF121" s="172">
        <f>IF(DATA_MASTER[[#This Row],[RODEO_ARTIST]]="",0,1)</f>
        <v>0</v>
      </c>
      <c r="AG121" t="str">
        <f>IFERROR(RIGHT(_xlfn.XLOOKUP(DATA_MASTER[[#This Row],[DATE]],ASTROS[DATE],ASTROS[OPPONENT]),LEN(_xlfn.XLOOKUP(DATA_MASTER[[#This Row],[DATE]],ASTROS[DATE],ASTROS[OPPONENT]))-3),"NO GAME")</f>
        <v>NO GAME</v>
      </c>
      <c r="AH121">
        <f>IF(DATA_MASTER[[#This Row],[ASTROS_GAME]]="NO GAME",0,1)</f>
        <v>0</v>
      </c>
      <c r="AI121">
        <f>_xlfn.XLOOKUP(DATA_MASTER[[#This Row],[DATE]],WEATHER[DATE],WEATHER[tempmax])</f>
        <v>73.7</v>
      </c>
      <c r="AJ121">
        <f>_xlfn.XLOOKUP(DATA_MASTER[[#This Row],[DATE]],WEATHER[DATE],WEATHER[precip])</f>
        <v>0</v>
      </c>
    </row>
    <row r="122" spans="1:36" x14ac:dyDescent="0.35">
      <c r="A122" s="155">
        <v>45250</v>
      </c>
      <c r="B122" s="144" t="s">
        <v>46</v>
      </c>
      <c r="C122" s="144" t="s">
        <v>51</v>
      </c>
      <c r="D122" s="144" t="s">
        <v>58</v>
      </c>
      <c r="E122" s="145">
        <f t="shared" si="36"/>
        <v>1</v>
      </c>
      <c r="F122" s="146">
        <f t="shared" si="19"/>
        <v>0</v>
      </c>
      <c r="G122" s="146">
        <f t="shared" si="20"/>
        <v>1</v>
      </c>
      <c r="H122" s="146">
        <f t="shared" si="21"/>
        <v>0</v>
      </c>
      <c r="I122" s="146">
        <f t="shared" si="22"/>
        <v>0</v>
      </c>
      <c r="J122" s="146">
        <f t="shared" si="23"/>
        <v>0</v>
      </c>
      <c r="K122" s="146">
        <f t="shared" si="24"/>
        <v>0</v>
      </c>
      <c r="L122" s="147">
        <f t="shared" si="37"/>
        <v>0</v>
      </c>
      <c r="M122" s="147">
        <f t="shared" si="25"/>
        <v>0</v>
      </c>
      <c r="N122" s="147">
        <f t="shared" si="26"/>
        <v>0</v>
      </c>
      <c r="O122" s="147">
        <f t="shared" si="27"/>
        <v>0</v>
      </c>
      <c r="P122" s="147">
        <f t="shared" si="28"/>
        <v>0</v>
      </c>
      <c r="Q122" s="147">
        <f t="shared" si="29"/>
        <v>0</v>
      </c>
      <c r="R122" s="147">
        <f t="shared" si="30"/>
        <v>0</v>
      </c>
      <c r="S122" s="147">
        <f t="shared" si="31"/>
        <v>0</v>
      </c>
      <c r="T122" s="147">
        <f t="shared" si="32"/>
        <v>0</v>
      </c>
      <c r="U122" s="147">
        <f t="shared" si="33"/>
        <v>1</v>
      </c>
      <c r="V122" s="147">
        <f t="shared" si="34"/>
        <v>0</v>
      </c>
      <c r="W122" s="129">
        <v>0</v>
      </c>
      <c r="X122" s="144" t="str">
        <f t="shared" si="35"/>
        <v>WEEKDAY</v>
      </c>
      <c r="Y122" s="148">
        <v>6.45</v>
      </c>
      <c r="Z122" s="144" t="s">
        <v>45</v>
      </c>
      <c r="AA122" s="149">
        <v>1271</v>
      </c>
      <c r="AB122" s="149">
        <v>246.31573199999997</v>
      </c>
      <c r="AC122" s="149">
        <v>197.05426356589146</v>
      </c>
      <c r="AD122" s="156">
        <v>38.188485581395341</v>
      </c>
      <c r="AE122" s="149" t="str">
        <f>IFERROR(_xlfn.XLOOKUP(DATA_MASTER[[#This Row],[DATE]],RODEO[DATE],RODEO[ARTIST]),"")</f>
        <v/>
      </c>
      <c r="AF122" s="172">
        <f>IF(DATA_MASTER[[#This Row],[RODEO_ARTIST]]="",0,1)</f>
        <v>0</v>
      </c>
      <c r="AG122" t="str">
        <f>IFERROR(RIGHT(_xlfn.XLOOKUP(DATA_MASTER[[#This Row],[DATE]],ASTROS[DATE],ASTROS[OPPONENT]),LEN(_xlfn.XLOOKUP(DATA_MASTER[[#This Row],[DATE]],ASTROS[DATE],ASTROS[OPPONENT]))-3),"NO GAME")</f>
        <v>NO GAME</v>
      </c>
      <c r="AH122">
        <f>IF(DATA_MASTER[[#This Row],[ASTROS_GAME]]="NO GAME",0,1)</f>
        <v>0</v>
      </c>
      <c r="AI122">
        <f>_xlfn.XLOOKUP(DATA_MASTER[[#This Row],[DATE]],WEATHER[DATE],WEATHER[tempmax])</f>
        <v>77.099999999999994</v>
      </c>
      <c r="AJ122">
        <f>_xlfn.XLOOKUP(DATA_MASTER[[#This Row],[DATE]],WEATHER[DATE],WEATHER[precip])</f>
        <v>5.7000000000000002E-2</v>
      </c>
    </row>
    <row r="123" spans="1:36" x14ac:dyDescent="0.35">
      <c r="A123" s="155">
        <v>45251</v>
      </c>
      <c r="B123" s="144" t="s">
        <v>42</v>
      </c>
      <c r="C123" s="144" t="s">
        <v>52</v>
      </c>
      <c r="D123" s="144" t="s">
        <v>58</v>
      </c>
      <c r="E123" s="145">
        <f t="shared" si="36"/>
        <v>0</v>
      </c>
      <c r="F123" s="146">
        <f t="shared" si="19"/>
        <v>0</v>
      </c>
      <c r="G123" s="146">
        <f t="shared" si="20"/>
        <v>0</v>
      </c>
      <c r="H123" s="146">
        <f t="shared" si="21"/>
        <v>0</v>
      </c>
      <c r="I123" s="146">
        <f t="shared" si="22"/>
        <v>0</v>
      </c>
      <c r="J123" s="146">
        <f t="shared" si="23"/>
        <v>0</v>
      </c>
      <c r="K123" s="146">
        <f t="shared" si="24"/>
        <v>0</v>
      </c>
      <c r="L123" s="147">
        <f t="shared" si="37"/>
        <v>0</v>
      </c>
      <c r="M123" s="147">
        <f t="shared" si="25"/>
        <v>0</v>
      </c>
      <c r="N123" s="147">
        <f t="shared" si="26"/>
        <v>0</v>
      </c>
      <c r="O123" s="147">
        <f t="shared" si="27"/>
        <v>0</v>
      </c>
      <c r="P123" s="147">
        <f t="shared" si="28"/>
        <v>0</v>
      </c>
      <c r="Q123" s="147">
        <f t="shared" si="29"/>
        <v>0</v>
      </c>
      <c r="R123" s="147">
        <f t="shared" si="30"/>
        <v>0</v>
      </c>
      <c r="S123" s="147">
        <f t="shared" si="31"/>
        <v>0</v>
      </c>
      <c r="T123" s="147">
        <f t="shared" si="32"/>
        <v>0</v>
      </c>
      <c r="U123" s="147">
        <f t="shared" si="33"/>
        <v>1</v>
      </c>
      <c r="V123" s="147">
        <f t="shared" si="34"/>
        <v>0</v>
      </c>
      <c r="W123" s="129">
        <v>0</v>
      </c>
      <c r="X123" s="144" t="str">
        <f t="shared" si="35"/>
        <v>WEEKDAY</v>
      </c>
      <c r="Y123" s="148">
        <v>3.25</v>
      </c>
      <c r="Z123" s="144" t="s">
        <v>55</v>
      </c>
      <c r="AA123" s="149">
        <v>410</v>
      </c>
      <c r="AB123" s="149">
        <v>69.237492000000003</v>
      </c>
      <c r="AC123" s="149">
        <v>126.15384615384616</v>
      </c>
      <c r="AD123" s="156">
        <v>21.303843692307694</v>
      </c>
      <c r="AE123" s="149" t="str">
        <f>IFERROR(_xlfn.XLOOKUP(DATA_MASTER[[#This Row],[DATE]],RODEO[DATE],RODEO[ARTIST]),"")</f>
        <v/>
      </c>
      <c r="AF123" s="172">
        <f>IF(DATA_MASTER[[#This Row],[RODEO_ARTIST]]="",0,1)</f>
        <v>0</v>
      </c>
      <c r="AG123" t="str">
        <f>IFERROR(RIGHT(_xlfn.XLOOKUP(DATA_MASTER[[#This Row],[DATE]],ASTROS[DATE],ASTROS[OPPONENT]),LEN(_xlfn.XLOOKUP(DATA_MASTER[[#This Row],[DATE]],ASTROS[DATE],ASTROS[OPPONENT]))-3),"NO GAME")</f>
        <v>NO GAME</v>
      </c>
      <c r="AH123">
        <f>IF(DATA_MASTER[[#This Row],[ASTROS_GAME]]="NO GAME",0,1)</f>
        <v>0</v>
      </c>
      <c r="AI123">
        <f>_xlfn.XLOOKUP(DATA_MASTER[[#This Row],[DATE]],WEATHER[DATE],WEATHER[tempmax])</f>
        <v>64.400000000000006</v>
      </c>
      <c r="AJ123">
        <f>_xlfn.XLOOKUP(DATA_MASTER[[#This Row],[DATE]],WEATHER[DATE],WEATHER[precip])</f>
        <v>0</v>
      </c>
    </row>
    <row r="124" spans="1:36" x14ac:dyDescent="0.35">
      <c r="A124" s="155">
        <v>45251</v>
      </c>
      <c r="B124" s="144" t="s">
        <v>46</v>
      </c>
      <c r="C124" s="144" t="s">
        <v>52</v>
      </c>
      <c r="D124" s="144" t="s">
        <v>58</v>
      </c>
      <c r="E124" s="145">
        <f t="shared" si="36"/>
        <v>1</v>
      </c>
      <c r="F124" s="146">
        <f t="shared" si="19"/>
        <v>0</v>
      </c>
      <c r="G124" s="146">
        <f t="shared" si="20"/>
        <v>0</v>
      </c>
      <c r="H124" s="146">
        <f t="shared" si="21"/>
        <v>0</v>
      </c>
      <c r="I124" s="146">
        <f t="shared" si="22"/>
        <v>0</v>
      </c>
      <c r="J124" s="146">
        <f t="shared" si="23"/>
        <v>0</v>
      </c>
      <c r="K124" s="146">
        <f t="shared" si="24"/>
        <v>0</v>
      </c>
      <c r="L124" s="147">
        <f t="shared" si="37"/>
        <v>0</v>
      </c>
      <c r="M124" s="147">
        <f t="shared" si="25"/>
        <v>0</v>
      </c>
      <c r="N124" s="147">
        <f t="shared" si="26"/>
        <v>0</v>
      </c>
      <c r="O124" s="147">
        <f t="shared" si="27"/>
        <v>0</v>
      </c>
      <c r="P124" s="147">
        <f t="shared" si="28"/>
        <v>0</v>
      </c>
      <c r="Q124" s="147">
        <f t="shared" si="29"/>
        <v>0</v>
      </c>
      <c r="R124" s="147">
        <f t="shared" si="30"/>
        <v>0</v>
      </c>
      <c r="S124" s="147">
        <f t="shared" si="31"/>
        <v>0</v>
      </c>
      <c r="T124" s="147">
        <f t="shared" si="32"/>
        <v>0</v>
      </c>
      <c r="U124" s="147">
        <f t="shared" si="33"/>
        <v>1</v>
      </c>
      <c r="V124" s="147">
        <f t="shared" si="34"/>
        <v>0</v>
      </c>
      <c r="W124" s="129">
        <v>0</v>
      </c>
      <c r="X124" s="144" t="str">
        <f t="shared" si="35"/>
        <v>WEEKDAY</v>
      </c>
      <c r="Y124" s="148">
        <v>4.75</v>
      </c>
      <c r="Z124" s="144" t="s">
        <v>55</v>
      </c>
      <c r="AA124" s="149">
        <v>1448</v>
      </c>
      <c r="AB124" s="149">
        <v>241.88926000000001</v>
      </c>
      <c r="AC124" s="149">
        <v>304.84210526315792</v>
      </c>
      <c r="AD124" s="156">
        <v>50.924054736842109</v>
      </c>
      <c r="AE124" s="149" t="str">
        <f>IFERROR(_xlfn.XLOOKUP(DATA_MASTER[[#This Row],[DATE]],RODEO[DATE],RODEO[ARTIST]),"")</f>
        <v/>
      </c>
      <c r="AF124" s="172">
        <f>IF(DATA_MASTER[[#This Row],[RODEO_ARTIST]]="",0,1)</f>
        <v>0</v>
      </c>
      <c r="AG124" t="str">
        <f>IFERROR(RIGHT(_xlfn.XLOOKUP(DATA_MASTER[[#This Row],[DATE]],ASTROS[DATE],ASTROS[OPPONENT]),LEN(_xlfn.XLOOKUP(DATA_MASTER[[#This Row],[DATE]],ASTROS[DATE],ASTROS[OPPONENT]))-3),"NO GAME")</f>
        <v>NO GAME</v>
      </c>
      <c r="AH124">
        <f>IF(DATA_MASTER[[#This Row],[ASTROS_GAME]]="NO GAME",0,1)</f>
        <v>0</v>
      </c>
      <c r="AI124">
        <f>_xlfn.XLOOKUP(DATA_MASTER[[#This Row],[DATE]],WEATHER[DATE],WEATHER[tempmax])</f>
        <v>64.400000000000006</v>
      </c>
      <c r="AJ124">
        <f>_xlfn.XLOOKUP(DATA_MASTER[[#This Row],[DATE]],WEATHER[DATE],WEATHER[precip])</f>
        <v>0</v>
      </c>
    </row>
    <row r="125" spans="1:36" x14ac:dyDescent="0.35">
      <c r="A125" s="155">
        <v>45252</v>
      </c>
      <c r="B125" s="144" t="s">
        <v>42</v>
      </c>
      <c r="C125" s="144" t="s">
        <v>44</v>
      </c>
      <c r="D125" s="144" t="s">
        <v>58</v>
      </c>
      <c r="E125" s="145">
        <f t="shared" si="36"/>
        <v>0</v>
      </c>
      <c r="F125" s="146">
        <f t="shared" si="19"/>
        <v>0</v>
      </c>
      <c r="G125" s="146">
        <f t="shared" si="20"/>
        <v>0</v>
      </c>
      <c r="H125" s="146">
        <f t="shared" si="21"/>
        <v>1</v>
      </c>
      <c r="I125" s="146">
        <f t="shared" si="22"/>
        <v>0</v>
      </c>
      <c r="J125" s="146">
        <f t="shared" si="23"/>
        <v>0</v>
      </c>
      <c r="K125" s="146">
        <f t="shared" si="24"/>
        <v>0</v>
      </c>
      <c r="L125" s="147">
        <f t="shared" si="37"/>
        <v>0</v>
      </c>
      <c r="M125" s="147">
        <f t="shared" si="25"/>
        <v>0</v>
      </c>
      <c r="N125" s="147">
        <f t="shared" si="26"/>
        <v>0</v>
      </c>
      <c r="O125" s="147">
        <f t="shared" si="27"/>
        <v>0</v>
      </c>
      <c r="P125" s="147">
        <f t="shared" si="28"/>
        <v>0</v>
      </c>
      <c r="Q125" s="147">
        <f t="shared" si="29"/>
        <v>0</v>
      </c>
      <c r="R125" s="147">
        <f t="shared" si="30"/>
        <v>0</v>
      </c>
      <c r="S125" s="147">
        <f t="shared" si="31"/>
        <v>0</v>
      </c>
      <c r="T125" s="147">
        <f t="shared" si="32"/>
        <v>0</v>
      </c>
      <c r="U125" s="147">
        <f t="shared" si="33"/>
        <v>1</v>
      </c>
      <c r="V125" s="147">
        <f t="shared" si="34"/>
        <v>0</v>
      </c>
      <c r="W125" s="129">
        <v>0</v>
      </c>
      <c r="X125" s="144" t="str">
        <f t="shared" si="35"/>
        <v>WEEKDAY</v>
      </c>
      <c r="Y125" s="148">
        <v>4.583333333333333</v>
      </c>
      <c r="Z125" s="144" t="s">
        <v>45</v>
      </c>
      <c r="AA125" s="149">
        <v>306</v>
      </c>
      <c r="AB125" s="149">
        <v>48.530916000000005</v>
      </c>
      <c r="AC125" s="149">
        <v>66.763636363636365</v>
      </c>
      <c r="AD125" s="156">
        <v>10.588563490909092</v>
      </c>
      <c r="AE125" s="149" t="str">
        <f>IFERROR(_xlfn.XLOOKUP(DATA_MASTER[[#This Row],[DATE]],RODEO[DATE],RODEO[ARTIST]),"")</f>
        <v/>
      </c>
      <c r="AF125" s="172">
        <f>IF(DATA_MASTER[[#This Row],[RODEO_ARTIST]]="",0,1)</f>
        <v>0</v>
      </c>
      <c r="AG125" t="str">
        <f>IFERROR(RIGHT(_xlfn.XLOOKUP(DATA_MASTER[[#This Row],[DATE]],ASTROS[DATE],ASTROS[OPPONENT]),LEN(_xlfn.XLOOKUP(DATA_MASTER[[#This Row],[DATE]],ASTROS[DATE],ASTROS[OPPONENT]))-3),"NO GAME")</f>
        <v>NO GAME</v>
      </c>
      <c r="AH125">
        <f>IF(DATA_MASTER[[#This Row],[ASTROS_GAME]]="NO GAME",0,1)</f>
        <v>0</v>
      </c>
      <c r="AI125">
        <f>_xlfn.XLOOKUP(DATA_MASTER[[#This Row],[DATE]],WEATHER[DATE],WEATHER[tempmax])</f>
        <v>55.6</v>
      </c>
      <c r="AJ125">
        <f>_xlfn.XLOOKUP(DATA_MASTER[[#This Row],[DATE]],WEATHER[DATE],WEATHER[precip])</f>
        <v>0</v>
      </c>
    </row>
    <row r="126" spans="1:36" x14ac:dyDescent="0.35">
      <c r="A126" s="155">
        <v>45254</v>
      </c>
      <c r="B126" s="144" t="s">
        <v>46</v>
      </c>
      <c r="C126" s="144" t="s">
        <v>48</v>
      </c>
      <c r="D126" s="144" t="s">
        <v>58</v>
      </c>
      <c r="E126" s="145">
        <f t="shared" si="36"/>
        <v>1</v>
      </c>
      <c r="F126" s="146">
        <f t="shared" si="19"/>
        <v>0</v>
      </c>
      <c r="G126" s="146">
        <f t="shared" si="20"/>
        <v>0</v>
      </c>
      <c r="H126" s="146">
        <f t="shared" si="21"/>
        <v>0</v>
      </c>
      <c r="I126" s="146">
        <f t="shared" si="22"/>
        <v>0</v>
      </c>
      <c r="J126" s="146">
        <f t="shared" si="23"/>
        <v>1</v>
      </c>
      <c r="K126" s="146">
        <f t="shared" si="24"/>
        <v>0</v>
      </c>
      <c r="L126" s="147">
        <f t="shared" si="37"/>
        <v>0</v>
      </c>
      <c r="M126" s="147">
        <f t="shared" si="25"/>
        <v>0</v>
      </c>
      <c r="N126" s="147">
        <f t="shared" si="26"/>
        <v>0</v>
      </c>
      <c r="O126" s="147">
        <f t="shared" si="27"/>
        <v>0</v>
      </c>
      <c r="P126" s="147">
        <f t="shared" si="28"/>
        <v>0</v>
      </c>
      <c r="Q126" s="147">
        <f t="shared" si="29"/>
        <v>0</v>
      </c>
      <c r="R126" s="147">
        <f t="shared" si="30"/>
        <v>0</v>
      </c>
      <c r="S126" s="147">
        <f t="shared" si="31"/>
        <v>0</v>
      </c>
      <c r="T126" s="147">
        <f t="shared" si="32"/>
        <v>0</v>
      </c>
      <c r="U126" s="147">
        <f t="shared" si="33"/>
        <v>1</v>
      </c>
      <c r="V126" s="147">
        <f t="shared" si="34"/>
        <v>0</v>
      </c>
      <c r="W126" s="129">
        <v>1</v>
      </c>
      <c r="X126" s="144" t="str">
        <f t="shared" si="35"/>
        <v>WEEKEND</v>
      </c>
      <c r="Y126" s="148">
        <v>4.3</v>
      </c>
      <c r="Z126" s="144" t="s">
        <v>45</v>
      </c>
      <c r="AA126" s="149">
        <v>835.5</v>
      </c>
      <c r="AB126" s="149">
        <v>124.98876000000001</v>
      </c>
      <c r="AC126" s="149">
        <v>194.30232558139537</v>
      </c>
      <c r="AD126" s="156">
        <v>29.067153488372096</v>
      </c>
      <c r="AE126" s="149" t="str">
        <f>IFERROR(_xlfn.XLOOKUP(DATA_MASTER[[#This Row],[DATE]],RODEO[DATE],RODEO[ARTIST]),"")</f>
        <v/>
      </c>
      <c r="AF126" s="172">
        <f>IF(DATA_MASTER[[#This Row],[RODEO_ARTIST]]="",0,1)</f>
        <v>0</v>
      </c>
      <c r="AG126" t="str">
        <f>IFERROR(RIGHT(_xlfn.XLOOKUP(DATA_MASTER[[#This Row],[DATE]],ASTROS[DATE],ASTROS[OPPONENT]),LEN(_xlfn.XLOOKUP(DATA_MASTER[[#This Row],[DATE]],ASTROS[DATE],ASTROS[OPPONENT]))-3),"NO GAME")</f>
        <v>NO GAME</v>
      </c>
      <c r="AH126">
        <f>IF(DATA_MASTER[[#This Row],[ASTROS_GAME]]="NO GAME",0,1)</f>
        <v>0</v>
      </c>
      <c r="AI126">
        <f>_xlfn.XLOOKUP(DATA_MASTER[[#This Row],[DATE]],WEATHER[DATE],WEATHER[tempmax])</f>
        <v>64.5</v>
      </c>
      <c r="AJ126">
        <f>_xlfn.XLOOKUP(DATA_MASTER[[#This Row],[DATE]],WEATHER[DATE],WEATHER[precip])</f>
        <v>0</v>
      </c>
    </row>
    <row r="127" spans="1:36" x14ac:dyDescent="0.35">
      <c r="A127" s="155">
        <v>45257</v>
      </c>
      <c r="B127" s="144" t="s">
        <v>46</v>
      </c>
      <c r="C127" s="144" t="s">
        <v>51</v>
      </c>
      <c r="D127" s="144" t="s">
        <v>58</v>
      </c>
      <c r="E127" s="145">
        <f t="shared" si="36"/>
        <v>1</v>
      </c>
      <c r="F127" s="146">
        <f t="shared" si="19"/>
        <v>0</v>
      </c>
      <c r="G127" s="146">
        <f t="shared" si="20"/>
        <v>1</v>
      </c>
      <c r="H127" s="146">
        <f t="shared" si="21"/>
        <v>0</v>
      </c>
      <c r="I127" s="146">
        <f t="shared" si="22"/>
        <v>0</v>
      </c>
      <c r="J127" s="146">
        <f t="shared" si="23"/>
        <v>0</v>
      </c>
      <c r="K127" s="146">
        <f t="shared" si="24"/>
        <v>0</v>
      </c>
      <c r="L127" s="147">
        <f t="shared" si="37"/>
        <v>0</v>
      </c>
      <c r="M127" s="147">
        <f t="shared" si="25"/>
        <v>0</v>
      </c>
      <c r="N127" s="147">
        <f t="shared" si="26"/>
        <v>0</v>
      </c>
      <c r="O127" s="147">
        <f t="shared" si="27"/>
        <v>0</v>
      </c>
      <c r="P127" s="147">
        <f t="shared" si="28"/>
        <v>0</v>
      </c>
      <c r="Q127" s="147">
        <f t="shared" si="29"/>
        <v>0</v>
      </c>
      <c r="R127" s="147">
        <f t="shared" si="30"/>
        <v>0</v>
      </c>
      <c r="S127" s="147">
        <f t="shared" si="31"/>
        <v>0</v>
      </c>
      <c r="T127" s="147">
        <f t="shared" si="32"/>
        <v>0</v>
      </c>
      <c r="U127" s="147">
        <f t="shared" si="33"/>
        <v>1</v>
      </c>
      <c r="V127" s="147">
        <f t="shared" si="34"/>
        <v>0</v>
      </c>
      <c r="W127" s="129">
        <v>0</v>
      </c>
      <c r="X127" s="144" t="str">
        <f t="shared" si="35"/>
        <v>WEEKDAY</v>
      </c>
      <c r="Y127" s="148">
        <v>5.2666666666666666</v>
      </c>
      <c r="Z127" s="144" t="s">
        <v>45</v>
      </c>
      <c r="AA127" s="149">
        <v>535</v>
      </c>
      <c r="AB127" s="149">
        <v>92.886856000000009</v>
      </c>
      <c r="AC127" s="149">
        <v>101.58227848101266</v>
      </c>
      <c r="AD127" s="156">
        <v>17.636744810126583</v>
      </c>
      <c r="AE127" s="149" t="str">
        <f>IFERROR(_xlfn.XLOOKUP(DATA_MASTER[[#This Row],[DATE]],RODEO[DATE],RODEO[ARTIST]),"")</f>
        <v/>
      </c>
      <c r="AF127" s="172">
        <f>IF(DATA_MASTER[[#This Row],[RODEO_ARTIST]]="",0,1)</f>
        <v>0</v>
      </c>
      <c r="AG127" t="str">
        <f>IFERROR(RIGHT(_xlfn.XLOOKUP(DATA_MASTER[[#This Row],[DATE]],ASTROS[DATE],ASTROS[OPPONENT]),LEN(_xlfn.XLOOKUP(DATA_MASTER[[#This Row],[DATE]],ASTROS[DATE],ASTROS[OPPONENT]))-3),"NO GAME")</f>
        <v>NO GAME</v>
      </c>
      <c r="AH127">
        <f>IF(DATA_MASTER[[#This Row],[ASTROS_GAME]]="NO GAME",0,1)</f>
        <v>0</v>
      </c>
      <c r="AI127">
        <f>_xlfn.XLOOKUP(DATA_MASTER[[#This Row],[DATE]],WEATHER[DATE],WEATHER[tempmax])</f>
        <v>55.6</v>
      </c>
      <c r="AJ127">
        <f>_xlfn.XLOOKUP(DATA_MASTER[[#This Row],[DATE]],WEATHER[DATE],WEATHER[precip])</f>
        <v>0</v>
      </c>
    </row>
    <row r="128" spans="1:36" x14ac:dyDescent="0.35">
      <c r="A128" s="155">
        <v>45258</v>
      </c>
      <c r="B128" s="144" t="s">
        <v>42</v>
      </c>
      <c r="C128" s="144" t="s">
        <v>52</v>
      </c>
      <c r="D128" s="144" t="s">
        <v>58</v>
      </c>
      <c r="E128" s="145">
        <f t="shared" si="36"/>
        <v>0</v>
      </c>
      <c r="F128" s="146">
        <f t="shared" si="19"/>
        <v>0</v>
      </c>
      <c r="G128" s="146">
        <f t="shared" si="20"/>
        <v>0</v>
      </c>
      <c r="H128" s="146">
        <f t="shared" si="21"/>
        <v>0</v>
      </c>
      <c r="I128" s="146">
        <f t="shared" si="22"/>
        <v>0</v>
      </c>
      <c r="J128" s="146">
        <f t="shared" si="23"/>
        <v>0</v>
      </c>
      <c r="K128" s="146">
        <f t="shared" si="24"/>
        <v>0</v>
      </c>
      <c r="L128" s="147">
        <f t="shared" si="37"/>
        <v>0</v>
      </c>
      <c r="M128" s="147">
        <f t="shared" si="25"/>
        <v>0</v>
      </c>
      <c r="N128" s="147">
        <f t="shared" si="26"/>
        <v>0</v>
      </c>
      <c r="O128" s="147">
        <f t="shared" si="27"/>
        <v>0</v>
      </c>
      <c r="P128" s="147">
        <f t="shared" si="28"/>
        <v>0</v>
      </c>
      <c r="Q128" s="147">
        <f t="shared" si="29"/>
        <v>0</v>
      </c>
      <c r="R128" s="147">
        <f t="shared" si="30"/>
        <v>0</v>
      </c>
      <c r="S128" s="147">
        <f t="shared" si="31"/>
        <v>0</v>
      </c>
      <c r="T128" s="147">
        <f t="shared" si="32"/>
        <v>0</v>
      </c>
      <c r="U128" s="147">
        <f t="shared" si="33"/>
        <v>1</v>
      </c>
      <c r="V128" s="147">
        <f t="shared" si="34"/>
        <v>0</v>
      </c>
      <c r="W128" s="129">
        <v>0</v>
      </c>
      <c r="X128" s="144" t="str">
        <f t="shared" si="35"/>
        <v>WEEKDAY</v>
      </c>
      <c r="Y128" s="148">
        <v>4.5</v>
      </c>
      <c r="Z128" s="144" t="s">
        <v>45</v>
      </c>
      <c r="AA128" s="149">
        <v>509</v>
      </c>
      <c r="AB128" s="149">
        <v>86.225679999999997</v>
      </c>
      <c r="AC128" s="149">
        <v>113.11111111111111</v>
      </c>
      <c r="AD128" s="156">
        <v>19.16126222222222</v>
      </c>
      <c r="AE128" s="149" t="str">
        <f>IFERROR(_xlfn.XLOOKUP(DATA_MASTER[[#This Row],[DATE]],RODEO[DATE],RODEO[ARTIST]),"")</f>
        <v/>
      </c>
      <c r="AF128" s="172">
        <f>IF(DATA_MASTER[[#This Row],[RODEO_ARTIST]]="",0,1)</f>
        <v>0</v>
      </c>
      <c r="AG128" t="str">
        <f>IFERROR(RIGHT(_xlfn.XLOOKUP(DATA_MASTER[[#This Row],[DATE]],ASTROS[DATE],ASTROS[OPPONENT]),LEN(_xlfn.XLOOKUP(DATA_MASTER[[#This Row],[DATE]],ASTROS[DATE],ASTROS[OPPONENT]))-3),"NO GAME")</f>
        <v>NO GAME</v>
      </c>
      <c r="AH128">
        <f>IF(DATA_MASTER[[#This Row],[ASTROS_GAME]]="NO GAME",0,1)</f>
        <v>0</v>
      </c>
      <c r="AI128">
        <f>_xlfn.XLOOKUP(DATA_MASTER[[#This Row],[DATE]],WEATHER[DATE],WEATHER[tempmax])</f>
        <v>60.8</v>
      </c>
      <c r="AJ128">
        <f>_xlfn.XLOOKUP(DATA_MASTER[[#This Row],[DATE]],WEATHER[DATE],WEATHER[precip])</f>
        <v>0</v>
      </c>
    </row>
    <row r="129" spans="1:36" x14ac:dyDescent="0.35">
      <c r="A129" s="155">
        <v>45260</v>
      </c>
      <c r="B129" s="144" t="s">
        <v>46</v>
      </c>
      <c r="C129" s="144" t="s">
        <v>47</v>
      </c>
      <c r="D129" s="144" t="s">
        <v>58</v>
      </c>
      <c r="E129" s="145">
        <f t="shared" si="36"/>
        <v>1</v>
      </c>
      <c r="F129" s="146">
        <f t="shared" si="19"/>
        <v>0</v>
      </c>
      <c r="G129" s="146">
        <f t="shared" si="20"/>
        <v>0</v>
      </c>
      <c r="H129" s="146">
        <f t="shared" si="21"/>
        <v>0</v>
      </c>
      <c r="I129" s="146">
        <f t="shared" si="22"/>
        <v>1</v>
      </c>
      <c r="J129" s="146">
        <f t="shared" si="23"/>
        <v>0</v>
      </c>
      <c r="K129" s="146">
        <f t="shared" si="24"/>
        <v>0</v>
      </c>
      <c r="L129" s="147">
        <f t="shared" si="37"/>
        <v>0</v>
      </c>
      <c r="M129" s="147">
        <f t="shared" si="25"/>
        <v>0</v>
      </c>
      <c r="N129" s="147">
        <f t="shared" si="26"/>
        <v>0</v>
      </c>
      <c r="O129" s="147">
        <f t="shared" si="27"/>
        <v>0</v>
      </c>
      <c r="P129" s="147">
        <f t="shared" si="28"/>
        <v>0</v>
      </c>
      <c r="Q129" s="147">
        <f t="shared" si="29"/>
        <v>0</v>
      </c>
      <c r="R129" s="147">
        <f t="shared" si="30"/>
        <v>0</v>
      </c>
      <c r="S129" s="147">
        <f t="shared" si="31"/>
        <v>0</v>
      </c>
      <c r="T129" s="147">
        <f t="shared" si="32"/>
        <v>0</v>
      </c>
      <c r="U129" s="147">
        <f t="shared" si="33"/>
        <v>1</v>
      </c>
      <c r="V129" s="147">
        <f t="shared" si="34"/>
        <v>0</v>
      </c>
      <c r="W129" s="129">
        <v>0</v>
      </c>
      <c r="X129" s="144" t="str">
        <f t="shared" si="35"/>
        <v>WEEKDAY</v>
      </c>
      <c r="Y129" s="148">
        <v>3.8833333333333333</v>
      </c>
      <c r="Z129" s="144" t="s">
        <v>45</v>
      </c>
      <c r="AA129" s="149">
        <v>438.5</v>
      </c>
      <c r="AB129" s="149">
        <v>83.191628000000009</v>
      </c>
      <c r="AC129" s="149">
        <v>112.91845493562232</v>
      </c>
      <c r="AD129" s="156">
        <v>21.422736824034338</v>
      </c>
      <c r="AE129" s="149" t="str">
        <f>IFERROR(_xlfn.XLOOKUP(DATA_MASTER[[#This Row],[DATE]],RODEO[DATE],RODEO[ARTIST]),"")</f>
        <v/>
      </c>
      <c r="AF129" s="172">
        <f>IF(DATA_MASTER[[#This Row],[RODEO_ARTIST]]="",0,1)</f>
        <v>0</v>
      </c>
      <c r="AG129" t="str">
        <f>IFERROR(RIGHT(_xlfn.XLOOKUP(DATA_MASTER[[#This Row],[DATE]],ASTROS[DATE],ASTROS[OPPONENT]),LEN(_xlfn.XLOOKUP(DATA_MASTER[[#This Row],[DATE]],ASTROS[DATE],ASTROS[OPPONENT]))-3),"NO GAME")</f>
        <v>NO GAME</v>
      </c>
      <c r="AH129">
        <f>IF(DATA_MASTER[[#This Row],[ASTROS_GAME]]="NO GAME",0,1)</f>
        <v>0</v>
      </c>
      <c r="AI129">
        <f>_xlfn.XLOOKUP(DATA_MASTER[[#This Row],[DATE]],WEATHER[DATE],WEATHER[tempmax])</f>
        <v>71.599999999999994</v>
      </c>
      <c r="AJ129">
        <f>_xlfn.XLOOKUP(DATA_MASTER[[#This Row],[DATE]],WEATHER[DATE],WEATHER[precip])</f>
        <v>0.70099999999999996</v>
      </c>
    </row>
    <row r="130" spans="1:36" x14ac:dyDescent="0.35">
      <c r="A130" s="155">
        <v>45261</v>
      </c>
      <c r="B130" s="144" t="s">
        <v>46</v>
      </c>
      <c r="C130" s="144" t="s">
        <v>48</v>
      </c>
      <c r="D130" s="144" t="s">
        <v>59</v>
      </c>
      <c r="E130" s="145">
        <f t="shared" si="36"/>
        <v>1</v>
      </c>
      <c r="F130" s="146">
        <f t="shared" ref="F130:F193" si="38">IF(C130="SUN",1,0)</f>
        <v>0</v>
      </c>
      <c r="G130" s="146">
        <f t="shared" ref="G130:G193" si="39">IF($C130="MON",1,0)</f>
        <v>0</v>
      </c>
      <c r="H130" s="146">
        <f t="shared" ref="H130:H193" si="40">IF($C130="WED",1,0)</f>
        <v>0</v>
      </c>
      <c r="I130" s="146">
        <f t="shared" ref="I130:I193" si="41">IF($C130="THU",1,0)</f>
        <v>0</v>
      </c>
      <c r="J130" s="146">
        <f t="shared" ref="J130:J193" si="42">IF($C130="FRI",1,0)</f>
        <v>1</v>
      </c>
      <c r="K130" s="146">
        <f t="shared" ref="K130:K193" si="43">IF($C130="SAT",1,0)</f>
        <v>0</v>
      </c>
      <c r="L130" s="147">
        <f t="shared" si="37"/>
        <v>0</v>
      </c>
      <c r="M130" s="147">
        <f t="shared" ref="M130:M193" si="44">IF($D130="February",1,0)</f>
        <v>0</v>
      </c>
      <c r="N130" s="147">
        <f t="shared" ref="N130:N193" si="45">IF($D130="March",1,0)</f>
        <v>0</v>
      </c>
      <c r="O130" s="147">
        <f t="shared" ref="O130:O193" si="46">IF($D130="April",1,0)</f>
        <v>0</v>
      </c>
      <c r="P130" s="147">
        <f t="shared" ref="P130:P193" si="47">IF($D130="May",1,0)</f>
        <v>0</v>
      </c>
      <c r="Q130" s="147">
        <f t="shared" ref="Q130:Q193" si="48">IF($D130="June",1,0)</f>
        <v>0</v>
      </c>
      <c r="R130" s="147">
        <f t="shared" ref="R130:R193" si="49">IF($D130="August",1,0)</f>
        <v>0</v>
      </c>
      <c r="S130" s="147">
        <f t="shared" ref="S130:S193" si="50">IF($D130="September",1,0)</f>
        <v>0</v>
      </c>
      <c r="T130" s="147">
        <f t="shared" ref="T130:T193" si="51">IF($D130="October",1,0)</f>
        <v>0</v>
      </c>
      <c r="U130" s="147">
        <f t="shared" ref="U130:U193" si="52">IF($D130="November",1,0)</f>
        <v>0</v>
      </c>
      <c r="V130" s="147">
        <f t="shared" ref="V130:V193" si="53">IF($D130="December",1,0)</f>
        <v>1</v>
      </c>
      <c r="W130" s="129">
        <v>1</v>
      </c>
      <c r="X130" s="144" t="str">
        <f t="shared" ref="X130:X193" si="54">IF(W130=0,"WEEKDAY","WEEKEND")</f>
        <v>WEEKEND</v>
      </c>
      <c r="Y130" s="148">
        <v>5.55</v>
      </c>
      <c r="Z130" s="144" t="s">
        <v>45</v>
      </c>
      <c r="AA130" s="149">
        <v>1084.5</v>
      </c>
      <c r="AB130" s="149">
        <v>178.117964</v>
      </c>
      <c r="AC130" s="149">
        <v>195.40540540540542</v>
      </c>
      <c r="AD130" s="156">
        <v>32.09332684684685</v>
      </c>
      <c r="AE130" s="149" t="str">
        <f>IFERROR(_xlfn.XLOOKUP(DATA_MASTER[[#This Row],[DATE]],RODEO[DATE],RODEO[ARTIST]),"")</f>
        <v/>
      </c>
      <c r="AF130" s="172">
        <f>IF(DATA_MASTER[[#This Row],[RODEO_ARTIST]]="",0,1)</f>
        <v>0</v>
      </c>
      <c r="AG130" t="str">
        <f>IFERROR(RIGHT(_xlfn.XLOOKUP(DATA_MASTER[[#This Row],[DATE]],ASTROS[DATE],ASTROS[OPPONENT]),LEN(_xlfn.XLOOKUP(DATA_MASTER[[#This Row],[DATE]],ASTROS[DATE],ASTROS[OPPONENT]))-3),"NO GAME")</f>
        <v>NO GAME</v>
      </c>
      <c r="AH130">
        <f>IF(DATA_MASTER[[#This Row],[ASTROS_GAME]]="NO GAME",0,1)</f>
        <v>0</v>
      </c>
      <c r="AI130">
        <f>_xlfn.XLOOKUP(DATA_MASTER[[#This Row],[DATE]],WEATHER[DATE],WEATHER[tempmax])</f>
        <v>71.7</v>
      </c>
      <c r="AJ130">
        <f>_xlfn.XLOOKUP(DATA_MASTER[[#This Row],[DATE]],WEATHER[DATE],WEATHER[precip])</f>
        <v>0.01</v>
      </c>
    </row>
    <row r="131" spans="1:36" x14ac:dyDescent="0.35">
      <c r="A131" s="155">
        <v>45263</v>
      </c>
      <c r="B131" s="144" t="s">
        <v>46</v>
      </c>
      <c r="C131" s="144" t="s">
        <v>50</v>
      </c>
      <c r="D131" s="144" t="s">
        <v>59</v>
      </c>
      <c r="E131" s="145">
        <f t="shared" ref="E131:E194" si="55">IF($B131="PM",1,0)</f>
        <v>1</v>
      </c>
      <c r="F131" s="146">
        <f t="shared" si="38"/>
        <v>1</v>
      </c>
      <c r="G131" s="146">
        <f t="shared" si="39"/>
        <v>0</v>
      </c>
      <c r="H131" s="146">
        <f t="shared" si="40"/>
        <v>0</v>
      </c>
      <c r="I131" s="146">
        <f t="shared" si="41"/>
        <v>0</v>
      </c>
      <c r="J131" s="146">
        <f t="shared" si="42"/>
        <v>0</v>
      </c>
      <c r="K131" s="146">
        <f t="shared" si="43"/>
        <v>0</v>
      </c>
      <c r="L131" s="147">
        <f t="shared" ref="L131:L194" si="56">IF(D131="January",1,0)</f>
        <v>0</v>
      </c>
      <c r="M131" s="147">
        <f t="shared" si="44"/>
        <v>0</v>
      </c>
      <c r="N131" s="147">
        <f t="shared" si="45"/>
        <v>0</v>
      </c>
      <c r="O131" s="147">
        <f t="shared" si="46"/>
        <v>0</v>
      </c>
      <c r="P131" s="147">
        <f t="shared" si="47"/>
        <v>0</v>
      </c>
      <c r="Q131" s="147">
        <f t="shared" si="48"/>
        <v>0</v>
      </c>
      <c r="R131" s="147">
        <f t="shared" si="49"/>
        <v>0</v>
      </c>
      <c r="S131" s="147">
        <f t="shared" si="50"/>
        <v>0</v>
      </c>
      <c r="T131" s="147">
        <f t="shared" si="51"/>
        <v>0</v>
      </c>
      <c r="U131" s="147">
        <f t="shared" si="52"/>
        <v>0</v>
      </c>
      <c r="V131" s="147">
        <f t="shared" si="53"/>
        <v>1</v>
      </c>
      <c r="W131" s="129">
        <v>1</v>
      </c>
      <c r="X131" s="144" t="str">
        <f t="shared" si="54"/>
        <v>WEEKEND</v>
      </c>
      <c r="Y131" s="148">
        <v>4.4833333333333334</v>
      </c>
      <c r="Z131" s="144" t="s">
        <v>45</v>
      </c>
      <c r="AA131" s="149">
        <v>1199</v>
      </c>
      <c r="AB131" s="149">
        <v>201.53945999999999</v>
      </c>
      <c r="AC131" s="149">
        <v>267.43494423791822</v>
      </c>
      <c r="AD131" s="156">
        <v>44.953039405204457</v>
      </c>
      <c r="AE131" s="149" t="str">
        <f>IFERROR(_xlfn.XLOOKUP(DATA_MASTER[[#This Row],[DATE]],RODEO[DATE],RODEO[ARTIST]),"")</f>
        <v/>
      </c>
      <c r="AF131" s="172">
        <f>IF(DATA_MASTER[[#This Row],[RODEO_ARTIST]]="",0,1)</f>
        <v>0</v>
      </c>
      <c r="AG131" t="str">
        <f>IFERROR(RIGHT(_xlfn.XLOOKUP(DATA_MASTER[[#This Row],[DATE]],ASTROS[DATE],ASTROS[OPPONENT]),LEN(_xlfn.XLOOKUP(DATA_MASTER[[#This Row],[DATE]],ASTROS[DATE],ASTROS[OPPONENT]))-3),"NO GAME")</f>
        <v>NO GAME</v>
      </c>
      <c r="AH131">
        <f>IF(DATA_MASTER[[#This Row],[ASTROS_GAME]]="NO GAME",0,1)</f>
        <v>0</v>
      </c>
      <c r="AI131">
        <f>_xlfn.XLOOKUP(DATA_MASTER[[#This Row],[DATE]],WEATHER[DATE],WEATHER[tempmax])</f>
        <v>69.900000000000006</v>
      </c>
      <c r="AJ131">
        <f>_xlfn.XLOOKUP(DATA_MASTER[[#This Row],[DATE]],WEATHER[DATE],WEATHER[precip])</f>
        <v>0</v>
      </c>
    </row>
    <row r="132" spans="1:36" x14ac:dyDescent="0.35">
      <c r="A132" s="155">
        <v>45264</v>
      </c>
      <c r="B132" s="144" t="s">
        <v>46</v>
      </c>
      <c r="C132" s="144" t="s">
        <v>51</v>
      </c>
      <c r="D132" s="144" t="s">
        <v>59</v>
      </c>
      <c r="E132" s="145">
        <f t="shared" si="55"/>
        <v>1</v>
      </c>
      <c r="F132" s="146">
        <f t="shared" si="38"/>
        <v>0</v>
      </c>
      <c r="G132" s="146">
        <f t="shared" si="39"/>
        <v>1</v>
      </c>
      <c r="H132" s="146">
        <f t="shared" si="40"/>
        <v>0</v>
      </c>
      <c r="I132" s="146">
        <f t="shared" si="41"/>
        <v>0</v>
      </c>
      <c r="J132" s="146">
        <f t="shared" si="42"/>
        <v>0</v>
      </c>
      <c r="K132" s="146">
        <f t="shared" si="43"/>
        <v>0</v>
      </c>
      <c r="L132" s="147">
        <f t="shared" si="56"/>
        <v>0</v>
      </c>
      <c r="M132" s="147">
        <f t="shared" si="44"/>
        <v>0</v>
      </c>
      <c r="N132" s="147">
        <f t="shared" si="45"/>
        <v>0</v>
      </c>
      <c r="O132" s="147">
        <f t="shared" si="46"/>
        <v>0</v>
      </c>
      <c r="P132" s="147">
        <f t="shared" si="47"/>
        <v>0</v>
      </c>
      <c r="Q132" s="147">
        <f t="shared" si="48"/>
        <v>0</v>
      </c>
      <c r="R132" s="147">
        <f t="shared" si="49"/>
        <v>0</v>
      </c>
      <c r="S132" s="147">
        <f t="shared" si="50"/>
        <v>0</v>
      </c>
      <c r="T132" s="147">
        <f t="shared" si="51"/>
        <v>0</v>
      </c>
      <c r="U132" s="147">
        <f t="shared" si="52"/>
        <v>0</v>
      </c>
      <c r="V132" s="147">
        <f t="shared" si="53"/>
        <v>1</v>
      </c>
      <c r="W132" s="129">
        <v>0</v>
      </c>
      <c r="X132" s="144" t="str">
        <f t="shared" si="54"/>
        <v>WEEKDAY</v>
      </c>
      <c r="Y132" s="148">
        <v>5.2</v>
      </c>
      <c r="Z132" s="144" t="s">
        <v>45</v>
      </c>
      <c r="AA132" s="149">
        <v>465</v>
      </c>
      <c r="AB132" s="149">
        <v>85.968488000000008</v>
      </c>
      <c r="AC132" s="149">
        <v>89.42307692307692</v>
      </c>
      <c r="AD132" s="156">
        <v>16.532401538461539</v>
      </c>
      <c r="AE132" s="149" t="str">
        <f>IFERROR(_xlfn.XLOOKUP(DATA_MASTER[[#This Row],[DATE]],RODEO[DATE],RODEO[ARTIST]),"")</f>
        <v/>
      </c>
      <c r="AF132" s="172">
        <f>IF(DATA_MASTER[[#This Row],[RODEO_ARTIST]]="",0,1)</f>
        <v>0</v>
      </c>
      <c r="AG132" t="str">
        <f>IFERROR(RIGHT(_xlfn.XLOOKUP(DATA_MASTER[[#This Row],[DATE]],ASTROS[DATE],ASTROS[OPPONENT]),LEN(_xlfn.XLOOKUP(DATA_MASTER[[#This Row],[DATE]],ASTROS[DATE],ASTROS[OPPONENT]))-3),"NO GAME")</f>
        <v>NO GAME</v>
      </c>
      <c r="AH132">
        <f>IF(DATA_MASTER[[#This Row],[ASTROS_GAME]]="NO GAME",0,1)</f>
        <v>0</v>
      </c>
      <c r="AI132">
        <f>_xlfn.XLOOKUP(DATA_MASTER[[#This Row],[DATE]],WEATHER[DATE],WEATHER[tempmax])</f>
        <v>68.2</v>
      </c>
      <c r="AJ132">
        <f>_xlfn.XLOOKUP(DATA_MASTER[[#This Row],[DATE]],WEATHER[DATE],WEATHER[precip])</f>
        <v>0</v>
      </c>
    </row>
    <row r="133" spans="1:36" x14ac:dyDescent="0.35">
      <c r="A133" s="155">
        <v>45266</v>
      </c>
      <c r="B133" s="144" t="s">
        <v>42</v>
      </c>
      <c r="C133" s="144" t="s">
        <v>44</v>
      </c>
      <c r="D133" s="144" t="s">
        <v>59</v>
      </c>
      <c r="E133" s="145">
        <f t="shared" si="55"/>
        <v>0</v>
      </c>
      <c r="F133" s="146">
        <f t="shared" si="38"/>
        <v>0</v>
      </c>
      <c r="G133" s="146">
        <f t="shared" si="39"/>
        <v>0</v>
      </c>
      <c r="H133" s="146">
        <f t="shared" si="40"/>
        <v>1</v>
      </c>
      <c r="I133" s="146">
        <f t="shared" si="41"/>
        <v>0</v>
      </c>
      <c r="J133" s="146">
        <f t="shared" si="42"/>
        <v>0</v>
      </c>
      <c r="K133" s="146">
        <f t="shared" si="43"/>
        <v>0</v>
      </c>
      <c r="L133" s="147">
        <f t="shared" si="56"/>
        <v>0</v>
      </c>
      <c r="M133" s="147">
        <f t="shared" si="44"/>
        <v>0</v>
      </c>
      <c r="N133" s="147">
        <f t="shared" si="45"/>
        <v>0</v>
      </c>
      <c r="O133" s="147">
        <f t="shared" si="46"/>
        <v>0</v>
      </c>
      <c r="P133" s="147">
        <f t="shared" si="47"/>
        <v>0</v>
      </c>
      <c r="Q133" s="147">
        <f t="shared" si="48"/>
        <v>0</v>
      </c>
      <c r="R133" s="147">
        <f t="shared" si="49"/>
        <v>0</v>
      </c>
      <c r="S133" s="147">
        <f t="shared" si="50"/>
        <v>0</v>
      </c>
      <c r="T133" s="147">
        <f t="shared" si="51"/>
        <v>0</v>
      </c>
      <c r="U133" s="147">
        <f t="shared" si="52"/>
        <v>0</v>
      </c>
      <c r="V133" s="147">
        <f t="shared" si="53"/>
        <v>1</v>
      </c>
      <c r="W133" s="129">
        <v>0</v>
      </c>
      <c r="X133" s="144" t="str">
        <f t="shared" si="54"/>
        <v>WEEKDAY</v>
      </c>
      <c r="Y133" s="148">
        <v>4.5166666666666666</v>
      </c>
      <c r="Z133" s="144" t="s">
        <v>45</v>
      </c>
      <c r="AA133" s="149">
        <v>698.5</v>
      </c>
      <c r="AB133" s="149">
        <v>107.33346</v>
      </c>
      <c r="AC133" s="149">
        <v>154.64944649446494</v>
      </c>
      <c r="AD133" s="156">
        <v>23.763865682656828</v>
      </c>
      <c r="AE133" s="149" t="str">
        <f>IFERROR(_xlfn.XLOOKUP(DATA_MASTER[[#This Row],[DATE]],RODEO[DATE],RODEO[ARTIST]),"")</f>
        <v/>
      </c>
      <c r="AF133" s="172">
        <f>IF(DATA_MASTER[[#This Row],[RODEO_ARTIST]]="",0,1)</f>
        <v>0</v>
      </c>
      <c r="AG133" t="str">
        <f>IFERROR(RIGHT(_xlfn.XLOOKUP(DATA_MASTER[[#This Row],[DATE]],ASTROS[DATE],ASTROS[OPPONENT]),LEN(_xlfn.XLOOKUP(DATA_MASTER[[#This Row],[DATE]],ASTROS[DATE],ASTROS[OPPONENT]))-3),"NO GAME")</f>
        <v>NO GAME</v>
      </c>
      <c r="AH133">
        <f>IF(DATA_MASTER[[#This Row],[ASTROS_GAME]]="NO GAME",0,1)</f>
        <v>0</v>
      </c>
      <c r="AI133">
        <f>_xlfn.XLOOKUP(DATA_MASTER[[#This Row],[DATE]],WEATHER[DATE],WEATHER[tempmax])</f>
        <v>65.400000000000006</v>
      </c>
      <c r="AJ133">
        <f>_xlfn.XLOOKUP(DATA_MASTER[[#This Row],[DATE]],WEATHER[DATE],WEATHER[precip])</f>
        <v>0</v>
      </c>
    </row>
    <row r="134" spans="1:36" x14ac:dyDescent="0.35">
      <c r="A134" s="155">
        <v>45268</v>
      </c>
      <c r="B134" s="144" t="s">
        <v>46</v>
      </c>
      <c r="C134" s="144" t="s">
        <v>48</v>
      </c>
      <c r="D134" s="144" t="s">
        <v>59</v>
      </c>
      <c r="E134" s="145">
        <f t="shared" si="55"/>
        <v>1</v>
      </c>
      <c r="F134" s="146">
        <f t="shared" si="38"/>
        <v>0</v>
      </c>
      <c r="G134" s="146">
        <f t="shared" si="39"/>
        <v>0</v>
      </c>
      <c r="H134" s="146">
        <f t="shared" si="40"/>
        <v>0</v>
      </c>
      <c r="I134" s="146">
        <f t="shared" si="41"/>
        <v>0</v>
      </c>
      <c r="J134" s="146">
        <f t="shared" si="42"/>
        <v>1</v>
      </c>
      <c r="K134" s="146">
        <f t="shared" si="43"/>
        <v>0</v>
      </c>
      <c r="L134" s="147">
        <f t="shared" si="56"/>
        <v>0</v>
      </c>
      <c r="M134" s="147">
        <f t="shared" si="44"/>
        <v>0</v>
      </c>
      <c r="N134" s="147">
        <f t="shared" si="45"/>
        <v>0</v>
      </c>
      <c r="O134" s="147">
        <f t="shared" si="46"/>
        <v>0</v>
      </c>
      <c r="P134" s="147">
        <f t="shared" si="47"/>
        <v>0</v>
      </c>
      <c r="Q134" s="147">
        <f t="shared" si="48"/>
        <v>0</v>
      </c>
      <c r="R134" s="147">
        <f t="shared" si="49"/>
        <v>0</v>
      </c>
      <c r="S134" s="147">
        <f t="shared" si="50"/>
        <v>0</v>
      </c>
      <c r="T134" s="147">
        <f t="shared" si="51"/>
        <v>0</v>
      </c>
      <c r="U134" s="147">
        <f t="shared" si="52"/>
        <v>0</v>
      </c>
      <c r="V134" s="147">
        <f t="shared" si="53"/>
        <v>1</v>
      </c>
      <c r="W134" s="129">
        <v>1</v>
      </c>
      <c r="X134" s="144" t="str">
        <f t="shared" si="54"/>
        <v>WEEKEND</v>
      </c>
      <c r="Y134" s="148">
        <v>5.3</v>
      </c>
      <c r="Z134" s="144" t="s">
        <v>45</v>
      </c>
      <c r="AA134" s="149">
        <v>1617</v>
      </c>
      <c r="AB134" s="149">
        <v>260.403952</v>
      </c>
      <c r="AC134" s="149">
        <v>305.09433962264154</v>
      </c>
      <c r="AD134" s="156">
        <v>49.132821132075478</v>
      </c>
      <c r="AE134" s="149" t="str">
        <f>IFERROR(_xlfn.XLOOKUP(DATA_MASTER[[#This Row],[DATE]],RODEO[DATE],RODEO[ARTIST]),"")</f>
        <v/>
      </c>
      <c r="AF134" s="172">
        <f>IF(DATA_MASTER[[#This Row],[RODEO_ARTIST]]="",0,1)</f>
        <v>0</v>
      </c>
      <c r="AG134" t="str">
        <f>IFERROR(RIGHT(_xlfn.XLOOKUP(DATA_MASTER[[#This Row],[DATE]],ASTROS[DATE],ASTROS[OPPONENT]),LEN(_xlfn.XLOOKUP(DATA_MASTER[[#This Row],[DATE]],ASTROS[DATE],ASTROS[OPPONENT]))-3),"NO GAME")</f>
        <v>NO GAME</v>
      </c>
      <c r="AH134">
        <f>IF(DATA_MASTER[[#This Row],[ASTROS_GAME]]="NO GAME",0,1)</f>
        <v>0</v>
      </c>
      <c r="AI134">
        <f>_xlfn.XLOOKUP(DATA_MASTER[[#This Row],[DATE]],WEATHER[DATE],WEATHER[tempmax])</f>
        <v>75.3</v>
      </c>
      <c r="AJ134">
        <f>_xlfn.XLOOKUP(DATA_MASTER[[#This Row],[DATE]],WEATHER[DATE],WEATHER[precip])</f>
        <v>3.1E-2</v>
      </c>
    </row>
    <row r="135" spans="1:36" x14ac:dyDescent="0.35">
      <c r="A135" s="155">
        <v>45269</v>
      </c>
      <c r="B135" s="144" t="s">
        <v>42</v>
      </c>
      <c r="C135" s="144" t="s">
        <v>49</v>
      </c>
      <c r="D135" s="144" t="s">
        <v>59</v>
      </c>
      <c r="E135" s="145">
        <f t="shared" si="55"/>
        <v>0</v>
      </c>
      <c r="F135" s="146">
        <f t="shared" si="38"/>
        <v>0</v>
      </c>
      <c r="G135" s="146">
        <f t="shared" si="39"/>
        <v>0</v>
      </c>
      <c r="H135" s="146">
        <f t="shared" si="40"/>
        <v>0</v>
      </c>
      <c r="I135" s="146">
        <f t="shared" si="41"/>
        <v>0</v>
      </c>
      <c r="J135" s="146">
        <f t="shared" si="42"/>
        <v>0</v>
      </c>
      <c r="K135" s="146">
        <f t="shared" si="43"/>
        <v>1</v>
      </c>
      <c r="L135" s="147">
        <f t="shared" si="56"/>
        <v>0</v>
      </c>
      <c r="M135" s="147">
        <f t="shared" si="44"/>
        <v>0</v>
      </c>
      <c r="N135" s="147">
        <f t="shared" si="45"/>
        <v>0</v>
      </c>
      <c r="O135" s="147">
        <f t="shared" si="46"/>
        <v>0</v>
      </c>
      <c r="P135" s="147">
        <f t="shared" si="47"/>
        <v>0</v>
      </c>
      <c r="Q135" s="147">
        <f t="shared" si="48"/>
        <v>0</v>
      </c>
      <c r="R135" s="147">
        <f t="shared" si="49"/>
        <v>0</v>
      </c>
      <c r="S135" s="147">
        <f t="shared" si="50"/>
        <v>0</v>
      </c>
      <c r="T135" s="147">
        <f t="shared" si="51"/>
        <v>0</v>
      </c>
      <c r="U135" s="147">
        <f t="shared" si="52"/>
        <v>0</v>
      </c>
      <c r="V135" s="147">
        <f t="shared" si="53"/>
        <v>1</v>
      </c>
      <c r="W135" s="129">
        <v>1</v>
      </c>
      <c r="X135" s="144" t="str">
        <f t="shared" si="54"/>
        <v>WEEKEND</v>
      </c>
      <c r="Y135" s="148">
        <v>2.9333333333333331</v>
      </c>
      <c r="Z135" s="144" t="s">
        <v>55</v>
      </c>
      <c r="AA135" s="149">
        <v>322</v>
      </c>
      <c r="AB135" s="149">
        <v>58.094623999999996</v>
      </c>
      <c r="AC135" s="149">
        <v>109.77272727272728</v>
      </c>
      <c r="AD135" s="156">
        <v>19.804985454545456</v>
      </c>
      <c r="AE135" s="149" t="str">
        <f>IFERROR(_xlfn.XLOOKUP(DATA_MASTER[[#This Row],[DATE]],RODEO[DATE],RODEO[ARTIST]),"")</f>
        <v/>
      </c>
      <c r="AF135" s="172">
        <f>IF(DATA_MASTER[[#This Row],[RODEO_ARTIST]]="",0,1)</f>
        <v>0</v>
      </c>
      <c r="AG135" t="str">
        <f>IFERROR(RIGHT(_xlfn.XLOOKUP(DATA_MASTER[[#This Row],[DATE]],ASTROS[DATE],ASTROS[OPPONENT]),LEN(_xlfn.XLOOKUP(DATA_MASTER[[#This Row],[DATE]],ASTROS[DATE],ASTROS[OPPONENT]))-3),"NO GAME")</f>
        <v>NO GAME</v>
      </c>
      <c r="AH135">
        <f>IF(DATA_MASTER[[#This Row],[ASTROS_GAME]]="NO GAME",0,1)</f>
        <v>0</v>
      </c>
      <c r="AI135">
        <f>_xlfn.XLOOKUP(DATA_MASTER[[#This Row],[DATE]],WEATHER[DATE],WEATHER[tempmax])</f>
        <v>78.900000000000006</v>
      </c>
      <c r="AJ135">
        <f>_xlfn.XLOOKUP(DATA_MASTER[[#This Row],[DATE]],WEATHER[DATE],WEATHER[precip])</f>
        <v>0.35799999999999998</v>
      </c>
    </row>
    <row r="136" spans="1:36" x14ac:dyDescent="0.35">
      <c r="A136" s="155">
        <v>45269</v>
      </c>
      <c r="B136" s="144" t="s">
        <v>46</v>
      </c>
      <c r="C136" s="144" t="s">
        <v>49</v>
      </c>
      <c r="D136" s="144" t="s">
        <v>59</v>
      </c>
      <c r="E136" s="145">
        <f t="shared" si="55"/>
        <v>1</v>
      </c>
      <c r="F136" s="146">
        <f t="shared" si="38"/>
        <v>0</v>
      </c>
      <c r="G136" s="146">
        <f t="shared" si="39"/>
        <v>0</v>
      </c>
      <c r="H136" s="146">
        <f t="shared" si="40"/>
        <v>0</v>
      </c>
      <c r="I136" s="146">
        <f t="shared" si="41"/>
        <v>0</v>
      </c>
      <c r="J136" s="146">
        <f t="shared" si="42"/>
        <v>0</v>
      </c>
      <c r="K136" s="146">
        <f t="shared" si="43"/>
        <v>1</v>
      </c>
      <c r="L136" s="147">
        <f t="shared" si="56"/>
        <v>0</v>
      </c>
      <c r="M136" s="147">
        <f t="shared" si="44"/>
        <v>0</v>
      </c>
      <c r="N136" s="147">
        <f t="shared" si="45"/>
        <v>0</v>
      </c>
      <c r="O136" s="147">
        <f t="shared" si="46"/>
        <v>0</v>
      </c>
      <c r="P136" s="147">
        <f t="shared" si="47"/>
        <v>0</v>
      </c>
      <c r="Q136" s="147">
        <f t="shared" si="48"/>
        <v>0</v>
      </c>
      <c r="R136" s="147">
        <f t="shared" si="49"/>
        <v>0</v>
      </c>
      <c r="S136" s="147">
        <f t="shared" si="50"/>
        <v>0</v>
      </c>
      <c r="T136" s="147">
        <f t="shared" si="51"/>
        <v>0</v>
      </c>
      <c r="U136" s="147">
        <f t="shared" si="52"/>
        <v>0</v>
      </c>
      <c r="V136" s="147">
        <f t="shared" si="53"/>
        <v>1</v>
      </c>
      <c r="W136" s="129">
        <v>1</v>
      </c>
      <c r="X136" s="144" t="str">
        <f t="shared" si="54"/>
        <v>WEEKEND</v>
      </c>
      <c r="Y136" s="148">
        <v>4.8833333333333337</v>
      </c>
      <c r="Z136" s="144" t="s">
        <v>55</v>
      </c>
      <c r="AA136" s="149">
        <v>1072</v>
      </c>
      <c r="AB136" s="149">
        <v>172.93660399999999</v>
      </c>
      <c r="AC136" s="149">
        <v>219.52218430034128</v>
      </c>
      <c r="AD136" s="156">
        <v>35.413639044368594</v>
      </c>
      <c r="AE136" s="149" t="str">
        <f>IFERROR(_xlfn.XLOOKUP(DATA_MASTER[[#This Row],[DATE]],RODEO[DATE],RODEO[ARTIST]),"")</f>
        <v/>
      </c>
      <c r="AF136" s="172">
        <f>IF(DATA_MASTER[[#This Row],[RODEO_ARTIST]]="",0,1)</f>
        <v>0</v>
      </c>
      <c r="AG136" t="str">
        <f>IFERROR(RIGHT(_xlfn.XLOOKUP(DATA_MASTER[[#This Row],[DATE]],ASTROS[DATE],ASTROS[OPPONENT]),LEN(_xlfn.XLOOKUP(DATA_MASTER[[#This Row],[DATE]],ASTROS[DATE],ASTROS[OPPONENT]))-3),"NO GAME")</f>
        <v>NO GAME</v>
      </c>
      <c r="AH136">
        <f>IF(DATA_MASTER[[#This Row],[ASTROS_GAME]]="NO GAME",0,1)</f>
        <v>0</v>
      </c>
      <c r="AI136">
        <f>_xlfn.XLOOKUP(DATA_MASTER[[#This Row],[DATE]],WEATHER[DATE],WEATHER[tempmax])</f>
        <v>78.900000000000006</v>
      </c>
      <c r="AJ136">
        <f>_xlfn.XLOOKUP(DATA_MASTER[[#This Row],[DATE]],WEATHER[DATE],WEATHER[precip])</f>
        <v>0.35799999999999998</v>
      </c>
    </row>
    <row r="137" spans="1:36" x14ac:dyDescent="0.35">
      <c r="A137" s="155">
        <v>45271</v>
      </c>
      <c r="B137" s="144" t="s">
        <v>46</v>
      </c>
      <c r="C137" s="144" t="s">
        <v>51</v>
      </c>
      <c r="D137" s="144" t="s">
        <v>59</v>
      </c>
      <c r="E137" s="145">
        <f t="shared" si="55"/>
        <v>1</v>
      </c>
      <c r="F137" s="146">
        <f t="shared" si="38"/>
        <v>0</v>
      </c>
      <c r="G137" s="146">
        <f t="shared" si="39"/>
        <v>1</v>
      </c>
      <c r="H137" s="146">
        <f t="shared" si="40"/>
        <v>0</v>
      </c>
      <c r="I137" s="146">
        <f t="shared" si="41"/>
        <v>0</v>
      </c>
      <c r="J137" s="146">
        <f t="shared" si="42"/>
        <v>0</v>
      </c>
      <c r="K137" s="146">
        <f t="shared" si="43"/>
        <v>0</v>
      </c>
      <c r="L137" s="147">
        <f t="shared" si="56"/>
        <v>0</v>
      </c>
      <c r="M137" s="147">
        <f t="shared" si="44"/>
        <v>0</v>
      </c>
      <c r="N137" s="147">
        <f t="shared" si="45"/>
        <v>0</v>
      </c>
      <c r="O137" s="147">
        <f t="shared" si="46"/>
        <v>0</v>
      </c>
      <c r="P137" s="147">
        <f t="shared" si="47"/>
        <v>0</v>
      </c>
      <c r="Q137" s="147">
        <f t="shared" si="48"/>
        <v>0</v>
      </c>
      <c r="R137" s="147">
        <f t="shared" si="49"/>
        <v>0</v>
      </c>
      <c r="S137" s="147">
        <f t="shared" si="50"/>
        <v>0</v>
      </c>
      <c r="T137" s="147">
        <f t="shared" si="51"/>
        <v>0</v>
      </c>
      <c r="U137" s="147">
        <f t="shared" si="52"/>
        <v>0</v>
      </c>
      <c r="V137" s="147">
        <f t="shared" si="53"/>
        <v>1</v>
      </c>
      <c r="W137" s="129">
        <v>0</v>
      </c>
      <c r="X137" s="144" t="str">
        <f t="shared" si="54"/>
        <v>WEEKDAY</v>
      </c>
      <c r="Y137" s="148">
        <v>4.166666666666667</v>
      </c>
      <c r="Z137" s="144" t="s">
        <v>45</v>
      </c>
      <c r="AA137" s="149">
        <v>1044.5</v>
      </c>
      <c r="AB137" s="149">
        <v>180.80057600000001</v>
      </c>
      <c r="AC137" s="149">
        <v>250.67999999999998</v>
      </c>
      <c r="AD137" s="156">
        <v>43.392138240000001</v>
      </c>
      <c r="AE137" s="149" t="str">
        <f>IFERROR(_xlfn.XLOOKUP(DATA_MASTER[[#This Row],[DATE]],RODEO[DATE],RODEO[ARTIST]),"")</f>
        <v/>
      </c>
      <c r="AF137" s="172">
        <f>IF(DATA_MASTER[[#This Row],[RODEO_ARTIST]]="",0,1)</f>
        <v>0</v>
      </c>
      <c r="AG137" t="str">
        <f>IFERROR(RIGHT(_xlfn.XLOOKUP(DATA_MASTER[[#This Row],[DATE]],ASTROS[DATE],ASTROS[OPPONENT]),LEN(_xlfn.XLOOKUP(DATA_MASTER[[#This Row],[DATE]],ASTROS[DATE],ASTROS[OPPONENT]))-3),"NO GAME")</f>
        <v>NO GAME</v>
      </c>
      <c r="AH137">
        <f>IF(DATA_MASTER[[#This Row],[ASTROS_GAME]]="NO GAME",0,1)</f>
        <v>0</v>
      </c>
      <c r="AI137">
        <f>_xlfn.XLOOKUP(DATA_MASTER[[#This Row],[DATE]],WEATHER[DATE],WEATHER[tempmax])</f>
        <v>62.7</v>
      </c>
      <c r="AJ137">
        <f>_xlfn.XLOOKUP(DATA_MASTER[[#This Row],[DATE]],WEATHER[DATE],WEATHER[precip])</f>
        <v>0</v>
      </c>
    </row>
    <row r="138" spans="1:36" x14ac:dyDescent="0.35">
      <c r="A138" s="155">
        <v>45273</v>
      </c>
      <c r="B138" s="144" t="s">
        <v>42</v>
      </c>
      <c r="C138" s="144" t="s">
        <v>44</v>
      </c>
      <c r="D138" s="144" t="s">
        <v>59</v>
      </c>
      <c r="E138" s="145">
        <f t="shared" si="55"/>
        <v>0</v>
      </c>
      <c r="F138" s="146">
        <f t="shared" si="38"/>
        <v>0</v>
      </c>
      <c r="G138" s="146">
        <f t="shared" si="39"/>
        <v>0</v>
      </c>
      <c r="H138" s="146">
        <f t="shared" si="40"/>
        <v>1</v>
      </c>
      <c r="I138" s="146">
        <f t="shared" si="41"/>
        <v>0</v>
      </c>
      <c r="J138" s="146">
        <f t="shared" si="42"/>
        <v>0</v>
      </c>
      <c r="K138" s="146">
        <f t="shared" si="43"/>
        <v>0</v>
      </c>
      <c r="L138" s="147">
        <f t="shared" si="56"/>
        <v>0</v>
      </c>
      <c r="M138" s="147">
        <f t="shared" si="44"/>
        <v>0</v>
      </c>
      <c r="N138" s="147">
        <f t="shared" si="45"/>
        <v>0</v>
      </c>
      <c r="O138" s="147">
        <f t="shared" si="46"/>
        <v>0</v>
      </c>
      <c r="P138" s="147">
        <f t="shared" si="47"/>
        <v>0</v>
      </c>
      <c r="Q138" s="147">
        <f t="shared" si="48"/>
        <v>0</v>
      </c>
      <c r="R138" s="147">
        <f t="shared" si="49"/>
        <v>0</v>
      </c>
      <c r="S138" s="147">
        <f t="shared" si="50"/>
        <v>0</v>
      </c>
      <c r="T138" s="147">
        <f t="shared" si="51"/>
        <v>0</v>
      </c>
      <c r="U138" s="147">
        <f t="shared" si="52"/>
        <v>0</v>
      </c>
      <c r="V138" s="147">
        <f t="shared" si="53"/>
        <v>1</v>
      </c>
      <c r="W138" s="129">
        <v>0</v>
      </c>
      <c r="X138" s="144" t="str">
        <f t="shared" si="54"/>
        <v>WEEKDAY</v>
      </c>
      <c r="Y138" s="148">
        <v>5.1333333333333337</v>
      </c>
      <c r="Z138" s="144" t="s">
        <v>45</v>
      </c>
      <c r="AA138" s="149">
        <v>695</v>
      </c>
      <c r="AB138" s="149">
        <v>127.98885600000001</v>
      </c>
      <c r="AC138" s="149">
        <v>135.38961038961037</v>
      </c>
      <c r="AD138" s="156">
        <v>24.932894025974026</v>
      </c>
      <c r="AE138" s="149" t="str">
        <f>IFERROR(_xlfn.XLOOKUP(DATA_MASTER[[#This Row],[DATE]],RODEO[DATE],RODEO[ARTIST]),"")</f>
        <v/>
      </c>
      <c r="AF138" s="172">
        <f>IF(DATA_MASTER[[#This Row],[RODEO_ARTIST]]="",0,1)</f>
        <v>0</v>
      </c>
      <c r="AG138" t="str">
        <f>IFERROR(RIGHT(_xlfn.XLOOKUP(DATA_MASTER[[#This Row],[DATE]],ASTROS[DATE],ASTROS[OPPONENT]),LEN(_xlfn.XLOOKUP(DATA_MASTER[[#This Row],[DATE]],ASTROS[DATE],ASTROS[OPPONENT]))-3),"NO GAME")</f>
        <v>NO GAME</v>
      </c>
      <c r="AH138">
        <f>IF(DATA_MASTER[[#This Row],[ASTROS_GAME]]="NO GAME",0,1)</f>
        <v>0</v>
      </c>
      <c r="AI138">
        <f>_xlfn.XLOOKUP(DATA_MASTER[[#This Row],[DATE]],WEATHER[DATE],WEATHER[tempmax])</f>
        <v>59.1</v>
      </c>
      <c r="AJ138">
        <f>_xlfn.XLOOKUP(DATA_MASTER[[#This Row],[DATE]],WEATHER[DATE],WEATHER[precip])</f>
        <v>1.0999999999999999E-2</v>
      </c>
    </row>
    <row r="139" spans="1:36" x14ac:dyDescent="0.35">
      <c r="A139" s="155">
        <v>45275</v>
      </c>
      <c r="B139" s="144" t="s">
        <v>46</v>
      </c>
      <c r="C139" s="144" t="s">
        <v>48</v>
      </c>
      <c r="D139" s="144" t="s">
        <v>59</v>
      </c>
      <c r="E139" s="145">
        <f t="shared" si="55"/>
        <v>1</v>
      </c>
      <c r="F139" s="146">
        <f t="shared" si="38"/>
        <v>0</v>
      </c>
      <c r="G139" s="146">
        <f t="shared" si="39"/>
        <v>0</v>
      </c>
      <c r="H139" s="146">
        <f t="shared" si="40"/>
        <v>0</v>
      </c>
      <c r="I139" s="146">
        <f t="shared" si="41"/>
        <v>0</v>
      </c>
      <c r="J139" s="146">
        <f t="shared" si="42"/>
        <v>1</v>
      </c>
      <c r="K139" s="146">
        <f t="shared" si="43"/>
        <v>0</v>
      </c>
      <c r="L139" s="147">
        <f t="shared" si="56"/>
        <v>0</v>
      </c>
      <c r="M139" s="147">
        <f t="shared" si="44"/>
        <v>0</v>
      </c>
      <c r="N139" s="147">
        <f t="shared" si="45"/>
        <v>0</v>
      </c>
      <c r="O139" s="147">
        <f t="shared" si="46"/>
        <v>0</v>
      </c>
      <c r="P139" s="147">
        <f t="shared" si="47"/>
        <v>0</v>
      </c>
      <c r="Q139" s="147">
        <f t="shared" si="48"/>
        <v>0</v>
      </c>
      <c r="R139" s="147">
        <f t="shared" si="49"/>
        <v>0</v>
      </c>
      <c r="S139" s="147">
        <f t="shared" si="50"/>
        <v>0</v>
      </c>
      <c r="T139" s="147">
        <f t="shared" si="51"/>
        <v>0</v>
      </c>
      <c r="U139" s="147">
        <f t="shared" si="52"/>
        <v>0</v>
      </c>
      <c r="V139" s="147">
        <f t="shared" si="53"/>
        <v>1</v>
      </c>
      <c r="W139" s="129">
        <v>1</v>
      </c>
      <c r="X139" s="144" t="str">
        <f t="shared" si="54"/>
        <v>WEEKEND</v>
      </c>
      <c r="Y139" s="148">
        <v>3.4333333333333331</v>
      </c>
      <c r="Z139" s="144" t="s">
        <v>45</v>
      </c>
      <c r="AA139" s="149">
        <v>659</v>
      </c>
      <c r="AB139" s="149">
        <v>121.60652</v>
      </c>
      <c r="AC139" s="149">
        <v>191.94174757281556</v>
      </c>
      <c r="AD139" s="156">
        <v>35.41937475728156</v>
      </c>
      <c r="AE139" s="149" t="str">
        <f>IFERROR(_xlfn.XLOOKUP(DATA_MASTER[[#This Row],[DATE]],RODEO[DATE],RODEO[ARTIST]),"")</f>
        <v/>
      </c>
      <c r="AF139" s="172">
        <f>IF(DATA_MASTER[[#This Row],[RODEO_ARTIST]]="",0,1)</f>
        <v>0</v>
      </c>
      <c r="AG139" t="str">
        <f>IFERROR(RIGHT(_xlfn.XLOOKUP(DATA_MASTER[[#This Row],[DATE]],ASTROS[DATE],ASTROS[OPPONENT]),LEN(_xlfn.XLOOKUP(DATA_MASTER[[#This Row],[DATE]],ASTROS[DATE],ASTROS[OPPONENT]))-3),"NO GAME")</f>
        <v>NO GAME</v>
      </c>
      <c r="AH139">
        <f>IF(DATA_MASTER[[#This Row],[ASTROS_GAME]]="NO GAME",0,1)</f>
        <v>0</v>
      </c>
      <c r="AI139">
        <f>_xlfn.XLOOKUP(DATA_MASTER[[#This Row],[DATE]],WEATHER[DATE],WEATHER[tempmax])</f>
        <v>64.400000000000006</v>
      </c>
      <c r="AJ139">
        <f>_xlfn.XLOOKUP(DATA_MASTER[[#This Row],[DATE]],WEATHER[DATE],WEATHER[precip])</f>
        <v>0.29699999999999999</v>
      </c>
    </row>
    <row r="140" spans="1:36" x14ac:dyDescent="0.35">
      <c r="A140" s="155">
        <v>45276</v>
      </c>
      <c r="B140" s="144" t="s">
        <v>46</v>
      </c>
      <c r="C140" s="144" t="s">
        <v>49</v>
      </c>
      <c r="D140" s="144" t="s">
        <v>59</v>
      </c>
      <c r="E140" s="145">
        <f t="shared" si="55"/>
        <v>1</v>
      </c>
      <c r="F140" s="146">
        <f t="shared" si="38"/>
        <v>0</v>
      </c>
      <c r="G140" s="146">
        <f t="shared" si="39"/>
        <v>0</v>
      </c>
      <c r="H140" s="146">
        <f t="shared" si="40"/>
        <v>0</v>
      </c>
      <c r="I140" s="146">
        <f t="shared" si="41"/>
        <v>0</v>
      </c>
      <c r="J140" s="146">
        <f t="shared" si="42"/>
        <v>0</v>
      </c>
      <c r="K140" s="146">
        <f t="shared" si="43"/>
        <v>1</v>
      </c>
      <c r="L140" s="147">
        <f t="shared" si="56"/>
        <v>0</v>
      </c>
      <c r="M140" s="147">
        <f t="shared" si="44"/>
        <v>0</v>
      </c>
      <c r="N140" s="147">
        <f t="shared" si="45"/>
        <v>0</v>
      </c>
      <c r="O140" s="147">
        <f t="shared" si="46"/>
        <v>0</v>
      </c>
      <c r="P140" s="147">
        <f t="shared" si="47"/>
        <v>0</v>
      </c>
      <c r="Q140" s="147">
        <f t="shared" si="48"/>
        <v>0</v>
      </c>
      <c r="R140" s="147">
        <f t="shared" si="49"/>
        <v>0</v>
      </c>
      <c r="S140" s="147">
        <f t="shared" si="50"/>
        <v>0</v>
      </c>
      <c r="T140" s="147">
        <f t="shared" si="51"/>
        <v>0</v>
      </c>
      <c r="U140" s="147">
        <f t="shared" si="52"/>
        <v>0</v>
      </c>
      <c r="V140" s="147">
        <f t="shared" si="53"/>
        <v>1</v>
      </c>
      <c r="W140" s="129">
        <v>1</v>
      </c>
      <c r="X140" s="144" t="str">
        <f t="shared" si="54"/>
        <v>WEEKEND</v>
      </c>
      <c r="Y140" s="148">
        <v>5</v>
      </c>
      <c r="Z140" s="144" t="s">
        <v>45</v>
      </c>
      <c r="AA140" s="149">
        <v>1181</v>
      </c>
      <c r="AB140" s="149">
        <v>181.37616800000001</v>
      </c>
      <c r="AC140" s="149">
        <v>236.2</v>
      </c>
      <c r="AD140" s="156">
        <v>36.2752336</v>
      </c>
      <c r="AE140" s="149" t="str">
        <f>IFERROR(_xlfn.XLOOKUP(DATA_MASTER[[#This Row],[DATE]],RODEO[DATE],RODEO[ARTIST]),"")</f>
        <v/>
      </c>
      <c r="AF140" s="172">
        <f>IF(DATA_MASTER[[#This Row],[RODEO_ARTIST]]="",0,1)</f>
        <v>0</v>
      </c>
      <c r="AG140" t="str">
        <f>IFERROR(RIGHT(_xlfn.XLOOKUP(DATA_MASTER[[#This Row],[DATE]],ASTROS[DATE],ASTROS[OPPONENT]),LEN(_xlfn.XLOOKUP(DATA_MASTER[[#This Row],[DATE]],ASTROS[DATE],ASTROS[OPPONENT]))-3),"NO GAME")</f>
        <v>NO GAME</v>
      </c>
      <c r="AH140">
        <f>IF(DATA_MASTER[[#This Row],[ASTROS_GAME]]="NO GAME",0,1)</f>
        <v>0</v>
      </c>
      <c r="AI140">
        <f>_xlfn.XLOOKUP(DATA_MASTER[[#This Row],[DATE]],WEATHER[DATE],WEATHER[tempmax])</f>
        <v>62.6</v>
      </c>
      <c r="AJ140">
        <f>_xlfn.XLOOKUP(DATA_MASTER[[#This Row],[DATE]],WEATHER[DATE],WEATHER[precip])</f>
        <v>3.7999999999999999E-2</v>
      </c>
    </row>
    <row r="141" spans="1:36" x14ac:dyDescent="0.35">
      <c r="A141" s="155">
        <v>45277</v>
      </c>
      <c r="B141" s="144" t="s">
        <v>46</v>
      </c>
      <c r="C141" s="144" t="s">
        <v>50</v>
      </c>
      <c r="D141" s="144" t="s">
        <v>59</v>
      </c>
      <c r="E141" s="145">
        <f t="shared" si="55"/>
        <v>1</v>
      </c>
      <c r="F141" s="146">
        <f t="shared" si="38"/>
        <v>1</v>
      </c>
      <c r="G141" s="146">
        <f t="shared" si="39"/>
        <v>0</v>
      </c>
      <c r="H141" s="146">
        <f t="shared" si="40"/>
        <v>0</v>
      </c>
      <c r="I141" s="146">
        <f t="shared" si="41"/>
        <v>0</v>
      </c>
      <c r="J141" s="146">
        <f t="shared" si="42"/>
        <v>0</v>
      </c>
      <c r="K141" s="146">
        <f t="shared" si="43"/>
        <v>0</v>
      </c>
      <c r="L141" s="147">
        <f t="shared" si="56"/>
        <v>0</v>
      </c>
      <c r="M141" s="147">
        <f t="shared" si="44"/>
        <v>0</v>
      </c>
      <c r="N141" s="147">
        <f t="shared" si="45"/>
        <v>0</v>
      </c>
      <c r="O141" s="147">
        <f t="shared" si="46"/>
        <v>0</v>
      </c>
      <c r="P141" s="147">
        <f t="shared" si="47"/>
        <v>0</v>
      </c>
      <c r="Q141" s="147">
        <f t="shared" si="48"/>
        <v>0</v>
      </c>
      <c r="R141" s="147">
        <f t="shared" si="49"/>
        <v>0</v>
      </c>
      <c r="S141" s="147">
        <f t="shared" si="50"/>
        <v>0</v>
      </c>
      <c r="T141" s="147">
        <f t="shared" si="51"/>
        <v>0</v>
      </c>
      <c r="U141" s="147">
        <f t="shared" si="52"/>
        <v>0</v>
      </c>
      <c r="V141" s="147">
        <f t="shared" si="53"/>
        <v>1</v>
      </c>
      <c r="W141" s="129">
        <v>1</v>
      </c>
      <c r="X141" s="144" t="str">
        <f t="shared" si="54"/>
        <v>WEEKEND</v>
      </c>
      <c r="Y141" s="148">
        <v>5.6166666666666663</v>
      </c>
      <c r="Z141" s="144" t="s">
        <v>45</v>
      </c>
      <c r="AA141" s="149">
        <v>1390</v>
      </c>
      <c r="AB141" s="149">
        <v>217.58837200000002</v>
      </c>
      <c r="AC141" s="149">
        <v>247.47774480712167</v>
      </c>
      <c r="AD141" s="156">
        <v>38.73976949554897</v>
      </c>
      <c r="AE141" s="149" t="str">
        <f>IFERROR(_xlfn.XLOOKUP(DATA_MASTER[[#This Row],[DATE]],RODEO[DATE],RODEO[ARTIST]),"")</f>
        <v/>
      </c>
      <c r="AF141" s="172">
        <f>IF(DATA_MASTER[[#This Row],[RODEO_ARTIST]]="",0,1)</f>
        <v>0</v>
      </c>
      <c r="AG141" t="str">
        <f>IFERROR(RIGHT(_xlfn.XLOOKUP(DATA_MASTER[[#This Row],[DATE]],ASTROS[DATE],ASTROS[OPPONENT]),LEN(_xlfn.XLOOKUP(DATA_MASTER[[#This Row],[DATE]],ASTROS[DATE],ASTROS[OPPONENT]))-3),"NO GAME")</f>
        <v>NO GAME</v>
      </c>
      <c r="AH141">
        <f>IF(DATA_MASTER[[#This Row],[ASTROS_GAME]]="NO GAME",0,1)</f>
        <v>0</v>
      </c>
      <c r="AI141">
        <f>_xlfn.XLOOKUP(DATA_MASTER[[#This Row],[DATE]],WEATHER[DATE],WEATHER[tempmax])</f>
        <v>66.3</v>
      </c>
      <c r="AJ141">
        <f>_xlfn.XLOOKUP(DATA_MASTER[[#This Row],[DATE]],WEATHER[DATE],WEATHER[precip])</f>
        <v>0</v>
      </c>
    </row>
    <row r="142" spans="1:36" x14ac:dyDescent="0.35">
      <c r="A142" s="155">
        <v>45278</v>
      </c>
      <c r="B142" s="144" t="s">
        <v>46</v>
      </c>
      <c r="C142" s="144" t="s">
        <v>51</v>
      </c>
      <c r="D142" s="144" t="s">
        <v>59</v>
      </c>
      <c r="E142" s="145">
        <f t="shared" si="55"/>
        <v>1</v>
      </c>
      <c r="F142" s="146">
        <f t="shared" si="38"/>
        <v>0</v>
      </c>
      <c r="G142" s="146">
        <f t="shared" si="39"/>
        <v>1</v>
      </c>
      <c r="H142" s="146">
        <f t="shared" si="40"/>
        <v>0</v>
      </c>
      <c r="I142" s="146">
        <f t="shared" si="41"/>
        <v>0</v>
      </c>
      <c r="J142" s="146">
        <f t="shared" si="42"/>
        <v>0</v>
      </c>
      <c r="K142" s="146">
        <f t="shared" si="43"/>
        <v>0</v>
      </c>
      <c r="L142" s="147">
        <f t="shared" si="56"/>
        <v>0</v>
      </c>
      <c r="M142" s="147">
        <f t="shared" si="44"/>
        <v>0</v>
      </c>
      <c r="N142" s="147">
        <f t="shared" si="45"/>
        <v>0</v>
      </c>
      <c r="O142" s="147">
        <f t="shared" si="46"/>
        <v>0</v>
      </c>
      <c r="P142" s="147">
        <f t="shared" si="47"/>
        <v>0</v>
      </c>
      <c r="Q142" s="147">
        <f t="shared" si="48"/>
        <v>0</v>
      </c>
      <c r="R142" s="147">
        <f t="shared" si="49"/>
        <v>0</v>
      </c>
      <c r="S142" s="147">
        <f t="shared" si="50"/>
        <v>0</v>
      </c>
      <c r="T142" s="147">
        <f t="shared" si="51"/>
        <v>0</v>
      </c>
      <c r="U142" s="147">
        <f t="shared" si="52"/>
        <v>0</v>
      </c>
      <c r="V142" s="147">
        <f t="shared" si="53"/>
        <v>1</v>
      </c>
      <c r="W142" s="129">
        <v>0</v>
      </c>
      <c r="X142" s="144" t="str">
        <f t="shared" si="54"/>
        <v>WEEKDAY</v>
      </c>
      <c r="Y142" s="148">
        <v>5.65</v>
      </c>
      <c r="Z142" s="144" t="s">
        <v>45</v>
      </c>
      <c r="AA142" s="149">
        <v>1140</v>
      </c>
      <c r="AB142" s="149">
        <v>187.37920400000002</v>
      </c>
      <c r="AC142" s="149">
        <v>201.76991150442475</v>
      </c>
      <c r="AD142" s="156">
        <v>33.164460884955751</v>
      </c>
      <c r="AE142" s="149" t="str">
        <f>IFERROR(_xlfn.XLOOKUP(DATA_MASTER[[#This Row],[DATE]],RODEO[DATE],RODEO[ARTIST]),"")</f>
        <v/>
      </c>
      <c r="AF142" s="172">
        <f>IF(DATA_MASTER[[#This Row],[RODEO_ARTIST]]="",0,1)</f>
        <v>0</v>
      </c>
      <c r="AG142" t="str">
        <f>IFERROR(RIGHT(_xlfn.XLOOKUP(DATA_MASTER[[#This Row],[DATE]],ASTROS[DATE],ASTROS[OPPONENT]),LEN(_xlfn.XLOOKUP(DATA_MASTER[[#This Row],[DATE]],ASTROS[DATE],ASTROS[OPPONENT]))-3),"NO GAME")</f>
        <v>NO GAME</v>
      </c>
      <c r="AH142">
        <f>IF(DATA_MASTER[[#This Row],[ASTROS_GAME]]="NO GAME",0,1)</f>
        <v>0</v>
      </c>
      <c r="AI142">
        <f>_xlfn.XLOOKUP(DATA_MASTER[[#This Row],[DATE]],WEATHER[DATE],WEATHER[tempmax])</f>
        <v>70</v>
      </c>
      <c r="AJ142">
        <f>_xlfn.XLOOKUP(DATA_MASTER[[#This Row],[DATE]],WEATHER[DATE],WEATHER[precip])</f>
        <v>0</v>
      </c>
    </row>
    <row r="143" spans="1:36" x14ac:dyDescent="0.35">
      <c r="A143" s="155">
        <v>45281</v>
      </c>
      <c r="B143" s="144" t="s">
        <v>46</v>
      </c>
      <c r="C143" s="144" t="s">
        <v>47</v>
      </c>
      <c r="D143" s="144" t="s">
        <v>59</v>
      </c>
      <c r="E143" s="145">
        <f t="shared" si="55"/>
        <v>1</v>
      </c>
      <c r="F143" s="146">
        <f t="shared" si="38"/>
        <v>0</v>
      </c>
      <c r="G143" s="146">
        <f t="shared" si="39"/>
        <v>0</v>
      </c>
      <c r="H143" s="146">
        <f t="shared" si="40"/>
        <v>0</v>
      </c>
      <c r="I143" s="146">
        <f t="shared" si="41"/>
        <v>1</v>
      </c>
      <c r="J143" s="146">
        <f t="shared" si="42"/>
        <v>0</v>
      </c>
      <c r="K143" s="146">
        <f t="shared" si="43"/>
        <v>0</v>
      </c>
      <c r="L143" s="147">
        <f t="shared" si="56"/>
        <v>0</v>
      </c>
      <c r="M143" s="147">
        <f t="shared" si="44"/>
        <v>0</v>
      </c>
      <c r="N143" s="147">
        <f t="shared" si="45"/>
        <v>0</v>
      </c>
      <c r="O143" s="147">
        <f t="shared" si="46"/>
        <v>0</v>
      </c>
      <c r="P143" s="147">
        <f t="shared" si="47"/>
        <v>0</v>
      </c>
      <c r="Q143" s="147">
        <f t="shared" si="48"/>
        <v>0</v>
      </c>
      <c r="R143" s="147">
        <f t="shared" si="49"/>
        <v>0</v>
      </c>
      <c r="S143" s="147">
        <f t="shared" si="50"/>
        <v>0</v>
      </c>
      <c r="T143" s="147">
        <f t="shared" si="51"/>
        <v>0</v>
      </c>
      <c r="U143" s="147">
        <f t="shared" si="52"/>
        <v>0</v>
      </c>
      <c r="V143" s="147">
        <f t="shared" si="53"/>
        <v>1</v>
      </c>
      <c r="W143" s="129">
        <v>0</v>
      </c>
      <c r="X143" s="144" t="str">
        <f t="shared" si="54"/>
        <v>WEEKDAY</v>
      </c>
      <c r="Y143" s="148">
        <v>5.3666666666666663</v>
      </c>
      <c r="Z143" s="144" t="s">
        <v>45</v>
      </c>
      <c r="AA143" s="149">
        <v>1102</v>
      </c>
      <c r="AB143" s="149">
        <v>199.11728000000002</v>
      </c>
      <c r="AC143" s="149">
        <v>205.34161490683232</v>
      </c>
      <c r="AD143" s="156">
        <v>37.102598757763985</v>
      </c>
      <c r="AE143" s="149" t="str">
        <f>IFERROR(_xlfn.XLOOKUP(DATA_MASTER[[#This Row],[DATE]],RODEO[DATE],RODEO[ARTIST]),"")</f>
        <v/>
      </c>
      <c r="AF143" s="172">
        <f>IF(DATA_MASTER[[#This Row],[RODEO_ARTIST]]="",0,1)</f>
        <v>0</v>
      </c>
      <c r="AG143" t="str">
        <f>IFERROR(RIGHT(_xlfn.XLOOKUP(DATA_MASTER[[#This Row],[DATE]],ASTROS[DATE],ASTROS[OPPONENT]),LEN(_xlfn.XLOOKUP(DATA_MASTER[[#This Row],[DATE]],ASTROS[DATE],ASTROS[OPPONENT]))-3),"NO GAME")</f>
        <v>NO GAME</v>
      </c>
      <c r="AH143">
        <f>IF(DATA_MASTER[[#This Row],[ASTROS_GAME]]="NO GAME",0,1)</f>
        <v>0</v>
      </c>
      <c r="AI143">
        <f>_xlfn.XLOOKUP(DATA_MASTER[[#This Row],[DATE]],WEATHER[DATE],WEATHER[tempmax])</f>
        <v>63.5</v>
      </c>
      <c r="AJ143">
        <f>_xlfn.XLOOKUP(DATA_MASTER[[#This Row],[DATE]],WEATHER[DATE],WEATHER[precip])</f>
        <v>0</v>
      </c>
    </row>
    <row r="144" spans="1:36" x14ac:dyDescent="0.35">
      <c r="A144" s="155">
        <v>45282</v>
      </c>
      <c r="B144" s="144" t="s">
        <v>46</v>
      </c>
      <c r="C144" s="144" t="s">
        <v>48</v>
      </c>
      <c r="D144" s="144" t="s">
        <v>59</v>
      </c>
      <c r="E144" s="145">
        <f t="shared" si="55"/>
        <v>1</v>
      </c>
      <c r="F144" s="146">
        <f t="shared" si="38"/>
        <v>0</v>
      </c>
      <c r="G144" s="146">
        <f t="shared" si="39"/>
        <v>0</v>
      </c>
      <c r="H144" s="146">
        <f t="shared" si="40"/>
        <v>0</v>
      </c>
      <c r="I144" s="146">
        <f t="shared" si="41"/>
        <v>0</v>
      </c>
      <c r="J144" s="146">
        <f t="shared" si="42"/>
        <v>1</v>
      </c>
      <c r="K144" s="146">
        <f t="shared" si="43"/>
        <v>0</v>
      </c>
      <c r="L144" s="147">
        <f t="shared" si="56"/>
        <v>0</v>
      </c>
      <c r="M144" s="147">
        <f t="shared" si="44"/>
        <v>0</v>
      </c>
      <c r="N144" s="147">
        <f t="shared" si="45"/>
        <v>0</v>
      </c>
      <c r="O144" s="147">
        <f t="shared" si="46"/>
        <v>0</v>
      </c>
      <c r="P144" s="147">
        <f t="shared" si="47"/>
        <v>0</v>
      </c>
      <c r="Q144" s="147">
        <f t="shared" si="48"/>
        <v>0</v>
      </c>
      <c r="R144" s="147">
        <f t="shared" si="49"/>
        <v>0</v>
      </c>
      <c r="S144" s="147">
        <f t="shared" si="50"/>
        <v>0</v>
      </c>
      <c r="T144" s="147">
        <f t="shared" si="51"/>
        <v>0</v>
      </c>
      <c r="U144" s="147">
        <f t="shared" si="52"/>
        <v>0</v>
      </c>
      <c r="V144" s="147">
        <f t="shared" si="53"/>
        <v>1</v>
      </c>
      <c r="W144" s="129">
        <v>1</v>
      </c>
      <c r="X144" s="144" t="str">
        <f t="shared" si="54"/>
        <v>WEEKEND</v>
      </c>
      <c r="Y144" s="148">
        <v>5.3</v>
      </c>
      <c r="Z144" s="144" t="s">
        <v>45</v>
      </c>
      <c r="AA144" s="149">
        <v>1445</v>
      </c>
      <c r="AB144" s="149">
        <v>232.50149599999997</v>
      </c>
      <c r="AC144" s="149">
        <v>272.64150943396226</v>
      </c>
      <c r="AD144" s="156">
        <v>43.868206792452824</v>
      </c>
      <c r="AE144" s="149" t="str">
        <f>IFERROR(_xlfn.XLOOKUP(DATA_MASTER[[#This Row],[DATE]],RODEO[DATE],RODEO[ARTIST]),"")</f>
        <v/>
      </c>
      <c r="AF144" s="172">
        <f>IF(DATA_MASTER[[#This Row],[RODEO_ARTIST]]="",0,1)</f>
        <v>0</v>
      </c>
      <c r="AG144" t="str">
        <f>IFERROR(RIGHT(_xlfn.XLOOKUP(DATA_MASTER[[#This Row],[DATE]],ASTROS[DATE],ASTROS[OPPONENT]),LEN(_xlfn.XLOOKUP(DATA_MASTER[[#This Row],[DATE]],ASTROS[DATE],ASTROS[OPPONENT]))-3),"NO GAME")</f>
        <v>NO GAME</v>
      </c>
      <c r="AH144">
        <f>IF(DATA_MASTER[[#This Row],[ASTROS_GAME]]="NO GAME",0,1)</f>
        <v>0</v>
      </c>
      <c r="AI144">
        <f>_xlfn.XLOOKUP(DATA_MASTER[[#This Row],[DATE]],WEATHER[DATE],WEATHER[tempmax])</f>
        <v>69.900000000000006</v>
      </c>
      <c r="AJ144">
        <f>_xlfn.XLOOKUP(DATA_MASTER[[#This Row],[DATE]],WEATHER[DATE],WEATHER[precip])</f>
        <v>1E-3</v>
      </c>
    </row>
    <row r="145" spans="1:46" x14ac:dyDescent="0.35">
      <c r="A145" s="155">
        <v>45283</v>
      </c>
      <c r="B145" s="144" t="s">
        <v>46</v>
      </c>
      <c r="C145" s="144" t="s">
        <v>49</v>
      </c>
      <c r="D145" s="144" t="s">
        <v>59</v>
      </c>
      <c r="E145" s="145">
        <f t="shared" si="55"/>
        <v>1</v>
      </c>
      <c r="F145" s="146">
        <f t="shared" si="38"/>
        <v>0</v>
      </c>
      <c r="G145" s="146">
        <f t="shared" si="39"/>
        <v>0</v>
      </c>
      <c r="H145" s="146">
        <f t="shared" si="40"/>
        <v>0</v>
      </c>
      <c r="I145" s="146">
        <f t="shared" si="41"/>
        <v>0</v>
      </c>
      <c r="J145" s="146">
        <f t="shared" si="42"/>
        <v>0</v>
      </c>
      <c r="K145" s="146">
        <f t="shared" si="43"/>
        <v>1</v>
      </c>
      <c r="L145" s="147">
        <f t="shared" si="56"/>
        <v>0</v>
      </c>
      <c r="M145" s="147">
        <f t="shared" si="44"/>
        <v>0</v>
      </c>
      <c r="N145" s="147">
        <f t="shared" si="45"/>
        <v>0</v>
      </c>
      <c r="O145" s="147">
        <f t="shared" si="46"/>
        <v>0</v>
      </c>
      <c r="P145" s="147">
        <f t="shared" si="47"/>
        <v>0</v>
      </c>
      <c r="Q145" s="147">
        <f t="shared" si="48"/>
        <v>0</v>
      </c>
      <c r="R145" s="147">
        <f t="shared" si="49"/>
        <v>0</v>
      </c>
      <c r="S145" s="147">
        <f t="shared" si="50"/>
        <v>0</v>
      </c>
      <c r="T145" s="147">
        <f t="shared" si="51"/>
        <v>0</v>
      </c>
      <c r="U145" s="147">
        <f t="shared" si="52"/>
        <v>0</v>
      </c>
      <c r="V145" s="147">
        <f t="shared" si="53"/>
        <v>1</v>
      </c>
      <c r="W145" s="129">
        <v>1</v>
      </c>
      <c r="X145" s="144" t="str">
        <f t="shared" si="54"/>
        <v>WEEKEND</v>
      </c>
      <c r="Y145" s="148">
        <v>5.45</v>
      </c>
      <c r="Z145" s="144" t="s">
        <v>45</v>
      </c>
      <c r="AA145" s="149">
        <v>1427</v>
      </c>
      <c r="AB145" s="149">
        <v>259.20059599999996</v>
      </c>
      <c r="AC145" s="149">
        <v>261.83486238532112</v>
      </c>
      <c r="AD145" s="156">
        <v>47.559742385321094</v>
      </c>
      <c r="AE145" s="149" t="str">
        <f>IFERROR(_xlfn.XLOOKUP(DATA_MASTER[[#This Row],[DATE]],RODEO[DATE],RODEO[ARTIST]),"")</f>
        <v/>
      </c>
      <c r="AF145" s="172">
        <f>IF(DATA_MASTER[[#This Row],[RODEO_ARTIST]]="",0,1)</f>
        <v>0</v>
      </c>
      <c r="AG145" t="str">
        <f>IFERROR(RIGHT(_xlfn.XLOOKUP(DATA_MASTER[[#This Row],[DATE]],ASTROS[DATE],ASTROS[OPPONENT]),LEN(_xlfn.XLOOKUP(DATA_MASTER[[#This Row],[DATE]],ASTROS[DATE],ASTROS[OPPONENT]))-3),"NO GAME")</f>
        <v>NO GAME</v>
      </c>
      <c r="AH145">
        <f>IF(DATA_MASTER[[#This Row],[ASTROS_GAME]]="NO GAME",0,1)</f>
        <v>0</v>
      </c>
      <c r="AI145">
        <f>_xlfn.XLOOKUP(DATA_MASTER[[#This Row],[DATE]],WEATHER[DATE],WEATHER[tempmax])</f>
        <v>71.7</v>
      </c>
      <c r="AJ145">
        <f>_xlfn.XLOOKUP(DATA_MASTER[[#This Row],[DATE]],WEATHER[DATE],WEATHER[precip])</f>
        <v>6.2E-2</v>
      </c>
    </row>
    <row r="146" spans="1:46" x14ac:dyDescent="0.35">
      <c r="A146" s="155">
        <v>45287</v>
      </c>
      <c r="B146" s="144" t="s">
        <v>42</v>
      </c>
      <c r="C146" s="144" t="s">
        <v>44</v>
      </c>
      <c r="D146" s="144" t="s">
        <v>59</v>
      </c>
      <c r="E146" s="145">
        <f t="shared" si="55"/>
        <v>0</v>
      </c>
      <c r="F146" s="146">
        <f t="shared" si="38"/>
        <v>0</v>
      </c>
      <c r="G146" s="146">
        <f t="shared" si="39"/>
        <v>0</v>
      </c>
      <c r="H146" s="146">
        <f t="shared" si="40"/>
        <v>1</v>
      </c>
      <c r="I146" s="146">
        <f t="shared" si="41"/>
        <v>0</v>
      </c>
      <c r="J146" s="146">
        <f t="shared" si="42"/>
        <v>0</v>
      </c>
      <c r="K146" s="146">
        <f t="shared" si="43"/>
        <v>0</v>
      </c>
      <c r="L146" s="147">
        <f t="shared" si="56"/>
        <v>0</v>
      </c>
      <c r="M146" s="147">
        <f t="shared" si="44"/>
        <v>0</v>
      </c>
      <c r="N146" s="147">
        <f t="shared" si="45"/>
        <v>0</v>
      </c>
      <c r="O146" s="147">
        <f t="shared" si="46"/>
        <v>0</v>
      </c>
      <c r="P146" s="147">
        <f t="shared" si="47"/>
        <v>0</v>
      </c>
      <c r="Q146" s="147">
        <f t="shared" si="48"/>
        <v>0</v>
      </c>
      <c r="R146" s="147">
        <f t="shared" si="49"/>
        <v>0</v>
      </c>
      <c r="S146" s="147">
        <f t="shared" si="50"/>
        <v>0</v>
      </c>
      <c r="T146" s="147">
        <f t="shared" si="51"/>
        <v>0</v>
      </c>
      <c r="U146" s="147">
        <f t="shared" si="52"/>
        <v>0</v>
      </c>
      <c r="V146" s="147">
        <f t="shared" si="53"/>
        <v>1</v>
      </c>
      <c r="W146" s="129">
        <v>0</v>
      </c>
      <c r="X146" s="144" t="str">
        <f t="shared" si="54"/>
        <v>WEEKDAY</v>
      </c>
      <c r="Y146" s="148">
        <v>4.8666666666666663</v>
      </c>
      <c r="Z146" s="144" t="s">
        <v>55</v>
      </c>
      <c r="AA146" s="149">
        <v>1065.5</v>
      </c>
      <c r="AB146" s="149">
        <v>208.52860799999999</v>
      </c>
      <c r="AC146" s="149">
        <v>218.93835616438358</v>
      </c>
      <c r="AD146" s="156">
        <v>42.848344109589043</v>
      </c>
      <c r="AE146" s="149" t="str">
        <f>IFERROR(_xlfn.XLOOKUP(DATA_MASTER[[#This Row],[DATE]],RODEO[DATE],RODEO[ARTIST]),"")</f>
        <v/>
      </c>
      <c r="AF146" s="172">
        <f>IF(DATA_MASTER[[#This Row],[RODEO_ARTIST]]="",0,1)</f>
        <v>0</v>
      </c>
      <c r="AG146" t="str">
        <f>IFERROR(RIGHT(_xlfn.XLOOKUP(DATA_MASTER[[#This Row],[DATE]],ASTROS[DATE],ASTROS[OPPONENT]),LEN(_xlfn.XLOOKUP(DATA_MASTER[[#This Row],[DATE]],ASTROS[DATE],ASTROS[OPPONENT]))-3),"NO GAME")</f>
        <v>NO GAME</v>
      </c>
      <c r="AH146">
        <f>IF(DATA_MASTER[[#This Row],[ASTROS_GAME]]="NO GAME",0,1)</f>
        <v>0</v>
      </c>
      <c r="AI146">
        <f>_xlfn.XLOOKUP(DATA_MASTER[[#This Row],[DATE]],WEATHER[DATE],WEATHER[tempmax])</f>
        <v>63.5</v>
      </c>
      <c r="AJ146">
        <f>_xlfn.XLOOKUP(DATA_MASTER[[#This Row],[DATE]],WEATHER[DATE],WEATHER[precip])</f>
        <v>0</v>
      </c>
    </row>
    <row r="147" spans="1:46" x14ac:dyDescent="0.35">
      <c r="A147" s="155">
        <v>45287</v>
      </c>
      <c r="B147" s="144" t="s">
        <v>46</v>
      </c>
      <c r="C147" s="144" t="s">
        <v>44</v>
      </c>
      <c r="D147" s="144" t="s">
        <v>59</v>
      </c>
      <c r="E147" s="145">
        <f t="shared" si="55"/>
        <v>1</v>
      </c>
      <c r="F147" s="146">
        <f t="shared" si="38"/>
        <v>0</v>
      </c>
      <c r="G147" s="146">
        <f t="shared" si="39"/>
        <v>0</v>
      </c>
      <c r="H147" s="146">
        <f t="shared" si="40"/>
        <v>1</v>
      </c>
      <c r="I147" s="146">
        <f t="shared" si="41"/>
        <v>0</v>
      </c>
      <c r="J147" s="146">
        <f t="shared" si="42"/>
        <v>0</v>
      </c>
      <c r="K147" s="146">
        <f t="shared" si="43"/>
        <v>0</v>
      </c>
      <c r="L147" s="147">
        <f t="shared" si="56"/>
        <v>0</v>
      </c>
      <c r="M147" s="147">
        <f t="shared" si="44"/>
        <v>0</v>
      </c>
      <c r="N147" s="147">
        <f t="shared" si="45"/>
        <v>0</v>
      </c>
      <c r="O147" s="147">
        <f t="shared" si="46"/>
        <v>0</v>
      </c>
      <c r="P147" s="147">
        <f t="shared" si="47"/>
        <v>0</v>
      </c>
      <c r="Q147" s="147">
        <f t="shared" si="48"/>
        <v>0</v>
      </c>
      <c r="R147" s="147">
        <f t="shared" si="49"/>
        <v>0</v>
      </c>
      <c r="S147" s="147">
        <f t="shared" si="50"/>
        <v>0</v>
      </c>
      <c r="T147" s="147">
        <f t="shared" si="51"/>
        <v>0</v>
      </c>
      <c r="U147" s="147">
        <f t="shared" si="52"/>
        <v>0</v>
      </c>
      <c r="V147" s="147">
        <f t="shared" si="53"/>
        <v>1</v>
      </c>
      <c r="W147" s="129">
        <v>0</v>
      </c>
      <c r="X147" s="144" t="str">
        <f t="shared" si="54"/>
        <v>WEEKDAY</v>
      </c>
      <c r="Y147" s="148">
        <v>4.416666666666667</v>
      </c>
      <c r="Z147" s="144" t="s">
        <v>55</v>
      </c>
      <c r="AA147" s="149">
        <v>1625.5</v>
      </c>
      <c r="AB147" s="149">
        <v>286.64925200000005</v>
      </c>
      <c r="AC147" s="149">
        <v>368.03773584905656</v>
      </c>
      <c r="AD147" s="156">
        <v>64.901717433962276</v>
      </c>
      <c r="AE147" s="149" t="str">
        <f>IFERROR(_xlfn.XLOOKUP(DATA_MASTER[[#This Row],[DATE]],RODEO[DATE],RODEO[ARTIST]),"")</f>
        <v/>
      </c>
      <c r="AF147" s="172">
        <f>IF(DATA_MASTER[[#This Row],[RODEO_ARTIST]]="",0,1)</f>
        <v>0</v>
      </c>
      <c r="AG147" t="str">
        <f>IFERROR(RIGHT(_xlfn.XLOOKUP(DATA_MASTER[[#This Row],[DATE]],ASTROS[DATE],ASTROS[OPPONENT]),LEN(_xlfn.XLOOKUP(DATA_MASTER[[#This Row],[DATE]],ASTROS[DATE],ASTROS[OPPONENT]))-3),"NO GAME")</f>
        <v>NO GAME</v>
      </c>
      <c r="AH147">
        <f>IF(DATA_MASTER[[#This Row],[ASTROS_GAME]]="NO GAME",0,1)</f>
        <v>0</v>
      </c>
      <c r="AI147">
        <f>_xlfn.XLOOKUP(DATA_MASTER[[#This Row],[DATE]],WEATHER[DATE],WEATHER[tempmax])</f>
        <v>63.5</v>
      </c>
      <c r="AJ147">
        <f>_xlfn.XLOOKUP(DATA_MASTER[[#This Row],[DATE]],WEATHER[DATE],WEATHER[precip])</f>
        <v>0</v>
      </c>
    </row>
    <row r="148" spans="1:46" x14ac:dyDescent="0.35">
      <c r="A148" s="155">
        <v>45289</v>
      </c>
      <c r="B148" s="144" t="s">
        <v>46</v>
      </c>
      <c r="C148" s="144" t="s">
        <v>48</v>
      </c>
      <c r="D148" s="144" t="s">
        <v>59</v>
      </c>
      <c r="E148" s="145">
        <f t="shared" si="55"/>
        <v>1</v>
      </c>
      <c r="F148" s="146">
        <f t="shared" si="38"/>
        <v>0</v>
      </c>
      <c r="G148" s="146">
        <f t="shared" si="39"/>
        <v>0</v>
      </c>
      <c r="H148" s="146">
        <f t="shared" si="40"/>
        <v>0</v>
      </c>
      <c r="I148" s="146">
        <f t="shared" si="41"/>
        <v>0</v>
      </c>
      <c r="J148" s="146">
        <f t="shared" si="42"/>
        <v>1</v>
      </c>
      <c r="K148" s="146">
        <f t="shared" si="43"/>
        <v>0</v>
      </c>
      <c r="L148" s="147">
        <f t="shared" si="56"/>
        <v>0</v>
      </c>
      <c r="M148" s="147">
        <f t="shared" si="44"/>
        <v>0</v>
      </c>
      <c r="N148" s="147">
        <f t="shared" si="45"/>
        <v>0</v>
      </c>
      <c r="O148" s="147">
        <f t="shared" si="46"/>
        <v>0</v>
      </c>
      <c r="P148" s="147">
        <f t="shared" si="47"/>
        <v>0</v>
      </c>
      <c r="Q148" s="147">
        <f t="shared" si="48"/>
        <v>0</v>
      </c>
      <c r="R148" s="147">
        <f t="shared" si="49"/>
        <v>0</v>
      </c>
      <c r="S148" s="147">
        <f t="shared" si="50"/>
        <v>0</v>
      </c>
      <c r="T148" s="147">
        <f t="shared" si="51"/>
        <v>0</v>
      </c>
      <c r="U148" s="147">
        <f t="shared" si="52"/>
        <v>0</v>
      </c>
      <c r="V148" s="147">
        <f t="shared" si="53"/>
        <v>1</v>
      </c>
      <c r="W148" s="129">
        <v>1</v>
      </c>
      <c r="X148" s="144" t="str">
        <f t="shared" si="54"/>
        <v>WEEKEND</v>
      </c>
      <c r="Y148" s="148">
        <v>5.0333333333333332</v>
      </c>
      <c r="Z148" s="144" t="s">
        <v>45</v>
      </c>
      <c r="AA148" s="149">
        <v>1304</v>
      </c>
      <c r="AB148" s="149">
        <v>216.11023999999998</v>
      </c>
      <c r="AC148" s="149">
        <v>259.07284768211923</v>
      </c>
      <c r="AD148" s="156">
        <v>42.935809271523176</v>
      </c>
      <c r="AE148" s="149" t="str">
        <f>IFERROR(_xlfn.XLOOKUP(DATA_MASTER[[#This Row],[DATE]],RODEO[DATE],RODEO[ARTIST]),"")</f>
        <v/>
      </c>
      <c r="AF148" s="172">
        <f>IF(DATA_MASTER[[#This Row],[RODEO_ARTIST]]="",0,1)</f>
        <v>0</v>
      </c>
      <c r="AG148" t="str">
        <f>IFERROR(RIGHT(_xlfn.XLOOKUP(DATA_MASTER[[#This Row],[DATE]],ASTROS[DATE],ASTROS[OPPONENT]),LEN(_xlfn.XLOOKUP(DATA_MASTER[[#This Row],[DATE]],ASTROS[DATE],ASTROS[OPPONENT]))-3),"NO GAME")</f>
        <v>NO GAME</v>
      </c>
      <c r="AH148">
        <f>IF(DATA_MASTER[[#This Row],[ASTROS_GAME]]="NO GAME",0,1)</f>
        <v>0</v>
      </c>
      <c r="AI148">
        <f>_xlfn.XLOOKUP(DATA_MASTER[[#This Row],[DATE]],WEATHER[DATE],WEATHER[tempmax])</f>
        <v>53.7</v>
      </c>
      <c r="AJ148">
        <f>_xlfn.XLOOKUP(DATA_MASTER[[#This Row],[DATE]],WEATHER[DATE],WEATHER[precip])</f>
        <v>0</v>
      </c>
    </row>
    <row r="149" spans="1:46" x14ac:dyDescent="0.35">
      <c r="A149" s="155">
        <v>45290</v>
      </c>
      <c r="B149" s="144" t="s">
        <v>46</v>
      </c>
      <c r="C149" s="144" t="s">
        <v>49</v>
      </c>
      <c r="D149" s="144" t="s">
        <v>59</v>
      </c>
      <c r="E149" s="145">
        <f t="shared" si="55"/>
        <v>1</v>
      </c>
      <c r="F149" s="146">
        <f t="shared" si="38"/>
        <v>0</v>
      </c>
      <c r="G149" s="146">
        <f t="shared" si="39"/>
        <v>0</v>
      </c>
      <c r="H149" s="146">
        <f t="shared" si="40"/>
        <v>0</v>
      </c>
      <c r="I149" s="146">
        <f t="shared" si="41"/>
        <v>0</v>
      </c>
      <c r="J149" s="146">
        <f t="shared" si="42"/>
        <v>0</v>
      </c>
      <c r="K149" s="146">
        <f t="shared" si="43"/>
        <v>1</v>
      </c>
      <c r="L149" s="147">
        <f t="shared" si="56"/>
        <v>0</v>
      </c>
      <c r="M149" s="147">
        <f t="shared" si="44"/>
        <v>0</v>
      </c>
      <c r="N149" s="147">
        <f t="shared" si="45"/>
        <v>0</v>
      </c>
      <c r="O149" s="147">
        <f t="shared" si="46"/>
        <v>0</v>
      </c>
      <c r="P149" s="147">
        <f t="shared" si="47"/>
        <v>0</v>
      </c>
      <c r="Q149" s="147">
        <f t="shared" si="48"/>
        <v>0</v>
      </c>
      <c r="R149" s="147">
        <f t="shared" si="49"/>
        <v>0</v>
      </c>
      <c r="S149" s="147">
        <f t="shared" si="50"/>
        <v>0</v>
      </c>
      <c r="T149" s="147">
        <f t="shared" si="51"/>
        <v>0</v>
      </c>
      <c r="U149" s="147">
        <f t="shared" si="52"/>
        <v>0</v>
      </c>
      <c r="V149" s="147">
        <f t="shared" si="53"/>
        <v>1</v>
      </c>
      <c r="W149" s="129">
        <v>1</v>
      </c>
      <c r="X149" s="144" t="str">
        <f t="shared" si="54"/>
        <v>WEEKEND</v>
      </c>
      <c r="Y149" s="148">
        <v>4.9000000000000004</v>
      </c>
      <c r="Z149" s="144" t="s">
        <v>45</v>
      </c>
      <c r="AA149" s="149">
        <v>1261</v>
      </c>
      <c r="AB149" s="149">
        <v>193.792216</v>
      </c>
      <c r="AC149" s="149">
        <v>257.34693877551018</v>
      </c>
      <c r="AD149" s="156">
        <v>39.549431836734691</v>
      </c>
      <c r="AE149" s="149" t="str">
        <f>IFERROR(_xlfn.XLOOKUP(DATA_MASTER[[#This Row],[DATE]],RODEO[DATE],RODEO[ARTIST]),"")</f>
        <v/>
      </c>
      <c r="AF149" s="172">
        <f>IF(DATA_MASTER[[#This Row],[RODEO_ARTIST]]="",0,1)</f>
        <v>0</v>
      </c>
      <c r="AG149" t="str">
        <f>IFERROR(RIGHT(_xlfn.XLOOKUP(DATA_MASTER[[#This Row],[DATE]],ASTROS[DATE],ASTROS[OPPONENT]),LEN(_xlfn.XLOOKUP(DATA_MASTER[[#This Row],[DATE]],ASTROS[DATE],ASTROS[OPPONENT]))-3),"NO GAME")</f>
        <v>NO GAME</v>
      </c>
      <c r="AH149">
        <f>IF(DATA_MASTER[[#This Row],[ASTROS_GAME]]="NO GAME",0,1)</f>
        <v>0</v>
      </c>
      <c r="AI149">
        <f>_xlfn.XLOOKUP(DATA_MASTER[[#This Row],[DATE]],WEATHER[DATE],WEATHER[tempmax])</f>
        <v>64.5</v>
      </c>
      <c r="AJ149">
        <f>_xlfn.XLOOKUP(DATA_MASTER[[#This Row],[DATE]],WEATHER[DATE],WEATHER[precip])</f>
        <v>0</v>
      </c>
    </row>
    <row r="150" spans="1:46" x14ac:dyDescent="0.35">
      <c r="A150" s="155">
        <v>45292</v>
      </c>
      <c r="B150" s="144" t="s">
        <v>42</v>
      </c>
      <c r="C150" s="144" t="s">
        <v>51</v>
      </c>
      <c r="D150" s="144" t="s">
        <v>60</v>
      </c>
      <c r="E150" s="145">
        <f t="shared" si="55"/>
        <v>0</v>
      </c>
      <c r="F150" s="146">
        <f t="shared" si="38"/>
        <v>0</v>
      </c>
      <c r="G150" s="146">
        <f t="shared" si="39"/>
        <v>1</v>
      </c>
      <c r="H150" s="146">
        <f t="shared" si="40"/>
        <v>0</v>
      </c>
      <c r="I150" s="146">
        <f t="shared" si="41"/>
        <v>0</v>
      </c>
      <c r="J150" s="146">
        <f t="shared" si="42"/>
        <v>0</v>
      </c>
      <c r="K150" s="146">
        <f t="shared" si="43"/>
        <v>0</v>
      </c>
      <c r="L150" s="147">
        <f t="shared" si="56"/>
        <v>1</v>
      </c>
      <c r="M150" s="147">
        <f t="shared" si="44"/>
        <v>0</v>
      </c>
      <c r="N150" s="147">
        <f t="shared" si="45"/>
        <v>0</v>
      </c>
      <c r="O150" s="147">
        <f t="shared" si="46"/>
        <v>0</v>
      </c>
      <c r="P150" s="147">
        <f t="shared" si="47"/>
        <v>0</v>
      </c>
      <c r="Q150" s="147">
        <f t="shared" si="48"/>
        <v>0</v>
      </c>
      <c r="R150" s="147">
        <f t="shared" si="49"/>
        <v>0</v>
      </c>
      <c r="S150" s="147">
        <f t="shared" si="50"/>
        <v>0</v>
      </c>
      <c r="T150" s="147">
        <f t="shared" si="51"/>
        <v>0</v>
      </c>
      <c r="U150" s="147">
        <f t="shared" si="52"/>
        <v>0</v>
      </c>
      <c r="V150" s="147">
        <f t="shared" si="53"/>
        <v>0</v>
      </c>
      <c r="W150" s="129">
        <v>0</v>
      </c>
      <c r="X150" s="144" t="str">
        <f t="shared" si="54"/>
        <v>WEEKDAY</v>
      </c>
      <c r="Y150" s="148">
        <v>3.3833333333333333</v>
      </c>
      <c r="Z150" s="144" t="s">
        <v>55</v>
      </c>
      <c r="AA150" s="149">
        <v>298</v>
      </c>
      <c r="AB150" s="149">
        <v>59.834435999999997</v>
      </c>
      <c r="AC150" s="149">
        <v>88.078817733990149</v>
      </c>
      <c r="AD150" s="156">
        <v>17.685054975369457</v>
      </c>
      <c r="AE150" s="149" t="str">
        <f>IFERROR(_xlfn.XLOOKUP(DATA_MASTER[[#This Row],[DATE]],RODEO[DATE],RODEO[ARTIST]),"")</f>
        <v/>
      </c>
      <c r="AF150" s="172">
        <f>IF(DATA_MASTER[[#This Row],[RODEO_ARTIST]]="",0,1)</f>
        <v>0</v>
      </c>
      <c r="AG150" t="str">
        <f>IFERROR(RIGHT(_xlfn.XLOOKUP(DATA_MASTER[[#This Row],[DATE]],ASTROS[DATE],ASTROS[OPPONENT]),LEN(_xlfn.XLOOKUP(DATA_MASTER[[#This Row],[DATE]],ASTROS[DATE],ASTROS[OPPONENT]))-3),"NO GAME")</f>
        <v>NO GAME</v>
      </c>
      <c r="AH150">
        <f>IF(DATA_MASTER[[#This Row],[ASTROS_GAME]]="NO GAME",0,1)</f>
        <v>0</v>
      </c>
      <c r="AI150">
        <f>_xlfn.XLOOKUP(DATA_MASTER[[#This Row],[DATE]],WEATHER[DATE],WEATHER[tempmax])</f>
        <v>64.3</v>
      </c>
      <c r="AJ150">
        <f>_xlfn.XLOOKUP(DATA_MASTER[[#This Row],[DATE]],WEATHER[DATE],WEATHER[precip])</f>
        <v>1.008</v>
      </c>
    </row>
    <row r="151" spans="1:46" x14ac:dyDescent="0.35">
      <c r="A151" s="155">
        <v>45292</v>
      </c>
      <c r="B151" s="144" t="s">
        <v>46</v>
      </c>
      <c r="C151" s="144" t="s">
        <v>51</v>
      </c>
      <c r="D151" s="144" t="s">
        <v>60</v>
      </c>
      <c r="E151" s="145">
        <f t="shared" si="55"/>
        <v>1</v>
      </c>
      <c r="F151" s="146">
        <f t="shared" si="38"/>
        <v>0</v>
      </c>
      <c r="G151" s="146">
        <f t="shared" si="39"/>
        <v>1</v>
      </c>
      <c r="H151" s="146">
        <f t="shared" si="40"/>
        <v>0</v>
      </c>
      <c r="I151" s="146">
        <f t="shared" si="41"/>
        <v>0</v>
      </c>
      <c r="J151" s="146">
        <f t="shared" si="42"/>
        <v>0</v>
      </c>
      <c r="K151" s="146">
        <f t="shared" si="43"/>
        <v>0</v>
      </c>
      <c r="L151" s="147">
        <f t="shared" si="56"/>
        <v>1</v>
      </c>
      <c r="M151" s="147">
        <f t="shared" si="44"/>
        <v>0</v>
      </c>
      <c r="N151" s="147">
        <f t="shared" si="45"/>
        <v>0</v>
      </c>
      <c r="O151" s="147">
        <f t="shared" si="46"/>
        <v>0</v>
      </c>
      <c r="P151" s="147">
        <f t="shared" si="47"/>
        <v>0</v>
      </c>
      <c r="Q151" s="147">
        <f t="shared" si="48"/>
        <v>0</v>
      </c>
      <c r="R151" s="147">
        <f t="shared" si="49"/>
        <v>0</v>
      </c>
      <c r="S151" s="147">
        <f t="shared" si="50"/>
        <v>0</v>
      </c>
      <c r="T151" s="147">
        <f t="shared" si="51"/>
        <v>0</v>
      </c>
      <c r="U151" s="147">
        <f t="shared" si="52"/>
        <v>0</v>
      </c>
      <c r="V151" s="147">
        <f t="shared" si="53"/>
        <v>0</v>
      </c>
      <c r="W151" s="129">
        <v>0</v>
      </c>
      <c r="X151" s="144" t="str">
        <f t="shared" si="54"/>
        <v>WEEKDAY</v>
      </c>
      <c r="Y151" s="148">
        <v>3.7166666666666668</v>
      </c>
      <c r="Z151" s="144" t="s">
        <v>55</v>
      </c>
      <c r="AA151" s="149">
        <v>946.5</v>
      </c>
      <c r="AB151" s="149">
        <v>167.03622000000001</v>
      </c>
      <c r="AC151" s="149">
        <v>254.66367713004485</v>
      </c>
      <c r="AD151" s="156">
        <v>44.942480717488792</v>
      </c>
      <c r="AE151" s="149" t="str">
        <f>IFERROR(_xlfn.XLOOKUP(DATA_MASTER[[#This Row],[DATE]],RODEO[DATE],RODEO[ARTIST]),"")</f>
        <v/>
      </c>
      <c r="AF151" s="172">
        <f>IF(DATA_MASTER[[#This Row],[RODEO_ARTIST]]="",0,1)</f>
        <v>0</v>
      </c>
      <c r="AG151" t="str">
        <f>IFERROR(RIGHT(_xlfn.XLOOKUP(DATA_MASTER[[#This Row],[DATE]],ASTROS[DATE],ASTROS[OPPONENT]),LEN(_xlfn.XLOOKUP(DATA_MASTER[[#This Row],[DATE]],ASTROS[DATE],ASTROS[OPPONENT]))-3),"NO GAME")</f>
        <v>NO GAME</v>
      </c>
      <c r="AH151">
        <f>IF(DATA_MASTER[[#This Row],[ASTROS_GAME]]="NO GAME",0,1)</f>
        <v>0</v>
      </c>
      <c r="AI151">
        <f>_xlfn.XLOOKUP(DATA_MASTER[[#This Row],[DATE]],WEATHER[DATE],WEATHER[tempmax])</f>
        <v>64.3</v>
      </c>
      <c r="AJ151">
        <f>_xlfn.XLOOKUP(DATA_MASTER[[#This Row],[DATE]],WEATHER[DATE],WEATHER[precip])</f>
        <v>1.008</v>
      </c>
    </row>
    <row r="152" spans="1:46" x14ac:dyDescent="0.35">
      <c r="A152" s="155">
        <v>45294</v>
      </c>
      <c r="B152" s="144" t="s">
        <v>46</v>
      </c>
      <c r="C152" s="144" t="s">
        <v>44</v>
      </c>
      <c r="D152" s="144" t="s">
        <v>60</v>
      </c>
      <c r="E152" s="145">
        <f t="shared" si="55"/>
        <v>1</v>
      </c>
      <c r="F152" s="146">
        <f t="shared" si="38"/>
        <v>0</v>
      </c>
      <c r="G152" s="146">
        <f t="shared" si="39"/>
        <v>0</v>
      </c>
      <c r="H152" s="146">
        <f t="shared" si="40"/>
        <v>1</v>
      </c>
      <c r="I152" s="146">
        <f t="shared" si="41"/>
        <v>0</v>
      </c>
      <c r="J152" s="146">
        <f t="shared" si="42"/>
        <v>0</v>
      </c>
      <c r="K152" s="146">
        <f t="shared" si="43"/>
        <v>0</v>
      </c>
      <c r="L152" s="147">
        <f t="shared" si="56"/>
        <v>1</v>
      </c>
      <c r="M152" s="147">
        <f t="shared" si="44"/>
        <v>0</v>
      </c>
      <c r="N152" s="147">
        <f t="shared" si="45"/>
        <v>0</v>
      </c>
      <c r="O152" s="147">
        <f t="shared" si="46"/>
        <v>0</v>
      </c>
      <c r="P152" s="147">
        <f t="shared" si="47"/>
        <v>0</v>
      </c>
      <c r="Q152" s="147">
        <f t="shared" si="48"/>
        <v>0</v>
      </c>
      <c r="R152" s="147">
        <f t="shared" si="49"/>
        <v>0</v>
      </c>
      <c r="S152" s="147">
        <f t="shared" si="50"/>
        <v>0</v>
      </c>
      <c r="T152" s="147">
        <f t="shared" si="51"/>
        <v>0</v>
      </c>
      <c r="U152" s="147">
        <f t="shared" si="52"/>
        <v>0</v>
      </c>
      <c r="V152" s="147">
        <f t="shared" si="53"/>
        <v>0</v>
      </c>
      <c r="W152" s="129">
        <v>0</v>
      </c>
      <c r="X152" s="144" t="str">
        <f t="shared" si="54"/>
        <v>WEEKDAY</v>
      </c>
      <c r="Y152" s="148">
        <v>6.4333333333333336</v>
      </c>
      <c r="Z152" s="144" t="s">
        <v>45</v>
      </c>
      <c r="AA152" s="149">
        <v>1426.5</v>
      </c>
      <c r="AB152" s="149">
        <v>258.35831999999999</v>
      </c>
      <c r="AC152" s="149">
        <v>221.73575129533677</v>
      </c>
      <c r="AD152" s="156">
        <v>40.159324352331602</v>
      </c>
      <c r="AE152" s="149" t="str">
        <f>IFERROR(_xlfn.XLOOKUP(DATA_MASTER[[#This Row],[DATE]],RODEO[DATE],RODEO[ARTIST]),"")</f>
        <v/>
      </c>
      <c r="AF152" s="172">
        <f>IF(DATA_MASTER[[#This Row],[RODEO_ARTIST]]="",0,1)</f>
        <v>0</v>
      </c>
      <c r="AG152" t="str">
        <f>IFERROR(RIGHT(_xlfn.XLOOKUP(DATA_MASTER[[#This Row],[DATE]],ASTROS[DATE],ASTROS[OPPONENT]),LEN(_xlfn.XLOOKUP(DATA_MASTER[[#This Row],[DATE]],ASTROS[DATE],ASTROS[OPPONENT]))-3),"NO GAME")</f>
        <v>NO GAME</v>
      </c>
      <c r="AH152">
        <f>IF(DATA_MASTER[[#This Row],[ASTROS_GAME]]="NO GAME",0,1)</f>
        <v>0</v>
      </c>
      <c r="AI152">
        <f>_xlfn.XLOOKUP(DATA_MASTER[[#This Row],[DATE]],WEATHER[DATE],WEATHER[tempmax])</f>
        <v>57.2</v>
      </c>
      <c r="AJ152">
        <f>_xlfn.XLOOKUP(DATA_MASTER[[#This Row],[DATE]],WEATHER[DATE],WEATHER[precip])</f>
        <v>0.71399999999999997</v>
      </c>
    </row>
    <row r="153" spans="1:46" x14ac:dyDescent="0.35">
      <c r="A153" s="155">
        <v>45296</v>
      </c>
      <c r="B153" s="144" t="s">
        <v>46</v>
      </c>
      <c r="C153" s="144" t="s">
        <v>48</v>
      </c>
      <c r="D153" s="144" t="s">
        <v>60</v>
      </c>
      <c r="E153" s="145">
        <f t="shared" si="55"/>
        <v>1</v>
      </c>
      <c r="F153" s="146">
        <f t="shared" si="38"/>
        <v>0</v>
      </c>
      <c r="G153" s="146">
        <f t="shared" si="39"/>
        <v>0</v>
      </c>
      <c r="H153" s="146">
        <f t="shared" si="40"/>
        <v>0</v>
      </c>
      <c r="I153" s="146">
        <f t="shared" si="41"/>
        <v>0</v>
      </c>
      <c r="J153" s="146">
        <f t="shared" si="42"/>
        <v>1</v>
      </c>
      <c r="K153" s="146">
        <f t="shared" si="43"/>
        <v>0</v>
      </c>
      <c r="L153" s="147">
        <f t="shared" si="56"/>
        <v>1</v>
      </c>
      <c r="M153" s="147">
        <f t="shared" si="44"/>
        <v>0</v>
      </c>
      <c r="N153" s="147">
        <f t="shared" si="45"/>
        <v>0</v>
      </c>
      <c r="O153" s="147">
        <f t="shared" si="46"/>
        <v>0</v>
      </c>
      <c r="P153" s="147">
        <f t="shared" si="47"/>
        <v>0</v>
      </c>
      <c r="Q153" s="147">
        <f t="shared" si="48"/>
        <v>0</v>
      </c>
      <c r="R153" s="147">
        <f t="shared" si="49"/>
        <v>0</v>
      </c>
      <c r="S153" s="147">
        <f t="shared" si="50"/>
        <v>0</v>
      </c>
      <c r="T153" s="147">
        <f t="shared" si="51"/>
        <v>0</v>
      </c>
      <c r="U153" s="147">
        <f t="shared" si="52"/>
        <v>0</v>
      </c>
      <c r="V153" s="147">
        <f t="shared" si="53"/>
        <v>0</v>
      </c>
      <c r="W153" s="129">
        <v>1</v>
      </c>
      <c r="X153" s="144" t="str">
        <f t="shared" si="54"/>
        <v>WEEKEND</v>
      </c>
      <c r="Y153" s="148">
        <v>4.8</v>
      </c>
      <c r="Z153" s="144" t="s">
        <v>45</v>
      </c>
      <c r="AA153" s="149">
        <v>1373.5</v>
      </c>
      <c r="AB153" s="149">
        <v>213.26584799999998</v>
      </c>
      <c r="AC153" s="149">
        <v>286.14583333333337</v>
      </c>
      <c r="AD153" s="156">
        <v>44.430384999999994</v>
      </c>
      <c r="AE153" s="149" t="str">
        <f>IFERROR(_xlfn.XLOOKUP(DATA_MASTER[[#This Row],[DATE]],RODEO[DATE],RODEO[ARTIST]),"")</f>
        <v/>
      </c>
      <c r="AF153" s="172">
        <f>IF(DATA_MASTER[[#This Row],[RODEO_ARTIST]]="",0,1)</f>
        <v>0</v>
      </c>
      <c r="AG153" t="str">
        <f>IFERROR(RIGHT(_xlfn.XLOOKUP(DATA_MASTER[[#This Row],[DATE]],ASTROS[DATE],ASTROS[OPPONENT]),LEN(_xlfn.XLOOKUP(DATA_MASTER[[#This Row],[DATE]],ASTROS[DATE],ASTROS[OPPONENT]))-3),"NO GAME")</f>
        <v>NO GAME</v>
      </c>
      <c r="AH153">
        <f>IF(DATA_MASTER[[#This Row],[ASTROS_GAME]]="NO GAME",0,1)</f>
        <v>0</v>
      </c>
      <c r="AI153">
        <f>_xlfn.XLOOKUP(DATA_MASTER[[#This Row],[DATE]],WEATHER[DATE],WEATHER[tempmax])</f>
        <v>60.9</v>
      </c>
      <c r="AJ153">
        <f>_xlfn.XLOOKUP(DATA_MASTER[[#This Row],[DATE]],WEATHER[DATE],WEATHER[precip])</f>
        <v>1.109</v>
      </c>
    </row>
    <row r="154" spans="1:46" x14ac:dyDescent="0.35">
      <c r="A154" s="155">
        <v>45297</v>
      </c>
      <c r="B154" s="144" t="s">
        <v>46</v>
      </c>
      <c r="C154" s="144" t="s">
        <v>49</v>
      </c>
      <c r="D154" s="144" t="s">
        <v>60</v>
      </c>
      <c r="E154" s="145">
        <f t="shared" si="55"/>
        <v>1</v>
      </c>
      <c r="F154" s="146">
        <f t="shared" si="38"/>
        <v>0</v>
      </c>
      <c r="G154" s="146">
        <f t="shared" si="39"/>
        <v>0</v>
      </c>
      <c r="H154" s="146">
        <f t="shared" si="40"/>
        <v>0</v>
      </c>
      <c r="I154" s="146">
        <f t="shared" si="41"/>
        <v>0</v>
      </c>
      <c r="J154" s="146">
        <f t="shared" si="42"/>
        <v>0</v>
      </c>
      <c r="K154" s="146">
        <f t="shared" si="43"/>
        <v>1</v>
      </c>
      <c r="L154" s="147">
        <f t="shared" si="56"/>
        <v>1</v>
      </c>
      <c r="M154" s="147">
        <f t="shared" si="44"/>
        <v>0</v>
      </c>
      <c r="N154" s="147">
        <f t="shared" si="45"/>
        <v>0</v>
      </c>
      <c r="O154" s="147">
        <f t="shared" si="46"/>
        <v>0</v>
      </c>
      <c r="P154" s="147">
        <f t="shared" si="47"/>
        <v>0</v>
      </c>
      <c r="Q154" s="147">
        <f t="shared" si="48"/>
        <v>0</v>
      </c>
      <c r="R154" s="147">
        <f t="shared" si="49"/>
        <v>0</v>
      </c>
      <c r="S154" s="147">
        <f t="shared" si="50"/>
        <v>0</v>
      </c>
      <c r="T154" s="147">
        <f t="shared" si="51"/>
        <v>0</v>
      </c>
      <c r="U154" s="147">
        <f t="shared" si="52"/>
        <v>0</v>
      </c>
      <c r="V154" s="147">
        <f t="shared" si="53"/>
        <v>0</v>
      </c>
      <c r="W154" s="129">
        <v>1</v>
      </c>
      <c r="X154" s="144" t="str">
        <f t="shared" si="54"/>
        <v>WEEKEND</v>
      </c>
      <c r="Y154" s="148">
        <v>5.4333333333333336</v>
      </c>
      <c r="Z154" s="144" t="s">
        <v>45</v>
      </c>
      <c r="AA154" s="149">
        <v>1280</v>
      </c>
      <c r="AB154" s="149">
        <v>197.23952</v>
      </c>
      <c r="AC154" s="149">
        <v>235.58282208588955</v>
      </c>
      <c r="AD154" s="156">
        <v>36.301752147239263</v>
      </c>
      <c r="AE154" s="149" t="str">
        <f>IFERROR(_xlfn.XLOOKUP(DATA_MASTER[[#This Row],[DATE]],RODEO[DATE],RODEO[ARTIST]),"")</f>
        <v/>
      </c>
      <c r="AF154" s="172">
        <f>IF(DATA_MASTER[[#This Row],[RODEO_ARTIST]]="",0,1)</f>
        <v>0</v>
      </c>
      <c r="AG154" t="str">
        <f>IFERROR(RIGHT(_xlfn.XLOOKUP(DATA_MASTER[[#This Row],[DATE]],ASTROS[DATE],ASTROS[OPPONENT]),LEN(_xlfn.XLOOKUP(DATA_MASTER[[#This Row],[DATE]],ASTROS[DATE],ASTROS[OPPONENT]))-3),"NO GAME")</f>
        <v>NO GAME</v>
      </c>
      <c r="AH154">
        <f>IF(DATA_MASTER[[#This Row],[ASTROS_GAME]]="NO GAME",0,1)</f>
        <v>0</v>
      </c>
      <c r="AI154">
        <f>_xlfn.XLOOKUP(DATA_MASTER[[#This Row],[DATE]],WEATHER[DATE],WEATHER[tempmax])</f>
        <v>60.9</v>
      </c>
      <c r="AJ154">
        <f>_xlfn.XLOOKUP(DATA_MASTER[[#This Row],[DATE]],WEATHER[DATE],WEATHER[precip])</f>
        <v>0</v>
      </c>
      <c r="AT154" s="125"/>
    </row>
    <row r="155" spans="1:46" x14ac:dyDescent="0.35">
      <c r="A155" s="155">
        <v>45298</v>
      </c>
      <c r="B155" s="144" t="s">
        <v>46</v>
      </c>
      <c r="C155" s="144" t="s">
        <v>50</v>
      </c>
      <c r="D155" s="144" t="s">
        <v>60</v>
      </c>
      <c r="E155" s="145">
        <f t="shared" si="55"/>
        <v>1</v>
      </c>
      <c r="F155" s="146">
        <f t="shared" si="38"/>
        <v>1</v>
      </c>
      <c r="G155" s="146">
        <f t="shared" si="39"/>
        <v>0</v>
      </c>
      <c r="H155" s="146">
        <f t="shared" si="40"/>
        <v>0</v>
      </c>
      <c r="I155" s="146">
        <f t="shared" si="41"/>
        <v>0</v>
      </c>
      <c r="J155" s="146">
        <f t="shared" si="42"/>
        <v>0</v>
      </c>
      <c r="K155" s="146">
        <f t="shared" si="43"/>
        <v>0</v>
      </c>
      <c r="L155" s="147">
        <f t="shared" si="56"/>
        <v>1</v>
      </c>
      <c r="M155" s="147">
        <f t="shared" si="44"/>
        <v>0</v>
      </c>
      <c r="N155" s="147">
        <f t="shared" si="45"/>
        <v>0</v>
      </c>
      <c r="O155" s="147">
        <f t="shared" si="46"/>
        <v>0</v>
      </c>
      <c r="P155" s="147">
        <f t="shared" si="47"/>
        <v>0</v>
      </c>
      <c r="Q155" s="147">
        <f t="shared" si="48"/>
        <v>0</v>
      </c>
      <c r="R155" s="147">
        <f t="shared" si="49"/>
        <v>0</v>
      </c>
      <c r="S155" s="147">
        <f t="shared" si="50"/>
        <v>0</v>
      </c>
      <c r="T155" s="147">
        <f t="shared" si="51"/>
        <v>0</v>
      </c>
      <c r="U155" s="147">
        <f t="shared" si="52"/>
        <v>0</v>
      </c>
      <c r="V155" s="147">
        <f t="shared" si="53"/>
        <v>0</v>
      </c>
      <c r="W155" s="129">
        <v>1</v>
      </c>
      <c r="X155" s="144" t="str">
        <f t="shared" si="54"/>
        <v>WEEKEND</v>
      </c>
      <c r="Y155" s="148">
        <v>5.2333333333333334</v>
      </c>
      <c r="Z155" s="144" t="s">
        <v>45</v>
      </c>
      <c r="AA155" s="149">
        <v>1389.5</v>
      </c>
      <c r="AB155" s="149">
        <v>233.85552799999999</v>
      </c>
      <c r="AC155" s="149">
        <v>265.50955414012736</v>
      </c>
      <c r="AD155" s="156">
        <v>44.685769681528662</v>
      </c>
      <c r="AE155" s="149" t="str">
        <f>IFERROR(_xlfn.XLOOKUP(DATA_MASTER[[#This Row],[DATE]],RODEO[DATE],RODEO[ARTIST]),"")</f>
        <v/>
      </c>
      <c r="AF155" s="172">
        <f>IF(DATA_MASTER[[#This Row],[RODEO_ARTIST]]="",0,1)</f>
        <v>0</v>
      </c>
      <c r="AG155" t="str">
        <f>IFERROR(RIGHT(_xlfn.XLOOKUP(DATA_MASTER[[#This Row],[DATE]],ASTROS[DATE],ASTROS[OPPONENT]),LEN(_xlfn.XLOOKUP(DATA_MASTER[[#This Row],[DATE]],ASTROS[DATE],ASTROS[OPPONENT]))-3),"NO GAME")</f>
        <v>NO GAME</v>
      </c>
      <c r="AH155">
        <f>IF(DATA_MASTER[[#This Row],[ASTROS_GAME]]="NO GAME",0,1)</f>
        <v>0</v>
      </c>
      <c r="AI155">
        <f>_xlfn.XLOOKUP(DATA_MASTER[[#This Row],[DATE]],WEATHER[DATE],WEATHER[tempmax])</f>
        <v>59.1</v>
      </c>
      <c r="AJ155">
        <f>_xlfn.XLOOKUP(DATA_MASTER[[#This Row],[DATE]],WEATHER[DATE],WEATHER[precip])</f>
        <v>0</v>
      </c>
    </row>
    <row r="156" spans="1:46" x14ac:dyDescent="0.35">
      <c r="A156" s="155">
        <v>45299</v>
      </c>
      <c r="B156" s="144" t="s">
        <v>46</v>
      </c>
      <c r="C156" s="144" t="s">
        <v>51</v>
      </c>
      <c r="D156" s="144" t="s">
        <v>60</v>
      </c>
      <c r="E156" s="145">
        <f t="shared" si="55"/>
        <v>1</v>
      </c>
      <c r="F156" s="146">
        <f t="shared" si="38"/>
        <v>0</v>
      </c>
      <c r="G156" s="146">
        <f t="shared" si="39"/>
        <v>1</v>
      </c>
      <c r="H156" s="146">
        <f t="shared" si="40"/>
        <v>0</v>
      </c>
      <c r="I156" s="146">
        <f t="shared" si="41"/>
        <v>0</v>
      </c>
      <c r="J156" s="146">
        <f t="shared" si="42"/>
        <v>0</v>
      </c>
      <c r="K156" s="146">
        <f t="shared" si="43"/>
        <v>0</v>
      </c>
      <c r="L156" s="147">
        <f t="shared" si="56"/>
        <v>1</v>
      </c>
      <c r="M156" s="147">
        <f t="shared" si="44"/>
        <v>0</v>
      </c>
      <c r="N156" s="147">
        <f t="shared" si="45"/>
        <v>0</v>
      </c>
      <c r="O156" s="147">
        <f t="shared" si="46"/>
        <v>0</v>
      </c>
      <c r="P156" s="147">
        <f t="shared" si="47"/>
        <v>0</v>
      </c>
      <c r="Q156" s="147">
        <f t="shared" si="48"/>
        <v>0</v>
      </c>
      <c r="R156" s="147">
        <f t="shared" si="49"/>
        <v>0</v>
      </c>
      <c r="S156" s="147">
        <f t="shared" si="50"/>
        <v>0</v>
      </c>
      <c r="T156" s="147">
        <f t="shared" si="51"/>
        <v>0</v>
      </c>
      <c r="U156" s="147">
        <f t="shared" si="52"/>
        <v>0</v>
      </c>
      <c r="V156" s="147">
        <f t="shared" si="53"/>
        <v>0</v>
      </c>
      <c r="W156" s="129">
        <v>0</v>
      </c>
      <c r="X156" s="144" t="str">
        <f t="shared" si="54"/>
        <v>WEEKDAY</v>
      </c>
      <c r="Y156" s="148">
        <v>6.1333333333333337</v>
      </c>
      <c r="Z156" s="144" t="s">
        <v>45</v>
      </c>
      <c r="AA156" s="149">
        <v>491.5</v>
      </c>
      <c r="AB156" s="149">
        <v>92.215599999999995</v>
      </c>
      <c r="AC156" s="149">
        <v>80.135869565217391</v>
      </c>
      <c r="AD156" s="156">
        <v>15.035152173913042</v>
      </c>
      <c r="AE156" s="149" t="str">
        <f>IFERROR(_xlfn.XLOOKUP(DATA_MASTER[[#This Row],[DATE]],RODEO[DATE],RODEO[ARTIST]),"")</f>
        <v/>
      </c>
      <c r="AF156" s="172">
        <f>IF(DATA_MASTER[[#This Row],[RODEO_ARTIST]]="",0,1)</f>
        <v>0</v>
      </c>
      <c r="AG156" t="str">
        <f>IFERROR(RIGHT(_xlfn.XLOOKUP(DATA_MASTER[[#This Row],[DATE]],ASTROS[DATE],ASTROS[OPPONENT]),LEN(_xlfn.XLOOKUP(DATA_MASTER[[#This Row],[DATE]],ASTROS[DATE],ASTROS[OPPONENT]))-3),"NO GAME")</f>
        <v>NO GAME</v>
      </c>
      <c r="AH156">
        <f>IF(DATA_MASTER[[#This Row],[ASTROS_GAME]]="NO GAME",0,1)</f>
        <v>0</v>
      </c>
      <c r="AI156">
        <f>_xlfn.XLOOKUP(DATA_MASTER[[#This Row],[DATE]],WEATHER[DATE],WEATHER[tempmax])</f>
        <v>73.400000000000006</v>
      </c>
      <c r="AJ156">
        <f>_xlfn.XLOOKUP(DATA_MASTER[[#This Row],[DATE]],WEATHER[DATE],WEATHER[precip])</f>
        <v>0.46200000000000002</v>
      </c>
    </row>
    <row r="157" spans="1:46" x14ac:dyDescent="0.35">
      <c r="A157" s="155">
        <v>45301</v>
      </c>
      <c r="B157" s="144" t="s">
        <v>46</v>
      </c>
      <c r="C157" s="144" t="s">
        <v>44</v>
      </c>
      <c r="D157" s="144" t="s">
        <v>60</v>
      </c>
      <c r="E157" s="145">
        <f t="shared" si="55"/>
        <v>1</v>
      </c>
      <c r="F157" s="146">
        <f t="shared" si="38"/>
        <v>0</v>
      </c>
      <c r="G157" s="146">
        <f t="shared" si="39"/>
        <v>0</v>
      </c>
      <c r="H157" s="146">
        <f t="shared" si="40"/>
        <v>1</v>
      </c>
      <c r="I157" s="146">
        <f t="shared" si="41"/>
        <v>0</v>
      </c>
      <c r="J157" s="146">
        <f t="shared" si="42"/>
        <v>0</v>
      </c>
      <c r="K157" s="146">
        <f t="shared" si="43"/>
        <v>0</v>
      </c>
      <c r="L157" s="147">
        <f t="shared" si="56"/>
        <v>1</v>
      </c>
      <c r="M157" s="147">
        <f t="shared" si="44"/>
        <v>0</v>
      </c>
      <c r="N157" s="147">
        <f t="shared" si="45"/>
        <v>0</v>
      </c>
      <c r="O157" s="147">
        <f t="shared" si="46"/>
        <v>0</v>
      </c>
      <c r="P157" s="147">
        <f t="shared" si="47"/>
        <v>0</v>
      </c>
      <c r="Q157" s="147">
        <f t="shared" si="48"/>
        <v>0</v>
      </c>
      <c r="R157" s="147">
        <f t="shared" si="49"/>
        <v>0</v>
      </c>
      <c r="S157" s="147">
        <f t="shared" si="50"/>
        <v>0</v>
      </c>
      <c r="T157" s="147">
        <f t="shared" si="51"/>
        <v>0</v>
      </c>
      <c r="U157" s="147">
        <f t="shared" si="52"/>
        <v>0</v>
      </c>
      <c r="V157" s="147">
        <f t="shared" si="53"/>
        <v>0</v>
      </c>
      <c r="W157" s="129">
        <v>0</v>
      </c>
      <c r="X157" s="144" t="str">
        <f t="shared" si="54"/>
        <v>WEEKDAY</v>
      </c>
      <c r="Y157" s="148">
        <v>5.8166666666666664</v>
      </c>
      <c r="Z157" s="144" t="s">
        <v>45</v>
      </c>
      <c r="AA157" s="149">
        <v>1140.5</v>
      </c>
      <c r="AB157" s="149">
        <v>171.09210000000002</v>
      </c>
      <c r="AC157" s="149">
        <v>196.07449856733524</v>
      </c>
      <c r="AD157" s="156">
        <v>29.414114613180519</v>
      </c>
      <c r="AE157" s="149" t="str">
        <f>IFERROR(_xlfn.XLOOKUP(DATA_MASTER[[#This Row],[DATE]],RODEO[DATE],RODEO[ARTIST]),"")</f>
        <v/>
      </c>
      <c r="AF157" s="172">
        <f>IF(DATA_MASTER[[#This Row],[RODEO_ARTIST]]="",0,1)</f>
        <v>0</v>
      </c>
      <c r="AG157" t="str">
        <f>IFERROR(RIGHT(_xlfn.XLOOKUP(DATA_MASTER[[#This Row],[DATE]],ASTROS[DATE],ASTROS[OPPONENT]),LEN(_xlfn.XLOOKUP(DATA_MASTER[[#This Row],[DATE]],ASTROS[DATE],ASTROS[OPPONENT]))-3),"NO GAME")</f>
        <v>NO GAME</v>
      </c>
      <c r="AH157">
        <f>IF(DATA_MASTER[[#This Row],[ASTROS_GAME]]="NO GAME",0,1)</f>
        <v>0</v>
      </c>
      <c r="AI157">
        <f>_xlfn.XLOOKUP(DATA_MASTER[[#This Row],[DATE]],WEATHER[DATE],WEATHER[tempmax])</f>
        <v>66.3</v>
      </c>
      <c r="AJ157">
        <f>_xlfn.XLOOKUP(DATA_MASTER[[#This Row],[DATE]],WEATHER[DATE],WEATHER[precip])</f>
        <v>0</v>
      </c>
    </row>
    <row r="158" spans="1:46" x14ac:dyDescent="0.35">
      <c r="A158" s="155">
        <v>45303</v>
      </c>
      <c r="B158" s="144" t="s">
        <v>46</v>
      </c>
      <c r="C158" s="144" t="s">
        <v>48</v>
      </c>
      <c r="D158" s="144" t="s">
        <v>60</v>
      </c>
      <c r="E158" s="145">
        <f t="shared" si="55"/>
        <v>1</v>
      </c>
      <c r="F158" s="146">
        <f t="shared" si="38"/>
        <v>0</v>
      </c>
      <c r="G158" s="146">
        <f t="shared" si="39"/>
        <v>0</v>
      </c>
      <c r="H158" s="146">
        <f t="shared" si="40"/>
        <v>0</v>
      </c>
      <c r="I158" s="146">
        <f t="shared" si="41"/>
        <v>0</v>
      </c>
      <c r="J158" s="146">
        <f t="shared" si="42"/>
        <v>1</v>
      </c>
      <c r="K158" s="146">
        <f t="shared" si="43"/>
        <v>0</v>
      </c>
      <c r="L158" s="147">
        <f t="shared" si="56"/>
        <v>1</v>
      </c>
      <c r="M158" s="147">
        <f t="shared" si="44"/>
        <v>0</v>
      </c>
      <c r="N158" s="147">
        <f t="shared" si="45"/>
        <v>0</v>
      </c>
      <c r="O158" s="147">
        <f t="shared" si="46"/>
        <v>0</v>
      </c>
      <c r="P158" s="147">
        <f t="shared" si="47"/>
        <v>0</v>
      </c>
      <c r="Q158" s="147">
        <f t="shared" si="48"/>
        <v>0</v>
      </c>
      <c r="R158" s="147">
        <f t="shared" si="49"/>
        <v>0</v>
      </c>
      <c r="S158" s="147">
        <f t="shared" si="50"/>
        <v>0</v>
      </c>
      <c r="T158" s="147">
        <f t="shared" si="51"/>
        <v>0</v>
      </c>
      <c r="U158" s="147">
        <f t="shared" si="52"/>
        <v>0</v>
      </c>
      <c r="V158" s="147">
        <f t="shared" si="53"/>
        <v>0</v>
      </c>
      <c r="W158" s="129">
        <v>1</v>
      </c>
      <c r="X158" s="144" t="str">
        <f t="shared" si="54"/>
        <v>WEEKEND</v>
      </c>
      <c r="Y158" s="148">
        <v>5.9833333333333334</v>
      </c>
      <c r="Z158" s="144" t="s">
        <v>45</v>
      </c>
      <c r="AA158" s="149">
        <v>1276.5</v>
      </c>
      <c r="AB158" s="149">
        <v>215.94746000000001</v>
      </c>
      <c r="AC158" s="149">
        <v>213.34261838440111</v>
      </c>
      <c r="AD158" s="156">
        <v>36.091497493036215</v>
      </c>
      <c r="AE158" s="149" t="str">
        <f>IFERROR(_xlfn.XLOOKUP(DATA_MASTER[[#This Row],[DATE]],RODEO[DATE],RODEO[ARTIST]),"")</f>
        <v/>
      </c>
      <c r="AF158" s="172">
        <f>IF(DATA_MASTER[[#This Row],[RODEO_ARTIST]]="",0,1)</f>
        <v>0</v>
      </c>
      <c r="AG158" t="str">
        <f>IFERROR(RIGHT(_xlfn.XLOOKUP(DATA_MASTER[[#This Row],[DATE]],ASTROS[DATE],ASTROS[OPPONENT]),LEN(_xlfn.XLOOKUP(DATA_MASTER[[#This Row],[DATE]],ASTROS[DATE],ASTROS[OPPONENT]))-3),"NO GAME")</f>
        <v>NO GAME</v>
      </c>
      <c r="AH158">
        <f>IF(DATA_MASTER[[#This Row],[ASTROS_GAME]]="NO GAME",0,1)</f>
        <v>0</v>
      </c>
      <c r="AI158">
        <f>_xlfn.XLOOKUP(DATA_MASTER[[#This Row],[DATE]],WEATHER[DATE],WEATHER[tempmax])</f>
        <v>69.8</v>
      </c>
      <c r="AJ158">
        <f>_xlfn.XLOOKUP(DATA_MASTER[[#This Row],[DATE]],WEATHER[DATE],WEATHER[precip])</f>
        <v>0</v>
      </c>
    </row>
    <row r="159" spans="1:46" x14ac:dyDescent="0.35">
      <c r="A159" s="155">
        <v>45304</v>
      </c>
      <c r="B159" s="144" t="s">
        <v>46</v>
      </c>
      <c r="C159" s="144" t="s">
        <v>49</v>
      </c>
      <c r="D159" s="144" t="s">
        <v>60</v>
      </c>
      <c r="E159" s="145">
        <f t="shared" si="55"/>
        <v>1</v>
      </c>
      <c r="F159" s="146">
        <f t="shared" si="38"/>
        <v>0</v>
      </c>
      <c r="G159" s="146">
        <f t="shared" si="39"/>
        <v>0</v>
      </c>
      <c r="H159" s="146">
        <f t="shared" si="40"/>
        <v>0</v>
      </c>
      <c r="I159" s="146">
        <f t="shared" si="41"/>
        <v>0</v>
      </c>
      <c r="J159" s="146">
        <f t="shared" si="42"/>
        <v>0</v>
      </c>
      <c r="K159" s="146">
        <f t="shared" si="43"/>
        <v>1</v>
      </c>
      <c r="L159" s="147">
        <f t="shared" si="56"/>
        <v>1</v>
      </c>
      <c r="M159" s="147">
        <f t="shared" si="44"/>
        <v>0</v>
      </c>
      <c r="N159" s="147">
        <f t="shared" si="45"/>
        <v>0</v>
      </c>
      <c r="O159" s="147">
        <f t="shared" si="46"/>
        <v>0</v>
      </c>
      <c r="P159" s="147">
        <f t="shared" si="47"/>
        <v>0</v>
      </c>
      <c r="Q159" s="147">
        <f t="shared" si="48"/>
        <v>0</v>
      </c>
      <c r="R159" s="147">
        <f t="shared" si="49"/>
        <v>0</v>
      </c>
      <c r="S159" s="147">
        <f t="shared" si="50"/>
        <v>0</v>
      </c>
      <c r="T159" s="147">
        <f t="shared" si="51"/>
        <v>0</v>
      </c>
      <c r="U159" s="147">
        <f t="shared" si="52"/>
        <v>0</v>
      </c>
      <c r="V159" s="147">
        <f t="shared" si="53"/>
        <v>0</v>
      </c>
      <c r="W159" s="129">
        <v>1</v>
      </c>
      <c r="X159" s="144" t="str">
        <f t="shared" si="54"/>
        <v>WEEKEND</v>
      </c>
      <c r="Y159" s="148">
        <v>6.2833333333333332</v>
      </c>
      <c r="Z159" s="144" t="s">
        <v>45</v>
      </c>
      <c r="AA159" s="149">
        <v>1227</v>
      </c>
      <c r="AB159" s="149">
        <v>228.13538799999998</v>
      </c>
      <c r="AC159" s="149">
        <v>195.27851458885942</v>
      </c>
      <c r="AD159" s="156">
        <v>36.308019310344825</v>
      </c>
      <c r="AE159" s="149" t="str">
        <f>IFERROR(_xlfn.XLOOKUP(DATA_MASTER[[#This Row],[DATE]],RODEO[DATE],RODEO[ARTIST]),"")</f>
        <v/>
      </c>
      <c r="AF159" s="172">
        <f>IF(DATA_MASTER[[#This Row],[RODEO_ARTIST]]="",0,1)</f>
        <v>0</v>
      </c>
      <c r="AG159" t="str">
        <f>IFERROR(RIGHT(_xlfn.XLOOKUP(DATA_MASTER[[#This Row],[DATE]],ASTROS[DATE],ASTROS[OPPONENT]),LEN(_xlfn.XLOOKUP(DATA_MASTER[[#This Row],[DATE]],ASTROS[DATE],ASTROS[OPPONENT]))-3),"NO GAME")</f>
        <v>NO GAME</v>
      </c>
      <c r="AH159">
        <f>IF(DATA_MASTER[[#This Row],[ASTROS_GAME]]="NO GAME",0,1)</f>
        <v>0</v>
      </c>
      <c r="AI159">
        <f>_xlfn.XLOOKUP(DATA_MASTER[[#This Row],[DATE]],WEATHER[DATE],WEATHER[tempmax])</f>
        <v>62.6</v>
      </c>
      <c r="AJ159">
        <f>_xlfn.XLOOKUP(DATA_MASTER[[#This Row],[DATE]],WEATHER[DATE],WEATHER[precip])</f>
        <v>0</v>
      </c>
    </row>
    <row r="160" spans="1:46" x14ac:dyDescent="0.35">
      <c r="A160" s="155">
        <v>45308</v>
      </c>
      <c r="B160" s="144" t="s">
        <v>46</v>
      </c>
      <c r="C160" s="144" t="s">
        <v>44</v>
      </c>
      <c r="D160" s="144" t="s">
        <v>60</v>
      </c>
      <c r="E160" s="145">
        <f t="shared" si="55"/>
        <v>1</v>
      </c>
      <c r="F160" s="146">
        <f t="shared" si="38"/>
        <v>0</v>
      </c>
      <c r="G160" s="146">
        <f t="shared" si="39"/>
        <v>0</v>
      </c>
      <c r="H160" s="146">
        <f t="shared" si="40"/>
        <v>1</v>
      </c>
      <c r="I160" s="146">
        <f t="shared" si="41"/>
        <v>0</v>
      </c>
      <c r="J160" s="146">
        <f t="shared" si="42"/>
        <v>0</v>
      </c>
      <c r="K160" s="146">
        <f t="shared" si="43"/>
        <v>0</v>
      </c>
      <c r="L160" s="147">
        <f t="shared" si="56"/>
        <v>1</v>
      </c>
      <c r="M160" s="147">
        <f t="shared" si="44"/>
        <v>0</v>
      </c>
      <c r="N160" s="147">
        <f t="shared" si="45"/>
        <v>0</v>
      </c>
      <c r="O160" s="147">
        <f t="shared" si="46"/>
        <v>0</v>
      </c>
      <c r="P160" s="147">
        <f t="shared" si="47"/>
        <v>0</v>
      </c>
      <c r="Q160" s="147">
        <f t="shared" si="48"/>
        <v>0</v>
      </c>
      <c r="R160" s="147">
        <f t="shared" si="49"/>
        <v>0</v>
      </c>
      <c r="S160" s="147">
        <f t="shared" si="50"/>
        <v>0</v>
      </c>
      <c r="T160" s="147">
        <f t="shared" si="51"/>
        <v>0</v>
      </c>
      <c r="U160" s="147">
        <f t="shared" si="52"/>
        <v>0</v>
      </c>
      <c r="V160" s="147">
        <f t="shared" si="53"/>
        <v>0</v>
      </c>
      <c r="W160" s="129">
        <v>0</v>
      </c>
      <c r="X160" s="144" t="str">
        <f t="shared" si="54"/>
        <v>WEEKDAY</v>
      </c>
      <c r="Y160" s="148">
        <v>5.4666666666666668</v>
      </c>
      <c r="Z160" s="144" t="s">
        <v>45</v>
      </c>
      <c r="AA160" s="149">
        <v>454</v>
      </c>
      <c r="AB160" s="149">
        <v>78.785280000000014</v>
      </c>
      <c r="AC160" s="149">
        <v>83.048780487804876</v>
      </c>
      <c r="AD160" s="156">
        <v>14.411941463414637</v>
      </c>
      <c r="AE160" s="149" t="str">
        <f>IFERROR(_xlfn.XLOOKUP(DATA_MASTER[[#This Row],[DATE]],RODEO[DATE],RODEO[ARTIST]),"")</f>
        <v/>
      </c>
      <c r="AF160" s="172">
        <f>IF(DATA_MASTER[[#This Row],[RODEO_ARTIST]]="",0,1)</f>
        <v>0</v>
      </c>
      <c r="AG160" t="str">
        <f>IFERROR(RIGHT(_xlfn.XLOOKUP(DATA_MASTER[[#This Row],[DATE]],ASTROS[DATE],ASTROS[OPPONENT]),LEN(_xlfn.XLOOKUP(DATA_MASTER[[#This Row],[DATE]],ASTROS[DATE],ASTROS[OPPONENT]))-3),"NO GAME")</f>
        <v>NO GAME</v>
      </c>
      <c r="AH160">
        <f>IF(DATA_MASTER[[#This Row],[ASTROS_GAME]]="NO GAME",0,1)</f>
        <v>0</v>
      </c>
      <c r="AI160">
        <f>_xlfn.XLOOKUP(DATA_MASTER[[#This Row],[DATE]],WEATHER[DATE],WEATHER[tempmax])</f>
        <v>42.8</v>
      </c>
      <c r="AJ160">
        <f>_xlfn.XLOOKUP(DATA_MASTER[[#This Row],[DATE]],WEATHER[DATE],WEATHER[precip])</f>
        <v>0</v>
      </c>
    </row>
    <row r="161" spans="1:36" x14ac:dyDescent="0.35">
      <c r="A161" s="155">
        <v>45309</v>
      </c>
      <c r="B161" s="144" t="s">
        <v>42</v>
      </c>
      <c r="C161" s="144" t="s">
        <v>47</v>
      </c>
      <c r="D161" s="144" t="s">
        <v>60</v>
      </c>
      <c r="E161" s="145">
        <f t="shared" si="55"/>
        <v>0</v>
      </c>
      <c r="F161" s="146">
        <f t="shared" si="38"/>
        <v>0</v>
      </c>
      <c r="G161" s="146">
        <f t="shared" si="39"/>
        <v>0</v>
      </c>
      <c r="H161" s="146">
        <f t="shared" si="40"/>
        <v>0</v>
      </c>
      <c r="I161" s="146">
        <f t="shared" si="41"/>
        <v>1</v>
      </c>
      <c r="J161" s="146">
        <f t="shared" si="42"/>
        <v>0</v>
      </c>
      <c r="K161" s="146">
        <f t="shared" si="43"/>
        <v>0</v>
      </c>
      <c r="L161" s="147">
        <f t="shared" si="56"/>
        <v>1</v>
      </c>
      <c r="M161" s="147">
        <f t="shared" si="44"/>
        <v>0</v>
      </c>
      <c r="N161" s="147">
        <f t="shared" si="45"/>
        <v>0</v>
      </c>
      <c r="O161" s="147">
        <f t="shared" si="46"/>
        <v>0</v>
      </c>
      <c r="P161" s="147">
        <f t="shared" si="47"/>
        <v>0</v>
      </c>
      <c r="Q161" s="147">
        <f t="shared" si="48"/>
        <v>0</v>
      </c>
      <c r="R161" s="147">
        <f t="shared" si="49"/>
        <v>0</v>
      </c>
      <c r="S161" s="147">
        <f t="shared" si="50"/>
        <v>0</v>
      </c>
      <c r="T161" s="147">
        <f t="shared" si="51"/>
        <v>0</v>
      </c>
      <c r="U161" s="147">
        <f t="shared" si="52"/>
        <v>0</v>
      </c>
      <c r="V161" s="147">
        <f t="shared" si="53"/>
        <v>0</v>
      </c>
      <c r="W161" s="129">
        <v>0</v>
      </c>
      <c r="X161" s="144" t="str">
        <f t="shared" si="54"/>
        <v>WEEKDAY</v>
      </c>
      <c r="Y161" s="148">
        <v>5.25</v>
      </c>
      <c r="Z161" s="144" t="s">
        <v>45</v>
      </c>
      <c r="AA161" s="149">
        <v>919</v>
      </c>
      <c r="AB161" s="149">
        <v>148.03595600000003</v>
      </c>
      <c r="AC161" s="149">
        <v>175.04761904761904</v>
      </c>
      <c r="AD161" s="156">
        <v>28.197324952380956</v>
      </c>
      <c r="AE161" s="149" t="str">
        <f>IFERROR(_xlfn.XLOOKUP(DATA_MASTER[[#This Row],[DATE]],RODEO[DATE],RODEO[ARTIST]),"")</f>
        <v/>
      </c>
      <c r="AF161" s="172">
        <f>IF(DATA_MASTER[[#This Row],[RODEO_ARTIST]]="",0,1)</f>
        <v>0</v>
      </c>
      <c r="AG161" t="str">
        <f>IFERROR(RIGHT(_xlfn.XLOOKUP(DATA_MASTER[[#This Row],[DATE]],ASTROS[DATE],ASTROS[OPPONENT]),LEN(_xlfn.XLOOKUP(DATA_MASTER[[#This Row],[DATE]],ASTROS[DATE],ASTROS[OPPONENT]))-3),"NO GAME")</f>
        <v>NO GAME</v>
      </c>
      <c r="AH161">
        <f>IF(DATA_MASTER[[#This Row],[ASTROS_GAME]]="NO GAME",0,1)</f>
        <v>0</v>
      </c>
      <c r="AI161">
        <f>_xlfn.XLOOKUP(DATA_MASTER[[#This Row],[DATE]],WEATHER[DATE],WEATHER[tempmax])</f>
        <v>62.6</v>
      </c>
      <c r="AJ161">
        <f>_xlfn.XLOOKUP(DATA_MASTER[[#This Row],[DATE]],WEATHER[DATE],WEATHER[precip])</f>
        <v>0</v>
      </c>
    </row>
    <row r="162" spans="1:36" x14ac:dyDescent="0.35">
      <c r="A162" s="155">
        <v>45310</v>
      </c>
      <c r="B162" s="144" t="s">
        <v>46</v>
      </c>
      <c r="C162" s="144" t="s">
        <v>48</v>
      </c>
      <c r="D162" s="144" t="s">
        <v>60</v>
      </c>
      <c r="E162" s="145">
        <f t="shared" si="55"/>
        <v>1</v>
      </c>
      <c r="F162" s="146">
        <f t="shared" si="38"/>
        <v>0</v>
      </c>
      <c r="G162" s="146">
        <f t="shared" si="39"/>
        <v>0</v>
      </c>
      <c r="H162" s="146">
        <f t="shared" si="40"/>
        <v>0</v>
      </c>
      <c r="I162" s="146">
        <f t="shared" si="41"/>
        <v>0</v>
      </c>
      <c r="J162" s="146">
        <f t="shared" si="42"/>
        <v>1</v>
      </c>
      <c r="K162" s="146">
        <f t="shared" si="43"/>
        <v>0</v>
      </c>
      <c r="L162" s="147">
        <f t="shared" si="56"/>
        <v>1</v>
      </c>
      <c r="M162" s="147">
        <f t="shared" si="44"/>
        <v>0</v>
      </c>
      <c r="N162" s="147">
        <f t="shared" si="45"/>
        <v>0</v>
      </c>
      <c r="O162" s="147">
        <f t="shared" si="46"/>
        <v>0</v>
      </c>
      <c r="P162" s="147">
        <f t="shared" si="47"/>
        <v>0</v>
      </c>
      <c r="Q162" s="147">
        <f t="shared" si="48"/>
        <v>0</v>
      </c>
      <c r="R162" s="147">
        <f t="shared" si="49"/>
        <v>0</v>
      </c>
      <c r="S162" s="147">
        <f t="shared" si="50"/>
        <v>0</v>
      </c>
      <c r="T162" s="147">
        <f t="shared" si="51"/>
        <v>0</v>
      </c>
      <c r="U162" s="147">
        <f t="shared" si="52"/>
        <v>0</v>
      </c>
      <c r="V162" s="147">
        <f t="shared" si="53"/>
        <v>0</v>
      </c>
      <c r="W162" s="129">
        <v>1</v>
      </c>
      <c r="X162" s="144" t="str">
        <f t="shared" si="54"/>
        <v>WEEKEND</v>
      </c>
      <c r="Y162" s="148">
        <v>5.2166666666666668</v>
      </c>
      <c r="Z162" s="144" t="s">
        <v>45</v>
      </c>
      <c r="AA162" s="149">
        <v>1417</v>
      </c>
      <c r="AB162" s="149">
        <v>235.33174</v>
      </c>
      <c r="AC162" s="149">
        <v>271.62939297124598</v>
      </c>
      <c r="AD162" s="156">
        <v>45.111515654952072</v>
      </c>
      <c r="AE162" s="149" t="str">
        <f>IFERROR(_xlfn.XLOOKUP(DATA_MASTER[[#This Row],[DATE]],RODEO[DATE],RODEO[ARTIST]),"")</f>
        <v/>
      </c>
      <c r="AF162" s="172">
        <f>IF(DATA_MASTER[[#This Row],[RODEO_ARTIST]]="",0,1)</f>
        <v>0</v>
      </c>
      <c r="AG162" t="str">
        <f>IFERROR(RIGHT(_xlfn.XLOOKUP(DATA_MASTER[[#This Row],[DATE]],ASTROS[DATE],ASTROS[OPPONENT]),LEN(_xlfn.XLOOKUP(DATA_MASTER[[#This Row],[DATE]],ASTROS[DATE],ASTROS[OPPONENT]))-3),"NO GAME")</f>
        <v>NO GAME</v>
      </c>
      <c r="AH162">
        <f>IF(DATA_MASTER[[#This Row],[ASTROS_GAME]]="NO GAME",0,1)</f>
        <v>0</v>
      </c>
      <c r="AI162">
        <f>_xlfn.XLOOKUP(DATA_MASTER[[#This Row],[DATE]],WEATHER[DATE],WEATHER[tempmax])</f>
        <v>60.4</v>
      </c>
      <c r="AJ162">
        <f>_xlfn.XLOOKUP(DATA_MASTER[[#This Row],[DATE]],WEATHER[DATE],WEATHER[precip])</f>
        <v>0</v>
      </c>
    </row>
    <row r="163" spans="1:36" x14ac:dyDescent="0.35">
      <c r="A163" s="155">
        <v>45311</v>
      </c>
      <c r="B163" s="144" t="s">
        <v>46</v>
      </c>
      <c r="C163" s="144" t="s">
        <v>49</v>
      </c>
      <c r="D163" s="144" t="s">
        <v>60</v>
      </c>
      <c r="E163" s="145">
        <f t="shared" si="55"/>
        <v>1</v>
      </c>
      <c r="F163" s="146">
        <f t="shared" si="38"/>
        <v>0</v>
      </c>
      <c r="G163" s="146">
        <f t="shared" si="39"/>
        <v>0</v>
      </c>
      <c r="H163" s="146">
        <f t="shared" si="40"/>
        <v>0</v>
      </c>
      <c r="I163" s="146">
        <f t="shared" si="41"/>
        <v>0</v>
      </c>
      <c r="J163" s="146">
        <f t="shared" si="42"/>
        <v>0</v>
      </c>
      <c r="K163" s="146">
        <f t="shared" si="43"/>
        <v>1</v>
      </c>
      <c r="L163" s="147">
        <f t="shared" si="56"/>
        <v>1</v>
      </c>
      <c r="M163" s="147">
        <f t="shared" si="44"/>
        <v>0</v>
      </c>
      <c r="N163" s="147">
        <f t="shared" si="45"/>
        <v>0</v>
      </c>
      <c r="O163" s="147">
        <f t="shared" si="46"/>
        <v>0</v>
      </c>
      <c r="P163" s="147">
        <f t="shared" si="47"/>
        <v>0</v>
      </c>
      <c r="Q163" s="147">
        <f t="shared" si="48"/>
        <v>0</v>
      </c>
      <c r="R163" s="147">
        <f t="shared" si="49"/>
        <v>0</v>
      </c>
      <c r="S163" s="147">
        <f t="shared" si="50"/>
        <v>0</v>
      </c>
      <c r="T163" s="147">
        <f t="shared" si="51"/>
        <v>0</v>
      </c>
      <c r="U163" s="147">
        <f t="shared" si="52"/>
        <v>0</v>
      </c>
      <c r="V163" s="147">
        <f t="shared" si="53"/>
        <v>0</v>
      </c>
      <c r="W163" s="129">
        <v>1</v>
      </c>
      <c r="X163" s="144" t="str">
        <f t="shared" si="54"/>
        <v>WEEKEND</v>
      </c>
      <c r="Y163" s="148">
        <v>5.7333333333333334</v>
      </c>
      <c r="Z163" s="144" t="s">
        <v>45</v>
      </c>
      <c r="AA163" s="149">
        <v>1544</v>
      </c>
      <c r="AB163" s="149">
        <v>259.32637599999998</v>
      </c>
      <c r="AC163" s="149">
        <v>269.30232558139534</v>
      </c>
      <c r="AD163" s="156">
        <v>45.231344651162786</v>
      </c>
      <c r="AE163" s="149" t="str">
        <f>IFERROR(_xlfn.XLOOKUP(DATA_MASTER[[#This Row],[DATE]],RODEO[DATE],RODEO[ARTIST]),"")</f>
        <v/>
      </c>
      <c r="AF163" s="172">
        <f>IF(DATA_MASTER[[#This Row],[RODEO_ARTIST]]="",0,1)</f>
        <v>0</v>
      </c>
      <c r="AG163" t="str">
        <f>IFERROR(RIGHT(_xlfn.XLOOKUP(DATA_MASTER[[#This Row],[DATE]],ASTROS[DATE],ASTROS[OPPONENT]),LEN(_xlfn.XLOOKUP(DATA_MASTER[[#This Row],[DATE]],ASTROS[DATE],ASTROS[OPPONENT]))-3),"NO GAME")</f>
        <v>NO GAME</v>
      </c>
      <c r="AH163">
        <f>IF(DATA_MASTER[[#This Row],[ASTROS_GAME]]="NO GAME",0,1)</f>
        <v>0</v>
      </c>
      <c r="AI163">
        <f>_xlfn.XLOOKUP(DATA_MASTER[[#This Row],[DATE]],WEATHER[DATE],WEATHER[tempmax])</f>
        <v>44.7</v>
      </c>
      <c r="AJ163">
        <f>_xlfn.XLOOKUP(DATA_MASTER[[#This Row],[DATE]],WEATHER[DATE],WEATHER[precip])</f>
        <v>0</v>
      </c>
    </row>
    <row r="164" spans="1:36" x14ac:dyDescent="0.35">
      <c r="A164" s="155">
        <v>45313</v>
      </c>
      <c r="B164" s="144" t="s">
        <v>42</v>
      </c>
      <c r="C164" s="144" t="s">
        <v>51</v>
      </c>
      <c r="D164" s="144" t="s">
        <v>60</v>
      </c>
      <c r="E164" s="145">
        <f t="shared" si="55"/>
        <v>0</v>
      </c>
      <c r="F164" s="146">
        <f t="shared" si="38"/>
        <v>0</v>
      </c>
      <c r="G164" s="146">
        <f t="shared" si="39"/>
        <v>1</v>
      </c>
      <c r="H164" s="146">
        <f t="shared" si="40"/>
        <v>0</v>
      </c>
      <c r="I164" s="146">
        <f t="shared" si="41"/>
        <v>0</v>
      </c>
      <c r="J164" s="146">
        <f t="shared" si="42"/>
        <v>0</v>
      </c>
      <c r="K164" s="146">
        <f t="shared" si="43"/>
        <v>0</v>
      </c>
      <c r="L164" s="147">
        <f t="shared" si="56"/>
        <v>1</v>
      </c>
      <c r="M164" s="147">
        <f t="shared" si="44"/>
        <v>0</v>
      </c>
      <c r="N164" s="147">
        <f t="shared" si="45"/>
        <v>0</v>
      </c>
      <c r="O164" s="147">
        <f t="shared" si="46"/>
        <v>0</v>
      </c>
      <c r="P164" s="147">
        <f t="shared" si="47"/>
        <v>0</v>
      </c>
      <c r="Q164" s="147">
        <f t="shared" si="48"/>
        <v>0</v>
      </c>
      <c r="R164" s="147">
        <f t="shared" si="49"/>
        <v>0</v>
      </c>
      <c r="S164" s="147">
        <f t="shared" si="50"/>
        <v>0</v>
      </c>
      <c r="T164" s="147">
        <f t="shared" si="51"/>
        <v>0</v>
      </c>
      <c r="U164" s="147">
        <f t="shared" si="52"/>
        <v>0</v>
      </c>
      <c r="V164" s="147">
        <f t="shared" si="53"/>
        <v>0</v>
      </c>
      <c r="W164" s="129">
        <v>0</v>
      </c>
      <c r="X164" s="144" t="str">
        <f t="shared" si="54"/>
        <v>WEEKDAY</v>
      </c>
      <c r="Y164" s="148">
        <v>2.85</v>
      </c>
      <c r="Z164" s="144" t="s">
        <v>45</v>
      </c>
      <c r="AA164" s="149">
        <v>283.5</v>
      </c>
      <c r="AB164" s="149">
        <v>44.028148000000002</v>
      </c>
      <c r="AC164" s="149">
        <v>99.473684210526315</v>
      </c>
      <c r="AD164" s="156">
        <v>15.44847298245614</v>
      </c>
      <c r="AE164" s="149" t="str">
        <f>IFERROR(_xlfn.XLOOKUP(DATA_MASTER[[#This Row],[DATE]],RODEO[DATE],RODEO[ARTIST]),"")</f>
        <v/>
      </c>
      <c r="AF164" s="172">
        <f>IF(DATA_MASTER[[#This Row],[RODEO_ARTIST]]="",0,1)</f>
        <v>0</v>
      </c>
      <c r="AG164" t="str">
        <f>IFERROR(RIGHT(_xlfn.XLOOKUP(DATA_MASTER[[#This Row],[DATE]],ASTROS[DATE],ASTROS[OPPONENT]),LEN(_xlfn.XLOOKUP(DATA_MASTER[[#This Row],[DATE]],ASTROS[DATE],ASTROS[OPPONENT]))-3),"NO GAME")</f>
        <v>NO GAME</v>
      </c>
      <c r="AH164">
        <f>IF(DATA_MASTER[[#This Row],[ASTROS_GAME]]="NO GAME",0,1)</f>
        <v>0</v>
      </c>
      <c r="AI164">
        <f>_xlfn.XLOOKUP(DATA_MASTER[[#This Row],[DATE]],WEATHER[DATE],WEATHER[tempmax])</f>
        <v>64.400000000000006</v>
      </c>
      <c r="AJ164">
        <f>_xlfn.XLOOKUP(DATA_MASTER[[#This Row],[DATE]],WEATHER[DATE],WEATHER[precip])</f>
        <v>0.85299999999999998</v>
      </c>
    </row>
    <row r="165" spans="1:36" x14ac:dyDescent="0.35">
      <c r="A165" s="155">
        <v>45315</v>
      </c>
      <c r="B165" s="144" t="s">
        <v>46</v>
      </c>
      <c r="C165" s="144" t="s">
        <v>44</v>
      </c>
      <c r="D165" s="144" t="s">
        <v>60</v>
      </c>
      <c r="E165" s="145">
        <f t="shared" si="55"/>
        <v>1</v>
      </c>
      <c r="F165" s="146">
        <f t="shared" si="38"/>
        <v>0</v>
      </c>
      <c r="G165" s="146">
        <f t="shared" si="39"/>
        <v>0</v>
      </c>
      <c r="H165" s="146">
        <f t="shared" si="40"/>
        <v>1</v>
      </c>
      <c r="I165" s="146">
        <f t="shared" si="41"/>
        <v>0</v>
      </c>
      <c r="J165" s="146">
        <f t="shared" si="42"/>
        <v>0</v>
      </c>
      <c r="K165" s="146">
        <f t="shared" si="43"/>
        <v>0</v>
      </c>
      <c r="L165" s="147">
        <f t="shared" si="56"/>
        <v>1</v>
      </c>
      <c r="M165" s="147">
        <f t="shared" si="44"/>
        <v>0</v>
      </c>
      <c r="N165" s="147">
        <f t="shared" si="45"/>
        <v>0</v>
      </c>
      <c r="O165" s="147">
        <f t="shared" si="46"/>
        <v>0</v>
      </c>
      <c r="P165" s="147">
        <f t="shared" si="47"/>
        <v>0</v>
      </c>
      <c r="Q165" s="147">
        <f t="shared" si="48"/>
        <v>0</v>
      </c>
      <c r="R165" s="147">
        <f t="shared" si="49"/>
        <v>0</v>
      </c>
      <c r="S165" s="147">
        <f t="shared" si="50"/>
        <v>0</v>
      </c>
      <c r="T165" s="147">
        <f t="shared" si="51"/>
        <v>0</v>
      </c>
      <c r="U165" s="147">
        <f t="shared" si="52"/>
        <v>0</v>
      </c>
      <c r="V165" s="147">
        <f t="shared" si="53"/>
        <v>0</v>
      </c>
      <c r="W165" s="129">
        <v>0</v>
      </c>
      <c r="X165" s="144" t="str">
        <f t="shared" si="54"/>
        <v>WEEKDAY</v>
      </c>
      <c r="Y165" s="148">
        <v>5</v>
      </c>
      <c r="Z165" s="144" t="s">
        <v>45</v>
      </c>
      <c r="AA165" s="149">
        <v>1000</v>
      </c>
      <c r="AB165" s="149">
        <v>167.29</v>
      </c>
      <c r="AC165" s="149">
        <v>200</v>
      </c>
      <c r="AD165" s="156">
        <v>33.457999999999998</v>
      </c>
      <c r="AE165" s="149" t="str">
        <f>IFERROR(_xlfn.XLOOKUP(DATA_MASTER[[#This Row],[DATE]],RODEO[DATE],RODEO[ARTIST]),"")</f>
        <v/>
      </c>
      <c r="AF165" s="172">
        <f>IF(DATA_MASTER[[#This Row],[RODEO_ARTIST]]="",0,1)</f>
        <v>0</v>
      </c>
      <c r="AG165" t="str">
        <f>IFERROR(RIGHT(_xlfn.XLOOKUP(DATA_MASTER[[#This Row],[DATE]],ASTROS[DATE],ASTROS[OPPONENT]),LEN(_xlfn.XLOOKUP(DATA_MASTER[[#This Row],[DATE]],ASTROS[DATE],ASTROS[OPPONENT]))-3),"NO GAME")</f>
        <v>NO GAME</v>
      </c>
      <c r="AH165">
        <f>IF(DATA_MASTER[[#This Row],[ASTROS_GAME]]="NO GAME",0,1)</f>
        <v>0</v>
      </c>
      <c r="AI165">
        <f>_xlfn.XLOOKUP(DATA_MASTER[[#This Row],[DATE]],WEATHER[DATE],WEATHER[tempmax])</f>
        <v>68</v>
      </c>
      <c r="AJ165">
        <f>_xlfn.XLOOKUP(DATA_MASTER[[#This Row],[DATE]],WEATHER[DATE],WEATHER[precip])</f>
        <v>1.1879999999999999</v>
      </c>
    </row>
    <row r="166" spans="1:36" x14ac:dyDescent="0.35">
      <c r="A166" s="155">
        <v>45316</v>
      </c>
      <c r="B166" s="144" t="s">
        <v>46</v>
      </c>
      <c r="C166" s="144" t="s">
        <v>47</v>
      </c>
      <c r="D166" s="144" t="s">
        <v>60</v>
      </c>
      <c r="E166" s="145">
        <f t="shared" si="55"/>
        <v>1</v>
      </c>
      <c r="F166" s="146">
        <f t="shared" si="38"/>
        <v>0</v>
      </c>
      <c r="G166" s="146">
        <f t="shared" si="39"/>
        <v>0</v>
      </c>
      <c r="H166" s="146">
        <f t="shared" si="40"/>
        <v>0</v>
      </c>
      <c r="I166" s="146">
        <f t="shared" si="41"/>
        <v>1</v>
      </c>
      <c r="J166" s="146">
        <f t="shared" si="42"/>
        <v>0</v>
      </c>
      <c r="K166" s="146">
        <f t="shared" si="43"/>
        <v>0</v>
      </c>
      <c r="L166" s="147">
        <f t="shared" si="56"/>
        <v>1</v>
      </c>
      <c r="M166" s="147">
        <f t="shared" si="44"/>
        <v>0</v>
      </c>
      <c r="N166" s="147">
        <f t="shared" si="45"/>
        <v>0</v>
      </c>
      <c r="O166" s="147">
        <f t="shared" si="46"/>
        <v>0</v>
      </c>
      <c r="P166" s="147">
        <f t="shared" si="47"/>
        <v>0</v>
      </c>
      <c r="Q166" s="147">
        <f t="shared" si="48"/>
        <v>0</v>
      </c>
      <c r="R166" s="147">
        <f t="shared" si="49"/>
        <v>0</v>
      </c>
      <c r="S166" s="147">
        <f t="shared" si="50"/>
        <v>0</v>
      </c>
      <c r="T166" s="147">
        <f t="shared" si="51"/>
        <v>0</v>
      </c>
      <c r="U166" s="147">
        <f t="shared" si="52"/>
        <v>0</v>
      </c>
      <c r="V166" s="147">
        <f t="shared" si="53"/>
        <v>0</v>
      </c>
      <c r="W166" s="129">
        <v>0</v>
      </c>
      <c r="X166" s="144" t="str">
        <f t="shared" si="54"/>
        <v>WEEKDAY</v>
      </c>
      <c r="Y166" s="148">
        <v>6.7666666666666666</v>
      </c>
      <c r="Z166" s="144" t="s">
        <v>45</v>
      </c>
      <c r="AA166" s="149">
        <v>1739</v>
      </c>
      <c r="AB166" s="149">
        <v>287.61990400000002</v>
      </c>
      <c r="AC166" s="149">
        <v>256.99507389162562</v>
      </c>
      <c r="AD166" s="156">
        <v>42.50540453201971</v>
      </c>
      <c r="AE166" s="149" t="str">
        <f>IFERROR(_xlfn.XLOOKUP(DATA_MASTER[[#This Row],[DATE]],RODEO[DATE],RODEO[ARTIST]),"")</f>
        <v/>
      </c>
      <c r="AF166" s="172">
        <f>IF(DATA_MASTER[[#This Row],[RODEO_ARTIST]]="",0,1)</f>
        <v>0</v>
      </c>
      <c r="AG166" t="str">
        <f>IFERROR(RIGHT(_xlfn.XLOOKUP(DATA_MASTER[[#This Row],[DATE]],ASTROS[DATE],ASTROS[OPPONENT]),LEN(_xlfn.XLOOKUP(DATA_MASTER[[#This Row],[DATE]],ASTROS[DATE],ASTROS[OPPONENT]))-3),"NO GAME")</f>
        <v>NO GAME</v>
      </c>
      <c r="AH166">
        <f>IF(DATA_MASTER[[#This Row],[ASTROS_GAME]]="NO GAME",0,1)</f>
        <v>0</v>
      </c>
      <c r="AI166">
        <f>_xlfn.XLOOKUP(DATA_MASTER[[#This Row],[DATE]],WEATHER[DATE],WEATHER[tempmax])</f>
        <v>69.900000000000006</v>
      </c>
      <c r="AJ166">
        <f>_xlfn.XLOOKUP(DATA_MASTER[[#This Row],[DATE]],WEATHER[DATE],WEATHER[precip])</f>
        <v>0.497</v>
      </c>
    </row>
    <row r="167" spans="1:36" x14ac:dyDescent="0.35">
      <c r="A167" s="155">
        <v>45317</v>
      </c>
      <c r="B167" s="144" t="s">
        <v>46</v>
      </c>
      <c r="C167" s="144" t="s">
        <v>48</v>
      </c>
      <c r="D167" s="144" t="s">
        <v>60</v>
      </c>
      <c r="E167" s="145">
        <f t="shared" si="55"/>
        <v>1</v>
      </c>
      <c r="F167" s="146">
        <f t="shared" si="38"/>
        <v>0</v>
      </c>
      <c r="G167" s="146">
        <f t="shared" si="39"/>
        <v>0</v>
      </c>
      <c r="H167" s="146">
        <f t="shared" si="40"/>
        <v>0</v>
      </c>
      <c r="I167" s="146">
        <f t="shared" si="41"/>
        <v>0</v>
      </c>
      <c r="J167" s="146">
        <f t="shared" si="42"/>
        <v>1</v>
      </c>
      <c r="K167" s="146">
        <f t="shared" si="43"/>
        <v>0</v>
      </c>
      <c r="L167" s="147">
        <f t="shared" si="56"/>
        <v>1</v>
      </c>
      <c r="M167" s="147">
        <f t="shared" si="44"/>
        <v>0</v>
      </c>
      <c r="N167" s="147">
        <f t="shared" si="45"/>
        <v>0</v>
      </c>
      <c r="O167" s="147">
        <f t="shared" si="46"/>
        <v>0</v>
      </c>
      <c r="P167" s="147">
        <f t="shared" si="47"/>
        <v>0</v>
      </c>
      <c r="Q167" s="147">
        <f t="shared" si="48"/>
        <v>0</v>
      </c>
      <c r="R167" s="147">
        <f t="shared" si="49"/>
        <v>0</v>
      </c>
      <c r="S167" s="147">
        <f t="shared" si="50"/>
        <v>0</v>
      </c>
      <c r="T167" s="147">
        <f t="shared" si="51"/>
        <v>0</v>
      </c>
      <c r="U167" s="147">
        <f t="shared" si="52"/>
        <v>0</v>
      </c>
      <c r="V167" s="147">
        <f t="shared" si="53"/>
        <v>0</v>
      </c>
      <c r="W167" s="129">
        <v>1</v>
      </c>
      <c r="X167" s="144" t="str">
        <f t="shared" si="54"/>
        <v>WEEKEND</v>
      </c>
      <c r="Y167" s="148">
        <v>4.7</v>
      </c>
      <c r="Z167" s="144" t="s">
        <v>45</v>
      </c>
      <c r="AA167" s="149">
        <v>1224</v>
      </c>
      <c r="AB167" s="149">
        <v>194.26603999999998</v>
      </c>
      <c r="AC167" s="149">
        <v>260.42553191489361</v>
      </c>
      <c r="AD167" s="156">
        <v>41.333199999999991</v>
      </c>
      <c r="AE167" s="149" t="str">
        <f>IFERROR(_xlfn.XLOOKUP(DATA_MASTER[[#This Row],[DATE]],RODEO[DATE],RODEO[ARTIST]),"")</f>
        <v/>
      </c>
      <c r="AF167" s="172">
        <f>IF(DATA_MASTER[[#This Row],[RODEO_ARTIST]]="",0,1)</f>
        <v>0</v>
      </c>
      <c r="AG167" t="str">
        <f>IFERROR(RIGHT(_xlfn.XLOOKUP(DATA_MASTER[[#This Row],[DATE]],ASTROS[DATE],ASTROS[OPPONENT]),LEN(_xlfn.XLOOKUP(DATA_MASTER[[#This Row],[DATE]],ASTROS[DATE],ASTROS[OPPONENT]))-3),"NO GAME")</f>
        <v>NO GAME</v>
      </c>
      <c r="AH167">
        <f>IF(DATA_MASTER[[#This Row],[ASTROS_GAME]]="NO GAME",0,1)</f>
        <v>0</v>
      </c>
      <c r="AI167">
        <f>_xlfn.XLOOKUP(DATA_MASTER[[#This Row],[DATE]],WEATHER[DATE],WEATHER[tempmax])</f>
        <v>62.6</v>
      </c>
      <c r="AJ167">
        <f>_xlfn.XLOOKUP(DATA_MASTER[[#This Row],[DATE]],WEATHER[DATE],WEATHER[precip])</f>
        <v>0.71699999999999997</v>
      </c>
    </row>
    <row r="168" spans="1:36" x14ac:dyDescent="0.35">
      <c r="A168" s="155">
        <v>45318</v>
      </c>
      <c r="B168" s="144" t="s">
        <v>42</v>
      </c>
      <c r="C168" s="144" t="s">
        <v>49</v>
      </c>
      <c r="D168" s="144" t="s">
        <v>60</v>
      </c>
      <c r="E168" s="145">
        <f t="shared" si="55"/>
        <v>0</v>
      </c>
      <c r="F168" s="146">
        <f t="shared" si="38"/>
        <v>0</v>
      </c>
      <c r="G168" s="146">
        <f t="shared" si="39"/>
        <v>0</v>
      </c>
      <c r="H168" s="146">
        <f t="shared" si="40"/>
        <v>0</v>
      </c>
      <c r="I168" s="146">
        <f t="shared" si="41"/>
        <v>0</v>
      </c>
      <c r="J168" s="146">
        <f t="shared" si="42"/>
        <v>0</v>
      </c>
      <c r="K168" s="146">
        <f t="shared" si="43"/>
        <v>1</v>
      </c>
      <c r="L168" s="147">
        <f t="shared" si="56"/>
        <v>1</v>
      </c>
      <c r="M168" s="147">
        <f t="shared" si="44"/>
        <v>0</v>
      </c>
      <c r="N168" s="147">
        <f t="shared" si="45"/>
        <v>0</v>
      </c>
      <c r="O168" s="147">
        <f t="shared" si="46"/>
        <v>0</v>
      </c>
      <c r="P168" s="147">
        <f t="shared" si="47"/>
        <v>0</v>
      </c>
      <c r="Q168" s="147">
        <f t="shared" si="48"/>
        <v>0</v>
      </c>
      <c r="R168" s="147">
        <f t="shared" si="49"/>
        <v>0</v>
      </c>
      <c r="S168" s="147">
        <f t="shared" si="50"/>
        <v>0</v>
      </c>
      <c r="T168" s="147">
        <f t="shared" si="51"/>
        <v>0</v>
      </c>
      <c r="U168" s="147">
        <f t="shared" si="52"/>
        <v>0</v>
      </c>
      <c r="V168" s="147">
        <f t="shared" si="53"/>
        <v>0</v>
      </c>
      <c r="W168" s="129">
        <v>1</v>
      </c>
      <c r="X168" s="144" t="str">
        <f t="shared" si="54"/>
        <v>WEEKEND</v>
      </c>
      <c r="Y168" s="148">
        <v>5.0999999999999996</v>
      </c>
      <c r="Z168" s="144" t="s">
        <v>55</v>
      </c>
      <c r="AA168" s="149">
        <v>1188.5</v>
      </c>
      <c r="AB168" s="149">
        <v>198.829072</v>
      </c>
      <c r="AC168" s="149">
        <v>233.03921568627453</v>
      </c>
      <c r="AD168" s="156">
        <v>38.98609254901961</v>
      </c>
      <c r="AE168" s="149" t="str">
        <f>IFERROR(_xlfn.XLOOKUP(DATA_MASTER[[#This Row],[DATE]],RODEO[DATE],RODEO[ARTIST]),"")</f>
        <v/>
      </c>
      <c r="AF168" s="172">
        <f>IF(DATA_MASTER[[#This Row],[RODEO_ARTIST]]="",0,1)</f>
        <v>0</v>
      </c>
      <c r="AG168" t="str">
        <f>IFERROR(RIGHT(_xlfn.XLOOKUP(DATA_MASTER[[#This Row],[DATE]],ASTROS[DATE],ASTROS[OPPONENT]),LEN(_xlfn.XLOOKUP(DATA_MASTER[[#This Row],[DATE]],ASTROS[DATE],ASTROS[OPPONENT]))-3),"NO GAME")</f>
        <v>NO GAME</v>
      </c>
      <c r="AH168">
        <f>IF(DATA_MASTER[[#This Row],[ASTROS_GAME]]="NO GAME",0,1)</f>
        <v>0</v>
      </c>
      <c r="AI168">
        <f>_xlfn.XLOOKUP(DATA_MASTER[[#This Row],[DATE]],WEATHER[DATE],WEATHER[tempmax])</f>
        <v>59.1</v>
      </c>
      <c r="AJ168">
        <f>_xlfn.XLOOKUP(DATA_MASTER[[#This Row],[DATE]],WEATHER[DATE],WEATHER[precip])</f>
        <v>0</v>
      </c>
    </row>
    <row r="169" spans="1:36" x14ac:dyDescent="0.35">
      <c r="A169" s="155">
        <v>45318</v>
      </c>
      <c r="B169" s="144" t="s">
        <v>46</v>
      </c>
      <c r="C169" s="144" t="s">
        <v>49</v>
      </c>
      <c r="D169" s="144" t="s">
        <v>60</v>
      </c>
      <c r="E169" s="145">
        <f t="shared" si="55"/>
        <v>1</v>
      </c>
      <c r="F169" s="146">
        <f t="shared" si="38"/>
        <v>0</v>
      </c>
      <c r="G169" s="146">
        <f t="shared" si="39"/>
        <v>0</v>
      </c>
      <c r="H169" s="146">
        <f t="shared" si="40"/>
        <v>0</v>
      </c>
      <c r="I169" s="146">
        <f t="shared" si="41"/>
        <v>0</v>
      </c>
      <c r="J169" s="146">
        <f t="shared" si="42"/>
        <v>0</v>
      </c>
      <c r="K169" s="146">
        <f t="shared" si="43"/>
        <v>1</v>
      </c>
      <c r="L169" s="147">
        <f t="shared" si="56"/>
        <v>1</v>
      </c>
      <c r="M169" s="147">
        <f t="shared" si="44"/>
        <v>0</v>
      </c>
      <c r="N169" s="147">
        <f t="shared" si="45"/>
        <v>0</v>
      </c>
      <c r="O169" s="147">
        <f t="shared" si="46"/>
        <v>0</v>
      </c>
      <c r="P169" s="147">
        <f t="shared" si="47"/>
        <v>0</v>
      </c>
      <c r="Q169" s="147">
        <f t="shared" si="48"/>
        <v>0</v>
      </c>
      <c r="R169" s="147">
        <f t="shared" si="49"/>
        <v>0</v>
      </c>
      <c r="S169" s="147">
        <f t="shared" si="50"/>
        <v>0</v>
      </c>
      <c r="T169" s="147">
        <f t="shared" si="51"/>
        <v>0</v>
      </c>
      <c r="U169" s="147">
        <f t="shared" si="52"/>
        <v>0</v>
      </c>
      <c r="V169" s="147">
        <f t="shared" si="53"/>
        <v>0</v>
      </c>
      <c r="W169" s="129">
        <v>1</v>
      </c>
      <c r="X169" s="144" t="str">
        <f t="shared" si="54"/>
        <v>WEEKEND</v>
      </c>
      <c r="Y169" s="148">
        <v>4.3666666666666663</v>
      </c>
      <c r="Z169" s="144" t="s">
        <v>55</v>
      </c>
      <c r="AA169" s="149">
        <v>1192.5</v>
      </c>
      <c r="AB169" s="149">
        <v>198.46371199999999</v>
      </c>
      <c r="AC169" s="149">
        <v>273.09160305343516</v>
      </c>
      <c r="AD169" s="156">
        <v>45.449705038167941</v>
      </c>
      <c r="AE169" s="149" t="str">
        <f>IFERROR(_xlfn.XLOOKUP(DATA_MASTER[[#This Row],[DATE]],RODEO[DATE],RODEO[ARTIST]),"")</f>
        <v/>
      </c>
      <c r="AF169" s="172">
        <f>IF(DATA_MASTER[[#This Row],[RODEO_ARTIST]]="",0,1)</f>
        <v>0</v>
      </c>
      <c r="AG169" t="str">
        <f>IFERROR(RIGHT(_xlfn.XLOOKUP(DATA_MASTER[[#This Row],[DATE]],ASTROS[DATE],ASTROS[OPPONENT]),LEN(_xlfn.XLOOKUP(DATA_MASTER[[#This Row],[DATE]],ASTROS[DATE],ASTROS[OPPONENT]))-3),"NO GAME")</f>
        <v>NO GAME</v>
      </c>
      <c r="AH169">
        <f>IF(DATA_MASTER[[#This Row],[ASTROS_GAME]]="NO GAME",0,1)</f>
        <v>0</v>
      </c>
      <c r="AI169">
        <f>_xlfn.XLOOKUP(DATA_MASTER[[#This Row],[DATE]],WEATHER[DATE],WEATHER[tempmax])</f>
        <v>59.1</v>
      </c>
      <c r="AJ169">
        <f>_xlfn.XLOOKUP(DATA_MASTER[[#This Row],[DATE]],WEATHER[DATE],WEATHER[precip])</f>
        <v>0</v>
      </c>
    </row>
    <row r="170" spans="1:36" x14ac:dyDescent="0.35">
      <c r="A170" s="155">
        <v>45319</v>
      </c>
      <c r="B170" s="144" t="s">
        <v>46</v>
      </c>
      <c r="C170" s="144" t="s">
        <v>50</v>
      </c>
      <c r="D170" s="144" t="s">
        <v>60</v>
      </c>
      <c r="E170" s="145">
        <f t="shared" si="55"/>
        <v>1</v>
      </c>
      <c r="F170" s="146">
        <f t="shared" si="38"/>
        <v>1</v>
      </c>
      <c r="G170" s="146">
        <f t="shared" si="39"/>
        <v>0</v>
      </c>
      <c r="H170" s="146">
        <f t="shared" si="40"/>
        <v>0</v>
      </c>
      <c r="I170" s="146">
        <f t="shared" si="41"/>
        <v>0</v>
      </c>
      <c r="J170" s="146">
        <f t="shared" si="42"/>
        <v>0</v>
      </c>
      <c r="K170" s="146">
        <f t="shared" si="43"/>
        <v>0</v>
      </c>
      <c r="L170" s="147">
        <f t="shared" si="56"/>
        <v>1</v>
      </c>
      <c r="M170" s="147">
        <f t="shared" si="44"/>
        <v>0</v>
      </c>
      <c r="N170" s="147">
        <f t="shared" si="45"/>
        <v>0</v>
      </c>
      <c r="O170" s="147">
        <f t="shared" si="46"/>
        <v>0</v>
      </c>
      <c r="P170" s="147">
        <f t="shared" si="47"/>
        <v>0</v>
      </c>
      <c r="Q170" s="147">
        <f t="shared" si="48"/>
        <v>0</v>
      </c>
      <c r="R170" s="147">
        <f t="shared" si="49"/>
        <v>0</v>
      </c>
      <c r="S170" s="147">
        <f t="shared" si="50"/>
        <v>0</v>
      </c>
      <c r="T170" s="147">
        <f t="shared" si="51"/>
        <v>0</v>
      </c>
      <c r="U170" s="147">
        <f t="shared" si="52"/>
        <v>0</v>
      </c>
      <c r="V170" s="147">
        <f t="shared" si="53"/>
        <v>0</v>
      </c>
      <c r="W170" s="129">
        <v>1</v>
      </c>
      <c r="X170" s="144" t="str">
        <f t="shared" si="54"/>
        <v>WEEKEND</v>
      </c>
      <c r="Y170" s="148">
        <v>4.333333333333333</v>
      </c>
      <c r="Z170" s="144" t="s">
        <v>45</v>
      </c>
      <c r="AA170" s="149">
        <v>908</v>
      </c>
      <c r="AB170" s="149">
        <v>144.33091999999999</v>
      </c>
      <c r="AC170" s="149">
        <v>209.53846153846155</v>
      </c>
      <c r="AD170" s="156">
        <v>33.307135384615385</v>
      </c>
      <c r="AE170" s="149" t="str">
        <f>IFERROR(_xlfn.XLOOKUP(DATA_MASTER[[#This Row],[DATE]],RODEO[DATE],RODEO[ARTIST]),"")</f>
        <v/>
      </c>
      <c r="AF170" s="172">
        <f>IF(DATA_MASTER[[#This Row],[RODEO_ARTIST]]="",0,1)</f>
        <v>0</v>
      </c>
      <c r="AG170" t="str">
        <f>IFERROR(RIGHT(_xlfn.XLOOKUP(DATA_MASTER[[#This Row],[DATE]],ASTROS[DATE],ASTROS[OPPONENT]),LEN(_xlfn.XLOOKUP(DATA_MASTER[[#This Row],[DATE]],ASTROS[DATE],ASTROS[OPPONENT]))-3),"NO GAME")</f>
        <v>NO GAME</v>
      </c>
      <c r="AH170">
        <f>IF(DATA_MASTER[[#This Row],[ASTROS_GAME]]="NO GAME",0,1)</f>
        <v>0</v>
      </c>
      <c r="AI170">
        <f>_xlfn.XLOOKUP(DATA_MASTER[[#This Row],[DATE]],WEATHER[DATE],WEATHER[tempmax])</f>
        <v>60.9</v>
      </c>
      <c r="AJ170">
        <f>_xlfn.XLOOKUP(DATA_MASTER[[#This Row],[DATE]],WEATHER[DATE],WEATHER[precip])</f>
        <v>0</v>
      </c>
    </row>
    <row r="171" spans="1:36" x14ac:dyDescent="0.35">
      <c r="A171" s="155">
        <v>45322</v>
      </c>
      <c r="B171" s="144" t="s">
        <v>46</v>
      </c>
      <c r="C171" s="144" t="s">
        <v>44</v>
      </c>
      <c r="D171" s="144" t="s">
        <v>60</v>
      </c>
      <c r="E171" s="145">
        <f t="shared" si="55"/>
        <v>1</v>
      </c>
      <c r="F171" s="146">
        <f t="shared" si="38"/>
        <v>0</v>
      </c>
      <c r="G171" s="146">
        <f t="shared" si="39"/>
        <v>0</v>
      </c>
      <c r="H171" s="146">
        <f t="shared" si="40"/>
        <v>1</v>
      </c>
      <c r="I171" s="146">
        <f t="shared" si="41"/>
        <v>0</v>
      </c>
      <c r="J171" s="146">
        <f t="shared" si="42"/>
        <v>0</v>
      </c>
      <c r="K171" s="146">
        <f t="shared" si="43"/>
        <v>0</v>
      </c>
      <c r="L171" s="147">
        <f t="shared" si="56"/>
        <v>1</v>
      </c>
      <c r="M171" s="147">
        <f t="shared" si="44"/>
        <v>0</v>
      </c>
      <c r="N171" s="147">
        <f t="shared" si="45"/>
        <v>0</v>
      </c>
      <c r="O171" s="147">
        <f t="shared" si="46"/>
        <v>0</v>
      </c>
      <c r="P171" s="147">
        <f t="shared" si="47"/>
        <v>0</v>
      </c>
      <c r="Q171" s="147">
        <f t="shared" si="48"/>
        <v>0</v>
      </c>
      <c r="R171" s="147">
        <f t="shared" si="49"/>
        <v>0</v>
      </c>
      <c r="S171" s="147">
        <f t="shared" si="50"/>
        <v>0</v>
      </c>
      <c r="T171" s="147">
        <f t="shared" si="51"/>
        <v>0</v>
      </c>
      <c r="U171" s="147">
        <f t="shared" si="52"/>
        <v>0</v>
      </c>
      <c r="V171" s="147">
        <f t="shared" si="53"/>
        <v>0</v>
      </c>
      <c r="W171" s="129">
        <v>0</v>
      </c>
      <c r="X171" s="144" t="str">
        <f t="shared" si="54"/>
        <v>WEEKDAY</v>
      </c>
      <c r="Y171" s="148">
        <v>6.2666666666666666</v>
      </c>
      <c r="Z171" s="144" t="s">
        <v>45</v>
      </c>
      <c r="AA171" s="149">
        <v>1320</v>
      </c>
      <c r="AB171" s="149">
        <v>183.97036800000001</v>
      </c>
      <c r="AC171" s="149">
        <v>210.63829787234042</v>
      </c>
      <c r="AD171" s="156">
        <v>29.356973617021278</v>
      </c>
      <c r="AE171" s="149" t="str">
        <f>IFERROR(_xlfn.XLOOKUP(DATA_MASTER[[#This Row],[DATE]],RODEO[DATE],RODEO[ARTIST]),"")</f>
        <v/>
      </c>
      <c r="AF171" s="172">
        <f>IF(DATA_MASTER[[#This Row],[RODEO_ARTIST]]="",0,1)</f>
        <v>0</v>
      </c>
      <c r="AG171" t="str">
        <f>IFERROR(RIGHT(_xlfn.XLOOKUP(DATA_MASTER[[#This Row],[DATE]],ASTROS[DATE],ASTROS[OPPONENT]),LEN(_xlfn.XLOOKUP(DATA_MASTER[[#This Row],[DATE]],ASTROS[DATE],ASTROS[OPPONENT]))-3),"NO GAME")</f>
        <v>NO GAME</v>
      </c>
      <c r="AH171">
        <f>IF(DATA_MASTER[[#This Row],[ASTROS_GAME]]="NO GAME",0,1)</f>
        <v>0</v>
      </c>
      <c r="AI171">
        <f>_xlfn.XLOOKUP(DATA_MASTER[[#This Row],[DATE]],WEATHER[DATE],WEATHER[tempmax])</f>
        <v>73.400000000000006</v>
      </c>
      <c r="AJ171">
        <f>_xlfn.XLOOKUP(DATA_MASTER[[#This Row],[DATE]],WEATHER[DATE],WEATHER[precip])</f>
        <v>0</v>
      </c>
    </row>
    <row r="172" spans="1:36" x14ac:dyDescent="0.35">
      <c r="A172" s="155">
        <v>45323</v>
      </c>
      <c r="B172" s="144" t="s">
        <v>46</v>
      </c>
      <c r="C172" s="144" t="s">
        <v>47</v>
      </c>
      <c r="D172" s="144" t="s">
        <v>61</v>
      </c>
      <c r="E172" s="145">
        <f t="shared" si="55"/>
        <v>1</v>
      </c>
      <c r="F172" s="146">
        <f t="shared" si="38"/>
        <v>0</v>
      </c>
      <c r="G172" s="146">
        <f t="shared" si="39"/>
        <v>0</v>
      </c>
      <c r="H172" s="146">
        <f t="shared" si="40"/>
        <v>0</v>
      </c>
      <c r="I172" s="146">
        <f t="shared" si="41"/>
        <v>1</v>
      </c>
      <c r="J172" s="146">
        <f t="shared" si="42"/>
        <v>0</v>
      </c>
      <c r="K172" s="146">
        <f t="shared" si="43"/>
        <v>0</v>
      </c>
      <c r="L172" s="147">
        <f t="shared" si="56"/>
        <v>0</v>
      </c>
      <c r="M172" s="147">
        <f t="shared" si="44"/>
        <v>1</v>
      </c>
      <c r="N172" s="147">
        <f t="shared" si="45"/>
        <v>0</v>
      </c>
      <c r="O172" s="147">
        <f t="shared" si="46"/>
        <v>0</v>
      </c>
      <c r="P172" s="147">
        <f t="shared" si="47"/>
        <v>0</v>
      </c>
      <c r="Q172" s="147">
        <f t="shared" si="48"/>
        <v>0</v>
      </c>
      <c r="R172" s="147">
        <f t="shared" si="49"/>
        <v>0</v>
      </c>
      <c r="S172" s="147">
        <f t="shared" si="50"/>
        <v>0</v>
      </c>
      <c r="T172" s="147">
        <f t="shared" si="51"/>
        <v>0</v>
      </c>
      <c r="U172" s="147">
        <f t="shared" si="52"/>
        <v>0</v>
      </c>
      <c r="V172" s="147">
        <f t="shared" si="53"/>
        <v>0</v>
      </c>
      <c r="W172" s="129">
        <v>0</v>
      </c>
      <c r="X172" s="144" t="str">
        <f t="shared" si="54"/>
        <v>WEEKDAY</v>
      </c>
      <c r="Y172" s="148">
        <v>6.6333333333333337</v>
      </c>
      <c r="Z172" s="144" t="s">
        <v>45</v>
      </c>
      <c r="AA172" s="149">
        <v>1451.5</v>
      </c>
      <c r="AB172" s="149">
        <v>241.10095200000001</v>
      </c>
      <c r="AC172" s="149">
        <v>218.81909547738692</v>
      </c>
      <c r="AD172" s="156">
        <v>36.34687718592965</v>
      </c>
      <c r="AE172" s="149" t="str">
        <f>IFERROR(_xlfn.XLOOKUP(DATA_MASTER[[#This Row],[DATE]],RODEO[DATE],RODEO[ARTIST]),"")</f>
        <v/>
      </c>
      <c r="AF172" s="172">
        <f>IF(DATA_MASTER[[#This Row],[RODEO_ARTIST]]="",0,1)</f>
        <v>0</v>
      </c>
      <c r="AG172" t="str">
        <f>IFERROR(RIGHT(_xlfn.XLOOKUP(DATA_MASTER[[#This Row],[DATE]],ASTROS[DATE],ASTROS[OPPONENT]),LEN(_xlfn.XLOOKUP(DATA_MASTER[[#This Row],[DATE]],ASTROS[DATE],ASTROS[OPPONENT]))-3),"NO GAME")</f>
        <v>NO GAME</v>
      </c>
      <c r="AH172">
        <f>IF(DATA_MASTER[[#This Row],[ASTROS_GAME]]="NO GAME",0,1)</f>
        <v>0</v>
      </c>
      <c r="AI172">
        <f>_xlfn.XLOOKUP(DATA_MASTER[[#This Row],[DATE]],WEATHER[DATE],WEATHER[tempmax])</f>
        <v>68.099999999999994</v>
      </c>
      <c r="AJ172">
        <f>_xlfn.XLOOKUP(DATA_MASTER[[#This Row],[DATE]],WEATHER[DATE],WEATHER[precip])</f>
        <v>0</v>
      </c>
    </row>
    <row r="173" spans="1:36" x14ac:dyDescent="0.35">
      <c r="A173" s="155">
        <v>45324</v>
      </c>
      <c r="B173" s="144" t="s">
        <v>46</v>
      </c>
      <c r="C173" s="144" t="s">
        <v>48</v>
      </c>
      <c r="D173" s="144" t="s">
        <v>61</v>
      </c>
      <c r="E173" s="145">
        <f t="shared" si="55"/>
        <v>1</v>
      </c>
      <c r="F173" s="146">
        <f t="shared" si="38"/>
        <v>0</v>
      </c>
      <c r="G173" s="146">
        <f t="shared" si="39"/>
        <v>0</v>
      </c>
      <c r="H173" s="146">
        <f t="shared" si="40"/>
        <v>0</v>
      </c>
      <c r="I173" s="146">
        <f t="shared" si="41"/>
        <v>0</v>
      </c>
      <c r="J173" s="146">
        <f t="shared" si="42"/>
        <v>1</v>
      </c>
      <c r="K173" s="146">
        <f t="shared" si="43"/>
        <v>0</v>
      </c>
      <c r="L173" s="147">
        <f t="shared" si="56"/>
        <v>0</v>
      </c>
      <c r="M173" s="147">
        <f t="shared" si="44"/>
        <v>1</v>
      </c>
      <c r="N173" s="147">
        <f t="shared" si="45"/>
        <v>0</v>
      </c>
      <c r="O173" s="147">
        <f t="shared" si="46"/>
        <v>0</v>
      </c>
      <c r="P173" s="147">
        <f t="shared" si="47"/>
        <v>0</v>
      </c>
      <c r="Q173" s="147">
        <f t="shared" si="48"/>
        <v>0</v>
      </c>
      <c r="R173" s="147">
        <f t="shared" si="49"/>
        <v>0</v>
      </c>
      <c r="S173" s="147">
        <f t="shared" si="50"/>
        <v>0</v>
      </c>
      <c r="T173" s="147">
        <f t="shared" si="51"/>
        <v>0</v>
      </c>
      <c r="U173" s="147">
        <f t="shared" si="52"/>
        <v>0</v>
      </c>
      <c r="V173" s="147">
        <f t="shared" si="53"/>
        <v>0</v>
      </c>
      <c r="W173" s="129">
        <v>1</v>
      </c>
      <c r="X173" s="144" t="str">
        <f t="shared" si="54"/>
        <v>WEEKEND</v>
      </c>
      <c r="Y173" s="148">
        <v>7.9666666666666668</v>
      </c>
      <c r="Z173" s="144" t="s">
        <v>45</v>
      </c>
      <c r="AA173" s="149">
        <v>1462</v>
      </c>
      <c r="AB173" s="149">
        <v>276.31105599999995</v>
      </c>
      <c r="AC173" s="149">
        <v>183.51464435146443</v>
      </c>
      <c r="AD173" s="156">
        <v>34.683396150627608</v>
      </c>
      <c r="AE173" s="149" t="str">
        <f>IFERROR(_xlfn.XLOOKUP(DATA_MASTER[[#This Row],[DATE]],RODEO[DATE],RODEO[ARTIST]),"")</f>
        <v/>
      </c>
      <c r="AF173" s="172">
        <f>IF(DATA_MASTER[[#This Row],[RODEO_ARTIST]]="",0,1)</f>
        <v>0</v>
      </c>
      <c r="AG173" t="str">
        <f>IFERROR(RIGHT(_xlfn.XLOOKUP(DATA_MASTER[[#This Row],[DATE]],ASTROS[DATE],ASTROS[OPPONENT]),LEN(_xlfn.XLOOKUP(DATA_MASTER[[#This Row],[DATE]],ASTROS[DATE],ASTROS[OPPONENT]))-3),"NO GAME")</f>
        <v>NO GAME</v>
      </c>
      <c r="AH173">
        <f>IF(DATA_MASTER[[#This Row],[ASTROS_GAME]]="NO GAME",0,1)</f>
        <v>0</v>
      </c>
      <c r="AI173">
        <f>_xlfn.XLOOKUP(DATA_MASTER[[#This Row],[DATE]],WEATHER[DATE],WEATHER[tempmax])</f>
        <v>71.7</v>
      </c>
      <c r="AJ173">
        <f>_xlfn.XLOOKUP(DATA_MASTER[[#This Row],[DATE]],WEATHER[DATE],WEATHER[precip])</f>
        <v>1E-3</v>
      </c>
    </row>
    <row r="174" spans="1:36" x14ac:dyDescent="0.35">
      <c r="A174" s="155">
        <v>45325</v>
      </c>
      <c r="B174" s="144" t="s">
        <v>42</v>
      </c>
      <c r="C174" s="144" t="s">
        <v>49</v>
      </c>
      <c r="D174" s="144" t="s">
        <v>61</v>
      </c>
      <c r="E174" s="145">
        <f t="shared" si="55"/>
        <v>0</v>
      </c>
      <c r="F174" s="146">
        <f t="shared" si="38"/>
        <v>0</v>
      </c>
      <c r="G174" s="146">
        <f t="shared" si="39"/>
        <v>0</v>
      </c>
      <c r="H174" s="146">
        <f t="shared" si="40"/>
        <v>0</v>
      </c>
      <c r="I174" s="146">
        <f t="shared" si="41"/>
        <v>0</v>
      </c>
      <c r="J174" s="146">
        <f t="shared" si="42"/>
        <v>0</v>
      </c>
      <c r="K174" s="146">
        <f t="shared" si="43"/>
        <v>1</v>
      </c>
      <c r="L174" s="147">
        <f t="shared" si="56"/>
        <v>0</v>
      </c>
      <c r="M174" s="147">
        <f t="shared" si="44"/>
        <v>1</v>
      </c>
      <c r="N174" s="147">
        <f t="shared" si="45"/>
        <v>0</v>
      </c>
      <c r="O174" s="147">
        <f t="shared" si="46"/>
        <v>0</v>
      </c>
      <c r="P174" s="147">
        <f t="shared" si="47"/>
        <v>0</v>
      </c>
      <c r="Q174" s="147">
        <f t="shared" si="48"/>
        <v>0</v>
      </c>
      <c r="R174" s="147">
        <f t="shared" si="49"/>
        <v>0</v>
      </c>
      <c r="S174" s="147">
        <f t="shared" si="50"/>
        <v>0</v>
      </c>
      <c r="T174" s="147">
        <f t="shared" si="51"/>
        <v>0</v>
      </c>
      <c r="U174" s="147">
        <f t="shared" si="52"/>
        <v>0</v>
      </c>
      <c r="V174" s="147">
        <f t="shared" si="53"/>
        <v>0</v>
      </c>
      <c r="W174" s="129">
        <v>1</v>
      </c>
      <c r="X174" s="144" t="str">
        <f t="shared" si="54"/>
        <v>WEEKEND</v>
      </c>
      <c r="Y174" s="148">
        <v>2.7333333333333334</v>
      </c>
      <c r="Z174" s="144" t="s">
        <v>45</v>
      </c>
      <c r="AA174" s="149">
        <v>207</v>
      </c>
      <c r="AB174" s="149">
        <v>43.126488000000002</v>
      </c>
      <c r="AC174" s="149">
        <v>75.731707317073173</v>
      </c>
      <c r="AD174" s="156">
        <v>15.777983414634146</v>
      </c>
      <c r="AE174" s="149" t="str">
        <f>IFERROR(_xlfn.XLOOKUP(DATA_MASTER[[#This Row],[DATE]],RODEO[DATE],RODEO[ARTIST]),"")</f>
        <v/>
      </c>
      <c r="AF174" s="172">
        <f>IF(DATA_MASTER[[#This Row],[RODEO_ARTIST]]="",0,1)</f>
        <v>0</v>
      </c>
      <c r="AG174" t="str">
        <f>IFERROR(RIGHT(_xlfn.XLOOKUP(DATA_MASTER[[#This Row],[DATE]],ASTROS[DATE],ASTROS[OPPONENT]),LEN(_xlfn.XLOOKUP(DATA_MASTER[[#This Row],[DATE]],ASTROS[DATE],ASTROS[OPPONENT]))-3),"NO GAME")</f>
        <v>NO GAME</v>
      </c>
      <c r="AH174">
        <f>IF(DATA_MASTER[[#This Row],[ASTROS_GAME]]="NO GAME",0,1)</f>
        <v>0</v>
      </c>
      <c r="AI174">
        <f>_xlfn.XLOOKUP(DATA_MASTER[[#This Row],[DATE]],WEATHER[DATE],WEATHER[tempmax])</f>
        <v>69.8</v>
      </c>
      <c r="AJ174">
        <f>_xlfn.XLOOKUP(DATA_MASTER[[#This Row],[DATE]],WEATHER[DATE],WEATHER[precip])</f>
        <v>1.2729999999999999</v>
      </c>
    </row>
    <row r="175" spans="1:36" x14ac:dyDescent="0.35">
      <c r="A175" s="155">
        <v>45326</v>
      </c>
      <c r="B175" s="144" t="s">
        <v>46</v>
      </c>
      <c r="C175" s="144" t="s">
        <v>50</v>
      </c>
      <c r="D175" s="144" t="s">
        <v>61</v>
      </c>
      <c r="E175" s="145">
        <f t="shared" si="55"/>
        <v>1</v>
      </c>
      <c r="F175" s="146">
        <f t="shared" si="38"/>
        <v>1</v>
      </c>
      <c r="G175" s="146">
        <f t="shared" si="39"/>
        <v>0</v>
      </c>
      <c r="H175" s="146">
        <f t="shared" si="40"/>
        <v>0</v>
      </c>
      <c r="I175" s="146">
        <f t="shared" si="41"/>
        <v>0</v>
      </c>
      <c r="J175" s="146">
        <f t="shared" si="42"/>
        <v>0</v>
      </c>
      <c r="K175" s="146">
        <f t="shared" si="43"/>
        <v>0</v>
      </c>
      <c r="L175" s="147">
        <f t="shared" si="56"/>
        <v>0</v>
      </c>
      <c r="M175" s="147">
        <f t="shared" si="44"/>
        <v>1</v>
      </c>
      <c r="N175" s="147">
        <f t="shared" si="45"/>
        <v>0</v>
      </c>
      <c r="O175" s="147">
        <f t="shared" si="46"/>
        <v>0</v>
      </c>
      <c r="P175" s="147">
        <f t="shared" si="47"/>
        <v>0</v>
      </c>
      <c r="Q175" s="147">
        <f t="shared" si="48"/>
        <v>0</v>
      </c>
      <c r="R175" s="147">
        <f t="shared" si="49"/>
        <v>0</v>
      </c>
      <c r="S175" s="147">
        <f t="shared" si="50"/>
        <v>0</v>
      </c>
      <c r="T175" s="147">
        <f t="shared" si="51"/>
        <v>0</v>
      </c>
      <c r="U175" s="147">
        <f t="shared" si="52"/>
        <v>0</v>
      </c>
      <c r="V175" s="147">
        <f t="shared" si="53"/>
        <v>0</v>
      </c>
      <c r="W175" s="129">
        <v>1</v>
      </c>
      <c r="X175" s="144" t="str">
        <f t="shared" si="54"/>
        <v>WEEKEND</v>
      </c>
      <c r="Y175" s="148">
        <v>4</v>
      </c>
      <c r="Z175" s="144" t="s">
        <v>45</v>
      </c>
      <c r="AA175" s="149">
        <v>1094.5</v>
      </c>
      <c r="AB175" s="149">
        <v>187.93316000000002</v>
      </c>
      <c r="AC175" s="149">
        <v>273.625</v>
      </c>
      <c r="AD175" s="156">
        <v>46.983290000000004</v>
      </c>
      <c r="AE175" s="149" t="str">
        <f>IFERROR(_xlfn.XLOOKUP(DATA_MASTER[[#This Row],[DATE]],RODEO[DATE],RODEO[ARTIST]),"")</f>
        <v/>
      </c>
      <c r="AF175" s="172">
        <f>IF(DATA_MASTER[[#This Row],[RODEO_ARTIST]]="",0,1)</f>
        <v>0</v>
      </c>
      <c r="AG175" t="str">
        <f>IFERROR(RIGHT(_xlfn.XLOOKUP(DATA_MASTER[[#This Row],[DATE]],ASTROS[DATE],ASTROS[OPPONENT]),LEN(_xlfn.XLOOKUP(DATA_MASTER[[#This Row],[DATE]],ASTROS[DATE],ASTROS[OPPONENT]))-3),"NO GAME")</f>
        <v>NO GAME</v>
      </c>
      <c r="AH175">
        <f>IF(DATA_MASTER[[#This Row],[ASTROS_GAME]]="NO GAME",0,1)</f>
        <v>0</v>
      </c>
      <c r="AI175">
        <f>_xlfn.XLOOKUP(DATA_MASTER[[#This Row],[DATE]],WEATHER[DATE],WEATHER[tempmax])</f>
        <v>68.099999999999994</v>
      </c>
      <c r="AJ175">
        <f>_xlfn.XLOOKUP(DATA_MASTER[[#This Row],[DATE]],WEATHER[DATE],WEATHER[precip])</f>
        <v>0</v>
      </c>
    </row>
    <row r="176" spans="1:36" x14ac:dyDescent="0.35">
      <c r="A176" s="155">
        <v>45327</v>
      </c>
      <c r="B176" s="144" t="s">
        <v>42</v>
      </c>
      <c r="C176" s="144" t="s">
        <v>51</v>
      </c>
      <c r="D176" s="144" t="s">
        <v>61</v>
      </c>
      <c r="E176" s="145">
        <f t="shared" si="55"/>
        <v>0</v>
      </c>
      <c r="F176" s="146">
        <f t="shared" si="38"/>
        <v>0</v>
      </c>
      <c r="G176" s="146">
        <f t="shared" si="39"/>
        <v>1</v>
      </c>
      <c r="H176" s="146">
        <f t="shared" si="40"/>
        <v>0</v>
      </c>
      <c r="I176" s="146">
        <f t="shared" si="41"/>
        <v>0</v>
      </c>
      <c r="J176" s="146">
        <f t="shared" si="42"/>
        <v>0</v>
      </c>
      <c r="K176" s="146">
        <f t="shared" si="43"/>
        <v>0</v>
      </c>
      <c r="L176" s="147">
        <f t="shared" si="56"/>
        <v>0</v>
      </c>
      <c r="M176" s="147">
        <f t="shared" si="44"/>
        <v>1</v>
      </c>
      <c r="N176" s="147">
        <f t="shared" si="45"/>
        <v>0</v>
      </c>
      <c r="O176" s="147">
        <f t="shared" si="46"/>
        <v>0</v>
      </c>
      <c r="P176" s="147">
        <f t="shared" si="47"/>
        <v>0</v>
      </c>
      <c r="Q176" s="147">
        <f t="shared" si="48"/>
        <v>0</v>
      </c>
      <c r="R176" s="147">
        <f t="shared" si="49"/>
        <v>0</v>
      </c>
      <c r="S176" s="147">
        <f t="shared" si="50"/>
        <v>0</v>
      </c>
      <c r="T176" s="147">
        <f t="shared" si="51"/>
        <v>0</v>
      </c>
      <c r="U176" s="147">
        <f t="shared" si="52"/>
        <v>0</v>
      </c>
      <c r="V176" s="147">
        <f t="shared" si="53"/>
        <v>0</v>
      </c>
      <c r="W176" s="129">
        <v>0</v>
      </c>
      <c r="X176" s="144" t="str">
        <f t="shared" si="54"/>
        <v>WEEKDAY</v>
      </c>
      <c r="Y176" s="148">
        <v>2.5166666666666666</v>
      </c>
      <c r="Z176" s="144" t="s">
        <v>55</v>
      </c>
      <c r="AA176" s="149">
        <v>334</v>
      </c>
      <c r="AB176" s="149">
        <v>57.636924</v>
      </c>
      <c r="AC176" s="149">
        <v>132.71523178807948</v>
      </c>
      <c r="AD176" s="156">
        <v>22.902089006622518</v>
      </c>
      <c r="AE176" s="149" t="str">
        <f>IFERROR(_xlfn.XLOOKUP(DATA_MASTER[[#This Row],[DATE]],RODEO[DATE],RODEO[ARTIST]),"")</f>
        <v/>
      </c>
      <c r="AF176" s="172">
        <f>IF(DATA_MASTER[[#This Row],[RODEO_ARTIST]]="",0,1)</f>
        <v>0</v>
      </c>
      <c r="AG176" t="str">
        <f>IFERROR(RIGHT(_xlfn.XLOOKUP(DATA_MASTER[[#This Row],[DATE]],ASTROS[DATE],ASTROS[OPPONENT]),LEN(_xlfn.XLOOKUP(DATA_MASTER[[#This Row],[DATE]],ASTROS[DATE],ASTROS[OPPONENT]))-3),"NO GAME")</f>
        <v>NO GAME</v>
      </c>
      <c r="AH176">
        <f>IF(DATA_MASTER[[#This Row],[ASTROS_GAME]]="NO GAME",0,1)</f>
        <v>0</v>
      </c>
      <c r="AI176">
        <f>_xlfn.XLOOKUP(DATA_MASTER[[#This Row],[DATE]],WEATHER[DATE],WEATHER[tempmax])</f>
        <v>62.7</v>
      </c>
      <c r="AJ176">
        <f>_xlfn.XLOOKUP(DATA_MASTER[[#This Row],[DATE]],WEATHER[DATE],WEATHER[precip])</f>
        <v>0</v>
      </c>
    </row>
    <row r="177" spans="1:36" x14ac:dyDescent="0.35">
      <c r="A177" s="155">
        <v>45327</v>
      </c>
      <c r="B177" s="144" t="s">
        <v>46</v>
      </c>
      <c r="C177" s="144" t="s">
        <v>51</v>
      </c>
      <c r="D177" s="144" t="s">
        <v>61</v>
      </c>
      <c r="E177" s="145">
        <f t="shared" si="55"/>
        <v>1</v>
      </c>
      <c r="F177" s="146">
        <f t="shared" si="38"/>
        <v>0</v>
      </c>
      <c r="G177" s="146">
        <f t="shared" si="39"/>
        <v>1</v>
      </c>
      <c r="H177" s="146">
        <f t="shared" si="40"/>
        <v>0</v>
      </c>
      <c r="I177" s="146">
        <f t="shared" si="41"/>
        <v>0</v>
      </c>
      <c r="J177" s="146">
        <f t="shared" si="42"/>
        <v>0</v>
      </c>
      <c r="K177" s="146">
        <f t="shared" si="43"/>
        <v>0</v>
      </c>
      <c r="L177" s="147">
        <f t="shared" si="56"/>
        <v>0</v>
      </c>
      <c r="M177" s="147">
        <f t="shared" si="44"/>
        <v>1</v>
      </c>
      <c r="N177" s="147">
        <f t="shared" si="45"/>
        <v>0</v>
      </c>
      <c r="O177" s="147">
        <f t="shared" si="46"/>
        <v>0</v>
      </c>
      <c r="P177" s="147">
        <f t="shared" si="47"/>
        <v>0</v>
      </c>
      <c r="Q177" s="147">
        <f t="shared" si="48"/>
        <v>0</v>
      </c>
      <c r="R177" s="147">
        <f t="shared" si="49"/>
        <v>0</v>
      </c>
      <c r="S177" s="147">
        <f t="shared" si="50"/>
        <v>0</v>
      </c>
      <c r="T177" s="147">
        <f t="shared" si="51"/>
        <v>0</v>
      </c>
      <c r="U177" s="147">
        <f t="shared" si="52"/>
        <v>0</v>
      </c>
      <c r="V177" s="147">
        <f t="shared" si="53"/>
        <v>0</v>
      </c>
      <c r="W177" s="129">
        <v>0</v>
      </c>
      <c r="X177" s="144" t="str">
        <f t="shared" si="54"/>
        <v>WEEKDAY</v>
      </c>
      <c r="Y177" s="148">
        <v>4.5333333333333332</v>
      </c>
      <c r="Z177" s="144" t="s">
        <v>55</v>
      </c>
      <c r="AA177" s="149">
        <v>1044</v>
      </c>
      <c r="AB177" s="149">
        <v>184.10223999999999</v>
      </c>
      <c r="AC177" s="149">
        <v>230.29411764705884</v>
      </c>
      <c r="AD177" s="156">
        <v>40.610788235294116</v>
      </c>
      <c r="AE177" s="149" t="str">
        <f>IFERROR(_xlfn.XLOOKUP(DATA_MASTER[[#This Row],[DATE]],RODEO[DATE],RODEO[ARTIST]),"")</f>
        <v/>
      </c>
      <c r="AF177" s="172">
        <f>IF(DATA_MASTER[[#This Row],[RODEO_ARTIST]]="",0,1)</f>
        <v>0</v>
      </c>
      <c r="AG177" t="str">
        <f>IFERROR(RIGHT(_xlfn.XLOOKUP(DATA_MASTER[[#This Row],[DATE]],ASTROS[DATE],ASTROS[OPPONENT]),LEN(_xlfn.XLOOKUP(DATA_MASTER[[#This Row],[DATE]],ASTROS[DATE],ASTROS[OPPONENT]))-3),"NO GAME")</f>
        <v>NO GAME</v>
      </c>
      <c r="AH177">
        <f>IF(DATA_MASTER[[#This Row],[ASTROS_GAME]]="NO GAME",0,1)</f>
        <v>0</v>
      </c>
      <c r="AI177">
        <f>_xlfn.XLOOKUP(DATA_MASTER[[#This Row],[DATE]],WEATHER[DATE],WEATHER[tempmax])</f>
        <v>62.7</v>
      </c>
      <c r="AJ177">
        <f>_xlfn.XLOOKUP(DATA_MASTER[[#This Row],[DATE]],WEATHER[DATE],WEATHER[precip])</f>
        <v>0</v>
      </c>
    </row>
    <row r="178" spans="1:36" x14ac:dyDescent="0.35">
      <c r="A178" s="155">
        <v>45329</v>
      </c>
      <c r="B178" s="144" t="s">
        <v>42</v>
      </c>
      <c r="C178" s="144" t="s">
        <v>44</v>
      </c>
      <c r="D178" s="144" t="s">
        <v>61</v>
      </c>
      <c r="E178" s="145">
        <f t="shared" si="55"/>
        <v>0</v>
      </c>
      <c r="F178" s="146">
        <f t="shared" si="38"/>
        <v>0</v>
      </c>
      <c r="G178" s="146">
        <f t="shared" si="39"/>
        <v>0</v>
      </c>
      <c r="H178" s="146">
        <f t="shared" si="40"/>
        <v>1</v>
      </c>
      <c r="I178" s="146">
        <f t="shared" si="41"/>
        <v>0</v>
      </c>
      <c r="J178" s="146">
        <f t="shared" si="42"/>
        <v>0</v>
      </c>
      <c r="K178" s="146">
        <f t="shared" si="43"/>
        <v>0</v>
      </c>
      <c r="L178" s="147">
        <f t="shared" si="56"/>
        <v>0</v>
      </c>
      <c r="M178" s="147">
        <f t="shared" si="44"/>
        <v>1</v>
      </c>
      <c r="N178" s="147">
        <f t="shared" si="45"/>
        <v>0</v>
      </c>
      <c r="O178" s="147">
        <f t="shared" si="46"/>
        <v>0</v>
      </c>
      <c r="P178" s="147">
        <f t="shared" si="47"/>
        <v>0</v>
      </c>
      <c r="Q178" s="147">
        <f t="shared" si="48"/>
        <v>0</v>
      </c>
      <c r="R178" s="147">
        <f t="shared" si="49"/>
        <v>0</v>
      </c>
      <c r="S178" s="147">
        <f t="shared" si="50"/>
        <v>0</v>
      </c>
      <c r="T178" s="147">
        <f t="shared" si="51"/>
        <v>0</v>
      </c>
      <c r="U178" s="147">
        <f t="shared" si="52"/>
        <v>0</v>
      </c>
      <c r="V178" s="147">
        <f t="shared" si="53"/>
        <v>0</v>
      </c>
      <c r="W178" s="129">
        <v>0</v>
      </c>
      <c r="X178" s="144" t="str">
        <f t="shared" si="54"/>
        <v>WEEKDAY</v>
      </c>
      <c r="Y178" s="148">
        <v>3.7833333333333332</v>
      </c>
      <c r="Z178" s="144" t="s">
        <v>55</v>
      </c>
      <c r="AA178" s="149">
        <v>980</v>
      </c>
      <c r="AB178" s="149">
        <v>220.50298800000002</v>
      </c>
      <c r="AC178" s="149">
        <v>259.03083700440527</v>
      </c>
      <c r="AD178" s="156">
        <v>58.282728105726875</v>
      </c>
      <c r="AE178" s="149" t="str">
        <f>IFERROR(_xlfn.XLOOKUP(DATA_MASTER[[#This Row],[DATE]],RODEO[DATE],RODEO[ARTIST]),"")</f>
        <v/>
      </c>
      <c r="AF178" s="172">
        <f>IF(DATA_MASTER[[#This Row],[RODEO_ARTIST]]="",0,1)</f>
        <v>0</v>
      </c>
      <c r="AG178" t="str">
        <f>IFERROR(RIGHT(_xlfn.XLOOKUP(DATA_MASTER[[#This Row],[DATE]],ASTROS[DATE],ASTROS[OPPONENT]),LEN(_xlfn.XLOOKUP(DATA_MASTER[[#This Row],[DATE]],ASTROS[DATE],ASTROS[OPPONENT]))-3),"NO GAME")</f>
        <v>NO GAME</v>
      </c>
      <c r="AH178">
        <f>IF(DATA_MASTER[[#This Row],[ASTROS_GAME]]="NO GAME",0,1)</f>
        <v>0</v>
      </c>
      <c r="AI178">
        <f>_xlfn.XLOOKUP(DATA_MASTER[[#This Row],[DATE]],WEATHER[DATE],WEATHER[tempmax])</f>
        <v>68.099999999999994</v>
      </c>
      <c r="AJ178">
        <f>_xlfn.XLOOKUP(DATA_MASTER[[#This Row],[DATE]],WEATHER[DATE],WEATHER[precip])</f>
        <v>0</v>
      </c>
    </row>
    <row r="179" spans="1:36" x14ac:dyDescent="0.35">
      <c r="A179" s="155">
        <v>45329</v>
      </c>
      <c r="B179" s="144" t="s">
        <v>46</v>
      </c>
      <c r="C179" s="144" t="s">
        <v>44</v>
      </c>
      <c r="D179" s="144" t="s">
        <v>61</v>
      </c>
      <c r="E179" s="145">
        <f t="shared" si="55"/>
        <v>1</v>
      </c>
      <c r="F179" s="146">
        <f t="shared" si="38"/>
        <v>0</v>
      </c>
      <c r="G179" s="146">
        <f t="shared" si="39"/>
        <v>0</v>
      </c>
      <c r="H179" s="146">
        <f t="shared" si="40"/>
        <v>1</v>
      </c>
      <c r="I179" s="146">
        <f t="shared" si="41"/>
        <v>0</v>
      </c>
      <c r="J179" s="146">
        <f t="shared" si="42"/>
        <v>0</v>
      </c>
      <c r="K179" s="146">
        <f t="shared" si="43"/>
        <v>0</v>
      </c>
      <c r="L179" s="147">
        <f t="shared" si="56"/>
        <v>0</v>
      </c>
      <c r="M179" s="147">
        <f t="shared" si="44"/>
        <v>1</v>
      </c>
      <c r="N179" s="147">
        <f t="shared" si="45"/>
        <v>0</v>
      </c>
      <c r="O179" s="147">
        <f t="shared" si="46"/>
        <v>0</v>
      </c>
      <c r="P179" s="147">
        <f t="shared" si="47"/>
        <v>0</v>
      </c>
      <c r="Q179" s="147">
        <f t="shared" si="48"/>
        <v>0</v>
      </c>
      <c r="R179" s="147">
        <f t="shared" si="49"/>
        <v>0</v>
      </c>
      <c r="S179" s="147">
        <f t="shared" si="50"/>
        <v>0</v>
      </c>
      <c r="T179" s="147">
        <f t="shared" si="51"/>
        <v>0</v>
      </c>
      <c r="U179" s="147">
        <f t="shared" si="52"/>
        <v>0</v>
      </c>
      <c r="V179" s="147">
        <f t="shared" si="53"/>
        <v>0</v>
      </c>
      <c r="W179" s="129">
        <v>0</v>
      </c>
      <c r="X179" s="144" t="str">
        <f t="shared" si="54"/>
        <v>WEEKDAY</v>
      </c>
      <c r="Y179" s="148">
        <v>5.7833333333333332</v>
      </c>
      <c r="Z179" s="144" t="s">
        <v>55</v>
      </c>
      <c r="AA179" s="149">
        <v>1491.5</v>
      </c>
      <c r="AB179" s="149">
        <v>248.87699599999996</v>
      </c>
      <c r="AC179" s="149">
        <v>257.89625360230548</v>
      </c>
      <c r="AD179" s="156">
        <v>43.033486340057628</v>
      </c>
      <c r="AE179" s="149" t="str">
        <f>IFERROR(_xlfn.XLOOKUP(DATA_MASTER[[#This Row],[DATE]],RODEO[DATE],RODEO[ARTIST]),"")</f>
        <v/>
      </c>
      <c r="AF179" s="172">
        <f>IF(DATA_MASTER[[#This Row],[RODEO_ARTIST]]="",0,1)</f>
        <v>0</v>
      </c>
      <c r="AG179" t="str">
        <f>IFERROR(RIGHT(_xlfn.XLOOKUP(DATA_MASTER[[#This Row],[DATE]],ASTROS[DATE],ASTROS[OPPONENT]),LEN(_xlfn.XLOOKUP(DATA_MASTER[[#This Row],[DATE]],ASTROS[DATE],ASTROS[OPPONENT]))-3),"NO GAME")</f>
        <v>NO GAME</v>
      </c>
      <c r="AH179">
        <f>IF(DATA_MASTER[[#This Row],[ASTROS_GAME]]="NO GAME",0,1)</f>
        <v>0</v>
      </c>
      <c r="AI179">
        <f>_xlfn.XLOOKUP(DATA_MASTER[[#This Row],[DATE]],WEATHER[DATE],WEATHER[tempmax])</f>
        <v>68.099999999999994</v>
      </c>
      <c r="AJ179">
        <f>_xlfn.XLOOKUP(DATA_MASTER[[#This Row],[DATE]],WEATHER[DATE],WEATHER[precip])</f>
        <v>0</v>
      </c>
    </row>
    <row r="180" spans="1:36" x14ac:dyDescent="0.35">
      <c r="A180" s="155">
        <v>45330</v>
      </c>
      <c r="B180" s="144" t="s">
        <v>46</v>
      </c>
      <c r="C180" s="144" t="s">
        <v>47</v>
      </c>
      <c r="D180" s="144" t="s">
        <v>61</v>
      </c>
      <c r="E180" s="145">
        <f t="shared" si="55"/>
        <v>1</v>
      </c>
      <c r="F180" s="146">
        <f t="shared" si="38"/>
        <v>0</v>
      </c>
      <c r="G180" s="146">
        <f t="shared" si="39"/>
        <v>0</v>
      </c>
      <c r="H180" s="146">
        <f t="shared" si="40"/>
        <v>0</v>
      </c>
      <c r="I180" s="146">
        <f t="shared" si="41"/>
        <v>1</v>
      </c>
      <c r="J180" s="146">
        <f t="shared" si="42"/>
        <v>0</v>
      </c>
      <c r="K180" s="146">
        <f t="shared" si="43"/>
        <v>0</v>
      </c>
      <c r="L180" s="147">
        <f t="shared" si="56"/>
        <v>0</v>
      </c>
      <c r="M180" s="147">
        <f t="shared" si="44"/>
        <v>1</v>
      </c>
      <c r="N180" s="147">
        <f t="shared" si="45"/>
        <v>0</v>
      </c>
      <c r="O180" s="147">
        <f t="shared" si="46"/>
        <v>0</v>
      </c>
      <c r="P180" s="147">
        <f t="shared" si="47"/>
        <v>0</v>
      </c>
      <c r="Q180" s="147">
        <f t="shared" si="48"/>
        <v>0</v>
      </c>
      <c r="R180" s="147">
        <f t="shared" si="49"/>
        <v>0</v>
      </c>
      <c r="S180" s="147">
        <f t="shared" si="50"/>
        <v>0</v>
      </c>
      <c r="T180" s="147">
        <f t="shared" si="51"/>
        <v>0</v>
      </c>
      <c r="U180" s="147">
        <f t="shared" si="52"/>
        <v>0</v>
      </c>
      <c r="V180" s="147">
        <f t="shared" si="53"/>
        <v>0</v>
      </c>
      <c r="W180" s="129">
        <v>0</v>
      </c>
      <c r="X180" s="144" t="str">
        <f t="shared" si="54"/>
        <v>WEEKDAY</v>
      </c>
      <c r="Y180" s="148">
        <v>6.1333333333333337</v>
      </c>
      <c r="Z180" s="144" t="s">
        <v>45</v>
      </c>
      <c r="AA180" s="149">
        <v>1198</v>
      </c>
      <c r="AB180" s="149">
        <v>206.80472799999998</v>
      </c>
      <c r="AC180" s="149">
        <v>195.32608695652172</v>
      </c>
      <c r="AD180" s="156">
        <v>33.718162173913036</v>
      </c>
      <c r="AE180" s="149" t="str">
        <f>IFERROR(_xlfn.XLOOKUP(DATA_MASTER[[#This Row],[DATE]],RODEO[DATE],RODEO[ARTIST]),"")</f>
        <v/>
      </c>
      <c r="AF180" s="172">
        <f>IF(DATA_MASTER[[#This Row],[RODEO_ARTIST]]="",0,1)</f>
        <v>0</v>
      </c>
      <c r="AG180" t="str">
        <f>IFERROR(RIGHT(_xlfn.XLOOKUP(DATA_MASTER[[#This Row],[DATE]],ASTROS[DATE],ASTROS[OPPONENT]),LEN(_xlfn.XLOOKUP(DATA_MASTER[[#This Row],[DATE]],ASTROS[DATE],ASTROS[OPPONENT]))-3),"NO GAME")</f>
        <v>NO GAME</v>
      </c>
      <c r="AH180">
        <f>IF(DATA_MASTER[[#This Row],[ASTROS_GAME]]="NO GAME",0,1)</f>
        <v>0</v>
      </c>
      <c r="AI180">
        <f>_xlfn.XLOOKUP(DATA_MASTER[[#This Row],[DATE]],WEATHER[DATE],WEATHER[tempmax])</f>
        <v>73.400000000000006</v>
      </c>
      <c r="AJ180">
        <f>_xlfn.XLOOKUP(DATA_MASTER[[#This Row],[DATE]],WEATHER[DATE],WEATHER[precip])</f>
        <v>0</v>
      </c>
    </row>
    <row r="181" spans="1:36" x14ac:dyDescent="0.35">
      <c r="A181" s="155">
        <v>45332</v>
      </c>
      <c r="B181" s="144" t="s">
        <v>42</v>
      </c>
      <c r="C181" s="144" t="s">
        <v>49</v>
      </c>
      <c r="D181" s="144" t="s">
        <v>61</v>
      </c>
      <c r="E181" s="145">
        <f t="shared" si="55"/>
        <v>0</v>
      </c>
      <c r="F181" s="146">
        <f t="shared" si="38"/>
        <v>0</v>
      </c>
      <c r="G181" s="146">
        <f t="shared" si="39"/>
        <v>0</v>
      </c>
      <c r="H181" s="146">
        <f t="shared" si="40"/>
        <v>0</v>
      </c>
      <c r="I181" s="146">
        <f t="shared" si="41"/>
        <v>0</v>
      </c>
      <c r="J181" s="146">
        <f t="shared" si="42"/>
        <v>0</v>
      </c>
      <c r="K181" s="146">
        <f t="shared" si="43"/>
        <v>1</v>
      </c>
      <c r="L181" s="147">
        <f t="shared" si="56"/>
        <v>0</v>
      </c>
      <c r="M181" s="147">
        <f t="shared" si="44"/>
        <v>1</v>
      </c>
      <c r="N181" s="147">
        <f t="shared" si="45"/>
        <v>0</v>
      </c>
      <c r="O181" s="147">
        <f t="shared" si="46"/>
        <v>0</v>
      </c>
      <c r="P181" s="147">
        <f t="shared" si="47"/>
        <v>0</v>
      </c>
      <c r="Q181" s="147">
        <f t="shared" si="48"/>
        <v>0</v>
      </c>
      <c r="R181" s="147">
        <f t="shared" si="49"/>
        <v>0</v>
      </c>
      <c r="S181" s="147">
        <f t="shared" si="50"/>
        <v>0</v>
      </c>
      <c r="T181" s="147">
        <f t="shared" si="51"/>
        <v>0</v>
      </c>
      <c r="U181" s="147">
        <f t="shared" si="52"/>
        <v>0</v>
      </c>
      <c r="V181" s="147">
        <f t="shared" si="53"/>
        <v>0</v>
      </c>
      <c r="W181" s="129">
        <v>1</v>
      </c>
      <c r="X181" s="144" t="str">
        <f t="shared" si="54"/>
        <v>WEEKEND</v>
      </c>
      <c r="Y181" s="148">
        <v>4.9333333333333336</v>
      </c>
      <c r="Z181" s="144" t="s">
        <v>45</v>
      </c>
      <c r="AA181" s="149">
        <v>908.5</v>
      </c>
      <c r="AB181" s="149">
        <v>175.62089600000002</v>
      </c>
      <c r="AC181" s="149">
        <v>184.15540540540539</v>
      </c>
      <c r="AD181" s="156">
        <v>35.59883027027027</v>
      </c>
      <c r="AE181" s="149" t="str">
        <f>IFERROR(_xlfn.XLOOKUP(DATA_MASTER[[#This Row],[DATE]],RODEO[DATE],RODEO[ARTIST]),"")</f>
        <v/>
      </c>
      <c r="AF181" s="172">
        <f>IF(DATA_MASTER[[#This Row],[RODEO_ARTIST]]="",0,1)</f>
        <v>0</v>
      </c>
      <c r="AG181" t="str">
        <f>IFERROR(RIGHT(_xlfn.XLOOKUP(DATA_MASTER[[#This Row],[DATE]],ASTROS[DATE],ASTROS[OPPONENT]),LEN(_xlfn.XLOOKUP(DATA_MASTER[[#This Row],[DATE]],ASTROS[DATE],ASTROS[OPPONENT]))-3),"NO GAME")</f>
        <v>NO GAME</v>
      </c>
      <c r="AH181">
        <f>IF(DATA_MASTER[[#This Row],[ASTROS_GAME]]="NO GAME",0,1)</f>
        <v>0</v>
      </c>
      <c r="AI181">
        <f>_xlfn.XLOOKUP(DATA_MASTER[[#This Row],[DATE]],WEATHER[DATE],WEATHER[tempmax])</f>
        <v>73.400000000000006</v>
      </c>
      <c r="AJ181">
        <f>_xlfn.XLOOKUP(DATA_MASTER[[#This Row],[DATE]],WEATHER[DATE],WEATHER[precip])</f>
        <v>3.7999999999999999E-2</v>
      </c>
    </row>
    <row r="182" spans="1:36" x14ac:dyDescent="0.35">
      <c r="A182" s="155">
        <v>45333</v>
      </c>
      <c r="B182" s="144" t="s">
        <v>42</v>
      </c>
      <c r="C182" s="144" t="s">
        <v>50</v>
      </c>
      <c r="D182" s="144" t="s">
        <v>61</v>
      </c>
      <c r="E182" s="145">
        <f t="shared" si="55"/>
        <v>0</v>
      </c>
      <c r="F182" s="146">
        <f t="shared" si="38"/>
        <v>1</v>
      </c>
      <c r="G182" s="146">
        <f t="shared" si="39"/>
        <v>0</v>
      </c>
      <c r="H182" s="146">
        <f t="shared" si="40"/>
        <v>0</v>
      </c>
      <c r="I182" s="146">
        <f t="shared" si="41"/>
        <v>0</v>
      </c>
      <c r="J182" s="146">
        <f t="shared" si="42"/>
        <v>0</v>
      </c>
      <c r="K182" s="146">
        <f t="shared" si="43"/>
        <v>0</v>
      </c>
      <c r="L182" s="147">
        <f t="shared" si="56"/>
        <v>0</v>
      </c>
      <c r="M182" s="147">
        <f t="shared" si="44"/>
        <v>1</v>
      </c>
      <c r="N182" s="147">
        <f t="shared" si="45"/>
        <v>0</v>
      </c>
      <c r="O182" s="147">
        <f t="shared" si="46"/>
        <v>0</v>
      </c>
      <c r="P182" s="147">
        <f t="shared" si="47"/>
        <v>0</v>
      </c>
      <c r="Q182" s="147">
        <f t="shared" si="48"/>
        <v>0</v>
      </c>
      <c r="R182" s="147">
        <f t="shared" si="49"/>
        <v>0</v>
      </c>
      <c r="S182" s="147">
        <f t="shared" si="50"/>
        <v>0</v>
      </c>
      <c r="T182" s="147">
        <f t="shared" si="51"/>
        <v>0</v>
      </c>
      <c r="U182" s="147">
        <f t="shared" si="52"/>
        <v>0</v>
      </c>
      <c r="V182" s="147">
        <f t="shared" si="53"/>
        <v>0</v>
      </c>
      <c r="W182" s="129">
        <v>1</v>
      </c>
      <c r="X182" s="144" t="str">
        <f t="shared" si="54"/>
        <v>WEEKEND</v>
      </c>
      <c r="Y182" s="148">
        <v>3.6666666666666665</v>
      </c>
      <c r="Z182" s="144" t="s">
        <v>45</v>
      </c>
      <c r="AA182" s="149">
        <v>513</v>
      </c>
      <c r="AB182" s="149">
        <v>87.969680000000011</v>
      </c>
      <c r="AC182" s="149">
        <v>139.90909090909091</v>
      </c>
      <c r="AD182" s="156">
        <v>23.991730909090911</v>
      </c>
      <c r="AE182" s="149" t="str">
        <f>IFERROR(_xlfn.XLOOKUP(DATA_MASTER[[#This Row],[DATE]],RODEO[DATE],RODEO[ARTIST]),"")</f>
        <v/>
      </c>
      <c r="AF182" s="172">
        <f>IF(DATA_MASTER[[#This Row],[RODEO_ARTIST]]="",0,1)</f>
        <v>0</v>
      </c>
      <c r="AG182" t="str">
        <f>IFERROR(RIGHT(_xlfn.XLOOKUP(DATA_MASTER[[#This Row],[DATE]],ASTROS[DATE],ASTROS[OPPONENT]),LEN(_xlfn.XLOOKUP(DATA_MASTER[[#This Row],[DATE]],ASTROS[DATE],ASTROS[OPPONENT]))-3),"NO GAME")</f>
        <v>NO GAME</v>
      </c>
      <c r="AH182">
        <f>IF(DATA_MASTER[[#This Row],[ASTROS_GAME]]="NO GAME",0,1)</f>
        <v>0</v>
      </c>
      <c r="AI182">
        <f>_xlfn.XLOOKUP(DATA_MASTER[[#This Row],[DATE]],WEATHER[DATE],WEATHER[tempmax])</f>
        <v>75.3</v>
      </c>
      <c r="AJ182">
        <f>_xlfn.XLOOKUP(DATA_MASTER[[#This Row],[DATE]],WEATHER[DATE],WEATHER[precip])</f>
        <v>0.03</v>
      </c>
    </row>
    <row r="183" spans="1:36" x14ac:dyDescent="0.35">
      <c r="A183" s="155">
        <v>45334</v>
      </c>
      <c r="B183" s="144" t="s">
        <v>42</v>
      </c>
      <c r="C183" s="144" t="s">
        <v>51</v>
      </c>
      <c r="D183" s="144" t="s">
        <v>61</v>
      </c>
      <c r="E183" s="145">
        <f t="shared" si="55"/>
        <v>0</v>
      </c>
      <c r="F183" s="146">
        <f t="shared" si="38"/>
        <v>0</v>
      </c>
      <c r="G183" s="146">
        <f t="shared" si="39"/>
        <v>1</v>
      </c>
      <c r="H183" s="146">
        <f t="shared" si="40"/>
        <v>0</v>
      </c>
      <c r="I183" s="146">
        <f t="shared" si="41"/>
        <v>0</v>
      </c>
      <c r="J183" s="146">
        <f t="shared" si="42"/>
        <v>0</v>
      </c>
      <c r="K183" s="146">
        <f t="shared" si="43"/>
        <v>0</v>
      </c>
      <c r="L183" s="147">
        <f t="shared" si="56"/>
        <v>0</v>
      </c>
      <c r="M183" s="147">
        <f t="shared" si="44"/>
        <v>1</v>
      </c>
      <c r="N183" s="147">
        <f t="shared" si="45"/>
        <v>0</v>
      </c>
      <c r="O183" s="147">
        <f t="shared" si="46"/>
        <v>0</v>
      </c>
      <c r="P183" s="147">
        <f t="shared" si="47"/>
        <v>0</v>
      </c>
      <c r="Q183" s="147">
        <f t="shared" si="48"/>
        <v>0</v>
      </c>
      <c r="R183" s="147">
        <f t="shared" si="49"/>
        <v>0</v>
      </c>
      <c r="S183" s="147">
        <f t="shared" si="50"/>
        <v>0</v>
      </c>
      <c r="T183" s="147">
        <f t="shared" si="51"/>
        <v>0</v>
      </c>
      <c r="U183" s="147">
        <f t="shared" si="52"/>
        <v>0</v>
      </c>
      <c r="V183" s="147">
        <f t="shared" si="53"/>
        <v>0</v>
      </c>
      <c r="W183" s="129">
        <v>0</v>
      </c>
      <c r="X183" s="144" t="str">
        <f t="shared" si="54"/>
        <v>WEEKDAY</v>
      </c>
      <c r="Y183" s="148">
        <v>1.9166666666666667</v>
      </c>
      <c r="Z183" s="144" t="s">
        <v>55</v>
      </c>
      <c r="AA183" s="149">
        <v>55</v>
      </c>
      <c r="AB183" s="149">
        <v>12.697699999999999</v>
      </c>
      <c r="AC183" s="149">
        <v>28.695652173913043</v>
      </c>
      <c r="AD183" s="156">
        <v>6.6248869565217383</v>
      </c>
      <c r="AE183" s="149" t="str">
        <f>IFERROR(_xlfn.XLOOKUP(DATA_MASTER[[#This Row],[DATE]],RODEO[DATE],RODEO[ARTIST]),"")</f>
        <v/>
      </c>
      <c r="AF183" s="172">
        <f>IF(DATA_MASTER[[#This Row],[RODEO_ARTIST]]="",0,1)</f>
        <v>0</v>
      </c>
      <c r="AG183" t="str">
        <f>IFERROR(RIGHT(_xlfn.XLOOKUP(DATA_MASTER[[#This Row],[DATE]],ASTROS[DATE],ASTROS[OPPONENT]),LEN(_xlfn.XLOOKUP(DATA_MASTER[[#This Row],[DATE]],ASTROS[DATE],ASTROS[OPPONENT]))-3),"NO GAME")</f>
        <v>NO GAME</v>
      </c>
      <c r="AH183">
        <f>IF(DATA_MASTER[[#This Row],[ASTROS_GAME]]="NO GAME",0,1)</f>
        <v>0</v>
      </c>
      <c r="AI183">
        <f>_xlfn.XLOOKUP(DATA_MASTER[[#This Row],[DATE]],WEATHER[DATE],WEATHER[tempmax])</f>
        <v>59.1</v>
      </c>
      <c r="AJ183">
        <f>_xlfn.XLOOKUP(DATA_MASTER[[#This Row],[DATE]],WEATHER[DATE],WEATHER[precip])</f>
        <v>0</v>
      </c>
    </row>
    <row r="184" spans="1:36" x14ac:dyDescent="0.35">
      <c r="A184" s="155">
        <v>45334</v>
      </c>
      <c r="B184" s="144" t="s">
        <v>46</v>
      </c>
      <c r="C184" s="144" t="s">
        <v>51</v>
      </c>
      <c r="D184" s="144" t="s">
        <v>61</v>
      </c>
      <c r="E184" s="145">
        <f t="shared" si="55"/>
        <v>1</v>
      </c>
      <c r="F184" s="146">
        <f t="shared" si="38"/>
        <v>0</v>
      </c>
      <c r="G184" s="146">
        <f t="shared" si="39"/>
        <v>1</v>
      </c>
      <c r="H184" s="146">
        <f t="shared" si="40"/>
        <v>0</v>
      </c>
      <c r="I184" s="146">
        <f t="shared" si="41"/>
        <v>0</v>
      </c>
      <c r="J184" s="146">
        <f t="shared" si="42"/>
        <v>0</v>
      </c>
      <c r="K184" s="146">
        <f t="shared" si="43"/>
        <v>0</v>
      </c>
      <c r="L184" s="147">
        <f t="shared" si="56"/>
        <v>0</v>
      </c>
      <c r="M184" s="147">
        <f t="shared" si="44"/>
        <v>1</v>
      </c>
      <c r="N184" s="147">
        <f t="shared" si="45"/>
        <v>0</v>
      </c>
      <c r="O184" s="147">
        <f t="shared" si="46"/>
        <v>0</v>
      </c>
      <c r="P184" s="147">
        <f t="shared" si="47"/>
        <v>0</v>
      </c>
      <c r="Q184" s="147">
        <f t="shared" si="48"/>
        <v>0</v>
      </c>
      <c r="R184" s="147">
        <f t="shared" si="49"/>
        <v>0</v>
      </c>
      <c r="S184" s="147">
        <f t="shared" si="50"/>
        <v>0</v>
      </c>
      <c r="T184" s="147">
        <f t="shared" si="51"/>
        <v>0</v>
      </c>
      <c r="U184" s="147">
        <f t="shared" si="52"/>
        <v>0</v>
      </c>
      <c r="V184" s="147">
        <f t="shared" si="53"/>
        <v>0</v>
      </c>
      <c r="W184" s="129">
        <v>0</v>
      </c>
      <c r="X184" s="144" t="str">
        <f t="shared" si="54"/>
        <v>WEEKDAY</v>
      </c>
      <c r="Y184" s="148">
        <v>4.3833333333333337</v>
      </c>
      <c r="Z184" s="144" t="s">
        <v>55</v>
      </c>
      <c r="AA184" s="149">
        <v>1041.5</v>
      </c>
      <c r="AB184" s="149">
        <v>141.91920399999998</v>
      </c>
      <c r="AC184" s="149">
        <v>237.60456273764257</v>
      </c>
      <c r="AD184" s="156">
        <v>32.377004714828892</v>
      </c>
      <c r="AE184" s="149" t="str">
        <f>IFERROR(_xlfn.XLOOKUP(DATA_MASTER[[#This Row],[DATE]],RODEO[DATE],RODEO[ARTIST]),"")</f>
        <v/>
      </c>
      <c r="AF184" s="172">
        <f>IF(DATA_MASTER[[#This Row],[RODEO_ARTIST]]="",0,1)</f>
        <v>0</v>
      </c>
      <c r="AG184" t="str">
        <f>IFERROR(RIGHT(_xlfn.XLOOKUP(DATA_MASTER[[#This Row],[DATE]],ASTROS[DATE],ASTROS[OPPONENT]),LEN(_xlfn.XLOOKUP(DATA_MASTER[[#This Row],[DATE]],ASTROS[DATE],ASTROS[OPPONENT]))-3),"NO GAME")</f>
        <v>NO GAME</v>
      </c>
      <c r="AH184">
        <f>IF(DATA_MASTER[[#This Row],[ASTROS_GAME]]="NO GAME",0,1)</f>
        <v>0</v>
      </c>
      <c r="AI184">
        <f>_xlfn.XLOOKUP(DATA_MASTER[[#This Row],[DATE]],WEATHER[DATE],WEATHER[tempmax])</f>
        <v>59.1</v>
      </c>
      <c r="AJ184">
        <f>_xlfn.XLOOKUP(DATA_MASTER[[#This Row],[DATE]],WEATHER[DATE],WEATHER[precip])</f>
        <v>0</v>
      </c>
    </row>
    <row r="185" spans="1:36" x14ac:dyDescent="0.35">
      <c r="A185" s="155">
        <v>45336</v>
      </c>
      <c r="B185" s="144" t="s">
        <v>46</v>
      </c>
      <c r="C185" s="144" t="s">
        <v>44</v>
      </c>
      <c r="D185" s="144" t="s">
        <v>61</v>
      </c>
      <c r="E185" s="145">
        <f t="shared" si="55"/>
        <v>1</v>
      </c>
      <c r="F185" s="146">
        <f t="shared" si="38"/>
        <v>0</v>
      </c>
      <c r="G185" s="146">
        <f t="shared" si="39"/>
        <v>0</v>
      </c>
      <c r="H185" s="146">
        <f t="shared" si="40"/>
        <v>1</v>
      </c>
      <c r="I185" s="146">
        <f t="shared" si="41"/>
        <v>0</v>
      </c>
      <c r="J185" s="146">
        <f t="shared" si="42"/>
        <v>0</v>
      </c>
      <c r="K185" s="146">
        <f t="shared" si="43"/>
        <v>0</v>
      </c>
      <c r="L185" s="147">
        <f t="shared" si="56"/>
        <v>0</v>
      </c>
      <c r="M185" s="147">
        <f t="shared" si="44"/>
        <v>1</v>
      </c>
      <c r="N185" s="147">
        <f t="shared" si="45"/>
        <v>0</v>
      </c>
      <c r="O185" s="147">
        <f t="shared" si="46"/>
        <v>0</v>
      </c>
      <c r="P185" s="147">
        <f t="shared" si="47"/>
        <v>0</v>
      </c>
      <c r="Q185" s="147">
        <f t="shared" si="48"/>
        <v>0</v>
      </c>
      <c r="R185" s="147">
        <f t="shared" si="49"/>
        <v>0</v>
      </c>
      <c r="S185" s="147">
        <f t="shared" si="50"/>
        <v>0</v>
      </c>
      <c r="T185" s="147">
        <f t="shared" si="51"/>
        <v>0</v>
      </c>
      <c r="U185" s="147">
        <f t="shared" si="52"/>
        <v>0</v>
      </c>
      <c r="V185" s="147">
        <f t="shared" si="53"/>
        <v>0</v>
      </c>
      <c r="W185" s="129">
        <v>0</v>
      </c>
      <c r="X185" s="144" t="str">
        <f t="shared" si="54"/>
        <v>WEEKDAY</v>
      </c>
      <c r="Y185" s="148">
        <v>6.4666666666666668</v>
      </c>
      <c r="Z185" s="144" t="s">
        <v>45</v>
      </c>
      <c r="AA185" s="149">
        <v>2119</v>
      </c>
      <c r="AB185" s="149">
        <v>373.043768</v>
      </c>
      <c r="AC185" s="149">
        <v>327.68041237113403</v>
      </c>
      <c r="AD185" s="156">
        <v>57.687180618556702</v>
      </c>
      <c r="AE185" s="149" t="str">
        <f>IFERROR(_xlfn.XLOOKUP(DATA_MASTER[[#This Row],[DATE]],RODEO[DATE],RODEO[ARTIST]),"")</f>
        <v/>
      </c>
      <c r="AF185" s="172">
        <f>IF(DATA_MASTER[[#This Row],[RODEO_ARTIST]]="",0,1)</f>
        <v>0</v>
      </c>
      <c r="AG185" t="str">
        <f>IFERROR(RIGHT(_xlfn.XLOOKUP(DATA_MASTER[[#This Row],[DATE]],ASTROS[DATE],ASTROS[OPPONENT]),LEN(_xlfn.XLOOKUP(DATA_MASTER[[#This Row],[DATE]],ASTROS[DATE],ASTROS[OPPONENT]))-3),"NO GAME")</f>
        <v>NO GAME</v>
      </c>
      <c r="AH185">
        <f>IF(DATA_MASTER[[#This Row],[ASTROS_GAME]]="NO GAME",0,1)</f>
        <v>0</v>
      </c>
      <c r="AI185">
        <f>_xlfn.XLOOKUP(DATA_MASTER[[#This Row],[DATE]],WEATHER[DATE],WEATHER[tempmax])</f>
        <v>64.400000000000006</v>
      </c>
      <c r="AJ185">
        <f>_xlfn.XLOOKUP(DATA_MASTER[[#This Row],[DATE]],WEATHER[DATE],WEATHER[precip])</f>
        <v>0</v>
      </c>
    </row>
    <row r="186" spans="1:36" x14ac:dyDescent="0.35">
      <c r="A186" s="155">
        <v>45337</v>
      </c>
      <c r="B186" s="144" t="s">
        <v>46</v>
      </c>
      <c r="C186" s="144" t="s">
        <v>47</v>
      </c>
      <c r="D186" s="144" t="s">
        <v>61</v>
      </c>
      <c r="E186" s="145">
        <f t="shared" si="55"/>
        <v>1</v>
      </c>
      <c r="F186" s="146">
        <f t="shared" si="38"/>
        <v>0</v>
      </c>
      <c r="G186" s="146">
        <f t="shared" si="39"/>
        <v>0</v>
      </c>
      <c r="H186" s="146">
        <f t="shared" si="40"/>
        <v>0</v>
      </c>
      <c r="I186" s="146">
        <f t="shared" si="41"/>
        <v>1</v>
      </c>
      <c r="J186" s="146">
        <f t="shared" si="42"/>
        <v>0</v>
      </c>
      <c r="K186" s="146">
        <f t="shared" si="43"/>
        <v>0</v>
      </c>
      <c r="L186" s="147">
        <f t="shared" si="56"/>
        <v>0</v>
      </c>
      <c r="M186" s="147">
        <f t="shared" si="44"/>
        <v>1</v>
      </c>
      <c r="N186" s="147">
        <f t="shared" si="45"/>
        <v>0</v>
      </c>
      <c r="O186" s="147">
        <f t="shared" si="46"/>
        <v>0</v>
      </c>
      <c r="P186" s="147">
        <f t="shared" si="47"/>
        <v>0</v>
      </c>
      <c r="Q186" s="147">
        <f t="shared" si="48"/>
        <v>0</v>
      </c>
      <c r="R186" s="147">
        <f t="shared" si="49"/>
        <v>0</v>
      </c>
      <c r="S186" s="147">
        <f t="shared" si="50"/>
        <v>0</v>
      </c>
      <c r="T186" s="147">
        <f t="shared" si="51"/>
        <v>0</v>
      </c>
      <c r="U186" s="147">
        <f t="shared" si="52"/>
        <v>0</v>
      </c>
      <c r="V186" s="147">
        <f t="shared" si="53"/>
        <v>0</v>
      </c>
      <c r="W186" s="129">
        <v>0</v>
      </c>
      <c r="X186" s="144" t="str">
        <f t="shared" si="54"/>
        <v>WEEKDAY</v>
      </c>
      <c r="Y186" s="148">
        <v>7.05</v>
      </c>
      <c r="Z186" s="144" t="s">
        <v>45</v>
      </c>
      <c r="AA186" s="149">
        <v>1197</v>
      </c>
      <c r="AB186" s="149">
        <v>211.08129200000002</v>
      </c>
      <c r="AC186" s="149">
        <v>169.78723404255319</v>
      </c>
      <c r="AD186" s="156">
        <v>29.940608794326245</v>
      </c>
      <c r="AE186" s="149" t="str">
        <f>IFERROR(_xlfn.XLOOKUP(DATA_MASTER[[#This Row],[DATE]],RODEO[DATE],RODEO[ARTIST]),"")</f>
        <v/>
      </c>
      <c r="AF186" s="172">
        <f>IF(DATA_MASTER[[#This Row],[RODEO_ARTIST]]="",0,1)</f>
        <v>0</v>
      </c>
      <c r="AG186" t="str">
        <f>IFERROR(RIGHT(_xlfn.XLOOKUP(DATA_MASTER[[#This Row],[DATE]],ASTROS[DATE],ASTROS[OPPONENT]),LEN(_xlfn.XLOOKUP(DATA_MASTER[[#This Row],[DATE]],ASTROS[DATE],ASTROS[OPPONENT]))-3),"NO GAME")</f>
        <v>NO GAME</v>
      </c>
      <c r="AH186">
        <f>IF(DATA_MASTER[[#This Row],[ASTROS_GAME]]="NO GAME",0,1)</f>
        <v>0</v>
      </c>
      <c r="AI186">
        <f>_xlfn.XLOOKUP(DATA_MASTER[[#This Row],[DATE]],WEATHER[DATE],WEATHER[tempmax])</f>
        <v>71.599999999999994</v>
      </c>
      <c r="AJ186">
        <f>_xlfn.XLOOKUP(DATA_MASTER[[#This Row],[DATE]],WEATHER[DATE],WEATHER[precip])</f>
        <v>0</v>
      </c>
    </row>
    <row r="187" spans="1:36" x14ac:dyDescent="0.35">
      <c r="A187" s="155">
        <v>45339</v>
      </c>
      <c r="B187" s="144" t="s">
        <v>42</v>
      </c>
      <c r="C187" s="144" t="s">
        <v>49</v>
      </c>
      <c r="D187" s="144" t="s">
        <v>61</v>
      </c>
      <c r="E187" s="145">
        <f t="shared" si="55"/>
        <v>0</v>
      </c>
      <c r="F187" s="146">
        <f t="shared" si="38"/>
        <v>0</v>
      </c>
      <c r="G187" s="146">
        <f t="shared" si="39"/>
        <v>0</v>
      </c>
      <c r="H187" s="146">
        <f t="shared" si="40"/>
        <v>0</v>
      </c>
      <c r="I187" s="146">
        <f t="shared" si="41"/>
        <v>0</v>
      </c>
      <c r="J187" s="146">
        <f t="shared" si="42"/>
        <v>0</v>
      </c>
      <c r="K187" s="146">
        <f t="shared" si="43"/>
        <v>1</v>
      </c>
      <c r="L187" s="147">
        <f t="shared" si="56"/>
        <v>0</v>
      </c>
      <c r="M187" s="147">
        <f t="shared" si="44"/>
        <v>1</v>
      </c>
      <c r="N187" s="147">
        <f t="shared" si="45"/>
        <v>0</v>
      </c>
      <c r="O187" s="147">
        <f t="shared" si="46"/>
        <v>0</v>
      </c>
      <c r="P187" s="147">
        <f t="shared" si="47"/>
        <v>0</v>
      </c>
      <c r="Q187" s="147">
        <f t="shared" si="48"/>
        <v>0</v>
      </c>
      <c r="R187" s="147">
        <f t="shared" si="49"/>
        <v>0</v>
      </c>
      <c r="S187" s="147">
        <f t="shared" si="50"/>
        <v>0</v>
      </c>
      <c r="T187" s="147">
        <f t="shared" si="51"/>
        <v>0</v>
      </c>
      <c r="U187" s="147">
        <f t="shared" si="52"/>
        <v>0</v>
      </c>
      <c r="V187" s="147">
        <f t="shared" si="53"/>
        <v>0</v>
      </c>
      <c r="W187" s="129">
        <v>1</v>
      </c>
      <c r="X187" s="144" t="str">
        <f t="shared" si="54"/>
        <v>WEEKEND</v>
      </c>
      <c r="Y187" s="148">
        <v>5.2666666666666666</v>
      </c>
      <c r="Z187" s="144" t="s">
        <v>55</v>
      </c>
      <c r="AA187" s="149">
        <v>1085</v>
      </c>
      <c r="AB187" s="149">
        <v>163.45064799999997</v>
      </c>
      <c r="AC187" s="149">
        <v>206.01265822784811</v>
      </c>
      <c r="AD187" s="156">
        <v>31.034933164556957</v>
      </c>
      <c r="AE187" s="149" t="str">
        <f>IFERROR(_xlfn.XLOOKUP(DATA_MASTER[[#This Row],[DATE]],RODEO[DATE],RODEO[ARTIST]),"")</f>
        <v/>
      </c>
      <c r="AF187" s="172">
        <f>IF(DATA_MASTER[[#This Row],[RODEO_ARTIST]]="",0,1)</f>
        <v>0</v>
      </c>
      <c r="AG187" t="str">
        <f>IFERROR(RIGHT(_xlfn.XLOOKUP(DATA_MASTER[[#This Row],[DATE]],ASTROS[DATE],ASTROS[OPPONENT]),LEN(_xlfn.XLOOKUP(DATA_MASTER[[#This Row],[DATE]],ASTROS[DATE],ASTROS[OPPONENT]))-3),"NO GAME")</f>
        <v>NO GAME</v>
      </c>
      <c r="AH187">
        <f>IF(DATA_MASTER[[#This Row],[ASTROS_GAME]]="NO GAME",0,1)</f>
        <v>0</v>
      </c>
      <c r="AI187">
        <f>_xlfn.XLOOKUP(DATA_MASTER[[#This Row],[DATE]],WEATHER[DATE],WEATHER[tempmax])</f>
        <v>62.6</v>
      </c>
      <c r="AJ187">
        <f>_xlfn.XLOOKUP(DATA_MASTER[[#This Row],[DATE]],WEATHER[DATE],WEATHER[precip])</f>
        <v>0</v>
      </c>
    </row>
    <row r="188" spans="1:36" x14ac:dyDescent="0.35">
      <c r="A188" s="155">
        <v>45339</v>
      </c>
      <c r="B188" s="144" t="s">
        <v>46</v>
      </c>
      <c r="C188" s="144" t="s">
        <v>49</v>
      </c>
      <c r="D188" s="144" t="s">
        <v>61</v>
      </c>
      <c r="E188" s="145">
        <f t="shared" si="55"/>
        <v>1</v>
      </c>
      <c r="F188" s="146">
        <f t="shared" si="38"/>
        <v>0</v>
      </c>
      <c r="G188" s="146">
        <f t="shared" si="39"/>
        <v>0</v>
      </c>
      <c r="H188" s="146">
        <f t="shared" si="40"/>
        <v>0</v>
      </c>
      <c r="I188" s="146">
        <f t="shared" si="41"/>
        <v>0</v>
      </c>
      <c r="J188" s="146">
        <f t="shared" si="42"/>
        <v>0</v>
      </c>
      <c r="K188" s="146">
        <f t="shared" si="43"/>
        <v>1</v>
      </c>
      <c r="L188" s="147">
        <f t="shared" si="56"/>
        <v>0</v>
      </c>
      <c r="M188" s="147">
        <f t="shared" si="44"/>
        <v>1</v>
      </c>
      <c r="N188" s="147">
        <f t="shared" si="45"/>
        <v>0</v>
      </c>
      <c r="O188" s="147">
        <f t="shared" si="46"/>
        <v>0</v>
      </c>
      <c r="P188" s="147">
        <f t="shared" si="47"/>
        <v>0</v>
      </c>
      <c r="Q188" s="147">
        <f t="shared" si="48"/>
        <v>0</v>
      </c>
      <c r="R188" s="147">
        <f t="shared" si="49"/>
        <v>0</v>
      </c>
      <c r="S188" s="147">
        <f t="shared" si="50"/>
        <v>0</v>
      </c>
      <c r="T188" s="147">
        <f t="shared" si="51"/>
        <v>0</v>
      </c>
      <c r="U188" s="147">
        <f t="shared" si="52"/>
        <v>0</v>
      </c>
      <c r="V188" s="147">
        <f t="shared" si="53"/>
        <v>0</v>
      </c>
      <c r="W188" s="129">
        <v>1</v>
      </c>
      <c r="X188" s="144" t="str">
        <f t="shared" si="54"/>
        <v>WEEKEND</v>
      </c>
      <c r="Y188" s="148">
        <v>5.0999999999999996</v>
      </c>
      <c r="Z188" s="144" t="s">
        <v>55</v>
      </c>
      <c r="AA188" s="149">
        <v>1526.5</v>
      </c>
      <c r="AB188" s="149">
        <v>238.391864</v>
      </c>
      <c r="AC188" s="149">
        <v>299.31372549019608</v>
      </c>
      <c r="AD188" s="156">
        <v>46.743502745098041</v>
      </c>
      <c r="AE188" s="149" t="str">
        <f>IFERROR(_xlfn.XLOOKUP(DATA_MASTER[[#This Row],[DATE]],RODEO[DATE],RODEO[ARTIST]),"")</f>
        <v/>
      </c>
      <c r="AF188" s="172">
        <f>IF(DATA_MASTER[[#This Row],[RODEO_ARTIST]]="",0,1)</f>
        <v>0</v>
      </c>
      <c r="AG188" t="str">
        <f>IFERROR(RIGHT(_xlfn.XLOOKUP(DATA_MASTER[[#This Row],[DATE]],ASTROS[DATE],ASTROS[OPPONENT]),LEN(_xlfn.XLOOKUP(DATA_MASTER[[#This Row],[DATE]],ASTROS[DATE],ASTROS[OPPONENT]))-3),"NO GAME")</f>
        <v>NO GAME</v>
      </c>
      <c r="AH188">
        <f>IF(DATA_MASTER[[#This Row],[ASTROS_GAME]]="NO GAME",0,1)</f>
        <v>0</v>
      </c>
      <c r="AI188">
        <f>_xlfn.XLOOKUP(DATA_MASTER[[#This Row],[DATE]],WEATHER[DATE],WEATHER[tempmax])</f>
        <v>62.6</v>
      </c>
      <c r="AJ188">
        <f>_xlfn.XLOOKUP(DATA_MASTER[[#This Row],[DATE]],WEATHER[DATE],WEATHER[precip])</f>
        <v>0</v>
      </c>
    </row>
    <row r="189" spans="1:36" x14ac:dyDescent="0.35">
      <c r="A189" s="155">
        <v>45340</v>
      </c>
      <c r="B189" s="144" t="s">
        <v>42</v>
      </c>
      <c r="C189" s="144" t="s">
        <v>50</v>
      </c>
      <c r="D189" s="144" t="s">
        <v>61</v>
      </c>
      <c r="E189" s="145">
        <f t="shared" si="55"/>
        <v>0</v>
      </c>
      <c r="F189" s="146">
        <f t="shared" si="38"/>
        <v>1</v>
      </c>
      <c r="G189" s="146">
        <f t="shared" si="39"/>
        <v>0</v>
      </c>
      <c r="H189" s="146">
        <f t="shared" si="40"/>
        <v>0</v>
      </c>
      <c r="I189" s="146">
        <f t="shared" si="41"/>
        <v>0</v>
      </c>
      <c r="J189" s="146">
        <f t="shared" si="42"/>
        <v>0</v>
      </c>
      <c r="K189" s="146">
        <f t="shared" si="43"/>
        <v>0</v>
      </c>
      <c r="L189" s="147">
        <f t="shared" si="56"/>
        <v>0</v>
      </c>
      <c r="M189" s="147">
        <f t="shared" si="44"/>
        <v>1</v>
      </c>
      <c r="N189" s="147">
        <f t="shared" si="45"/>
        <v>0</v>
      </c>
      <c r="O189" s="147">
        <f t="shared" si="46"/>
        <v>0</v>
      </c>
      <c r="P189" s="147">
        <f t="shared" si="47"/>
        <v>0</v>
      </c>
      <c r="Q189" s="147">
        <f t="shared" si="48"/>
        <v>0</v>
      </c>
      <c r="R189" s="147">
        <f t="shared" si="49"/>
        <v>0</v>
      </c>
      <c r="S189" s="147">
        <f t="shared" si="50"/>
        <v>0</v>
      </c>
      <c r="T189" s="147">
        <f t="shared" si="51"/>
        <v>0</v>
      </c>
      <c r="U189" s="147">
        <f t="shared" si="52"/>
        <v>0</v>
      </c>
      <c r="V189" s="147">
        <f t="shared" si="53"/>
        <v>0</v>
      </c>
      <c r="W189" s="129">
        <v>1</v>
      </c>
      <c r="X189" s="144" t="str">
        <f t="shared" si="54"/>
        <v>WEEKEND</v>
      </c>
      <c r="Y189" s="148">
        <v>4.666666666666667</v>
      </c>
      <c r="Z189" s="144" t="s">
        <v>55</v>
      </c>
      <c r="AA189" s="149">
        <v>779</v>
      </c>
      <c r="AB189" s="149">
        <v>134.12731199999999</v>
      </c>
      <c r="AC189" s="149">
        <v>166.92857142857142</v>
      </c>
      <c r="AD189" s="156">
        <v>28.741566857142853</v>
      </c>
      <c r="AE189" s="149" t="str">
        <f>IFERROR(_xlfn.XLOOKUP(DATA_MASTER[[#This Row],[DATE]],RODEO[DATE],RODEO[ARTIST]),"")</f>
        <v/>
      </c>
      <c r="AF189" s="172">
        <f>IF(DATA_MASTER[[#This Row],[RODEO_ARTIST]]="",0,1)</f>
        <v>0</v>
      </c>
      <c r="AG189" t="str">
        <f>IFERROR(RIGHT(_xlfn.XLOOKUP(DATA_MASTER[[#This Row],[DATE]],ASTROS[DATE],ASTROS[OPPONENT]),LEN(_xlfn.XLOOKUP(DATA_MASTER[[#This Row],[DATE]],ASTROS[DATE],ASTROS[OPPONENT]))-3),"NO GAME")</f>
        <v>NO GAME</v>
      </c>
      <c r="AH189">
        <f>IF(DATA_MASTER[[#This Row],[ASTROS_GAME]]="NO GAME",0,1)</f>
        <v>0</v>
      </c>
      <c r="AI189">
        <f>_xlfn.XLOOKUP(DATA_MASTER[[#This Row],[DATE]],WEATHER[DATE],WEATHER[tempmax])</f>
        <v>55.5</v>
      </c>
      <c r="AJ189">
        <f>_xlfn.XLOOKUP(DATA_MASTER[[#This Row],[DATE]],WEATHER[DATE],WEATHER[precip])</f>
        <v>0</v>
      </c>
    </row>
    <row r="190" spans="1:36" x14ac:dyDescent="0.35">
      <c r="A190" s="155">
        <v>45340</v>
      </c>
      <c r="B190" s="144" t="s">
        <v>46</v>
      </c>
      <c r="C190" s="144" t="s">
        <v>50</v>
      </c>
      <c r="D190" s="144" t="s">
        <v>61</v>
      </c>
      <c r="E190" s="145">
        <f t="shared" si="55"/>
        <v>1</v>
      </c>
      <c r="F190" s="146">
        <f t="shared" si="38"/>
        <v>1</v>
      </c>
      <c r="G190" s="146">
        <f t="shared" si="39"/>
        <v>0</v>
      </c>
      <c r="H190" s="146">
        <f t="shared" si="40"/>
        <v>0</v>
      </c>
      <c r="I190" s="146">
        <f t="shared" si="41"/>
        <v>0</v>
      </c>
      <c r="J190" s="146">
        <f t="shared" si="42"/>
        <v>0</v>
      </c>
      <c r="K190" s="146">
        <f t="shared" si="43"/>
        <v>0</v>
      </c>
      <c r="L190" s="147">
        <f t="shared" si="56"/>
        <v>0</v>
      </c>
      <c r="M190" s="147">
        <f t="shared" si="44"/>
        <v>1</v>
      </c>
      <c r="N190" s="147">
        <f t="shared" si="45"/>
        <v>0</v>
      </c>
      <c r="O190" s="147">
        <f t="shared" si="46"/>
        <v>0</v>
      </c>
      <c r="P190" s="147">
        <f t="shared" si="47"/>
        <v>0</v>
      </c>
      <c r="Q190" s="147">
        <f t="shared" si="48"/>
        <v>0</v>
      </c>
      <c r="R190" s="147">
        <f t="shared" si="49"/>
        <v>0</v>
      </c>
      <c r="S190" s="147">
        <f t="shared" si="50"/>
        <v>0</v>
      </c>
      <c r="T190" s="147">
        <f t="shared" si="51"/>
        <v>0</v>
      </c>
      <c r="U190" s="147">
        <f t="shared" si="52"/>
        <v>0</v>
      </c>
      <c r="V190" s="147">
        <f t="shared" si="53"/>
        <v>0</v>
      </c>
      <c r="W190" s="129">
        <v>1</v>
      </c>
      <c r="X190" s="144" t="str">
        <f t="shared" si="54"/>
        <v>WEEKEND</v>
      </c>
      <c r="Y190" s="148">
        <v>4.583333333333333</v>
      </c>
      <c r="Z190" s="144" t="s">
        <v>55</v>
      </c>
      <c r="AA190" s="149">
        <v>1245</v>
      </c>
      <c r="AB190" s="149">
        <v>235.05908399999998</v>
      </c>
      <c r="AC190" s="149">
        <v>271.63636363636363</v>
      </c>
      <c r="AD190" s="156">
        <v>51.285618327272729</v>
      </c>
      <c r="AE190" s="149" t="str">
        <f>IFERROR(_xlfn.XLOOKUP(DATA_MASTER[[#This Row],[DATE]],RODEO[DATE],RODEO[ARTIST]),"")</f>
        <v/>
      </c>
      <c r="AF190" s="172">
        <f>IF(DATA_MASTER[[#This Row],[RODEO_ARTIST]]="",0,1)</f>
        <v>0</v>
      </c>
      <c r="AG190" t="str">
        <f>IFERROR(RIGHT(_xlfn.XLOOKUP(DATA_MASTER[[#This Row],[DATE]],ASTROS[DATE],ASTROS[OPPONENT]),LEN(_xlfn.XLOOKUP(DATA_MASTER[[#This Row],[DATE]],ASTROS[DATE],ASTROS[OPPONENT]))-3),"NO GAME")</f>
        <v>NO GAME</v>
      </c>
      <c r="AH190">
        <f>IF(DATA_MASTER[[#This Row],[ASTROS_GAME]]="NO GAME",0,1)</f>
        <v>0</v>
      </c>
      <c r="AI190">
        <f>_xlfn.XLOOKUP(DATA_MASTER[[#This Row],[DATE]],WEATHER[DATE],WEATHER[tempmax])</f>
        <v>55.5</v>
      </c>
      <c r="AJ190">
        <f>_xlfn.XLOOKUP(DATA_MASTER[[#This Row],[DATE]],WEATHER[DATE],WEATHER[precip])</f>
        <v>0</v>
      </c>
    </row>
    <row r="191" spans="1:36" x14ac:dyDescent="0.35">
      <c r="A191" s="155">
        <v>45341</v>
      </c>
      <c r="B191" s="144" t="s">
        <v>42</v>
      </c>
      <c r="C191" s="144" t="s">
        <v>51</v>
      </c>
      <c r="D191" s="144" t="s">
        <v>61</v>
      </c>
      <c r="E191" s="145">
        <f t="shared" si="55"/>
        <v>0</v>
      </c>
      <c r="F191" s="146">
        <f t="shared" si="38"/>
        <v>0</v>
      </c>
      <c r="G191" s="146">
        <f t="shared" si="39"/>
        <v>1</v>
      </c>
      <c r="H191" s="146">
        <f t="shared" si="40"/>
        <v>0</v>
      </c>
      <c r="I191" s="146">
        <f t="shared" si="41"/>
        <v>0</v>
      </c>
      <c r="J191" s="146">
        <f t="shared" si="42"/>
        <v>0</v>
      </c>
      <c r="K191" s="146">
        <f t="shared" si="43"/>
        <v>0</v>
      </c>
      <c r="L191" s="147">
        <f t="shared" si="56"/>
        <v>0</v>
      </c>
      <c r="M191" s="147">
        <f t="shared" si="44"/>
        <v>1</v>
      </c>
      <c r="N191" s="147">
        <f t="shared" si="45"/>
        <v>0</v>
      </c>
      <c r="O191" s="147">
        <f t="shared" si="46"/>
        <v>0</v>
      </c>
      <c r="P191" s="147">
        <f t="shared" si="47"/>
        <v>0</v>
      </c>
      <c r="Q191" s="147">
        <f t="shared" si="48"/>
        <v>0</v>
      </c>
      <c r="R191" s="147">
        <f t="shared" si="49"/>
        <v>0</v>
      </c>
      <c r="S191" s="147">
        <f t="shared" si="50"/>
        <v>0</v>
      </c>
      <c r="T191" s="147">
        <f t="shared" si="51"/>
        <v>0</v>
      </c>
      <c r="U191" s="147">
        <f t="shared" si="52"/>
        <v>0</v>
      </c>
      <c r="V191" s="147">
        <f t="shared" si="53"/>
        <v>0</v>
      </c>
      <c r="W191" s="129">
        <v>0</v>
      </c>
      <c r="X191" s="144" t="str">
        <f t="shared" si="54"/>
        <v>WEEKDAY</v>
      </c>
      <c r="Y191" s="148">
        <v>4</v>
      </c>
      <c r="Z191" s="144" t="s">
        <v>55</v>
      </c>
      <c r="AA191" s="149">
        <v>566</v>
      </c>
      <c r="AB191" s="149">
        <v>88.340215999999984</v>
      </c>
      <c r="AC191" s="149">
        <v>141.5</v>
      </c>
      <c r="AD191" s="156">
        <v>22.085053999999996</v>
      </c>
      <c r="AE191" s="149" t="str">
        <f>IFERROR(_xlfn.XLOOKUP(DATA_MASTER[[#This Row],[DATE]],RODEO[DATE],RODEO[ARTIST]),"")</f>
        <v/>
      </c>
      <c r="AF191" s="172">
        <f>IF(DATA_MASTER[[#This Row],[RODEO_ARTIST]]="",0,1)</f>
        <v>0</v>
      </c>
      <c r="AG191" t="str">
        <f>IFERROR(RIGHT(_xlfn.XLOOKUP(DATA_MASTER[[#This Row],[DATE]],ASTROS[DATE],ASTROS[OPPONENT]),LEN(_xlfn.XLOOKUP(DATA_MASTER[[#This Row],[DATE]],ASTROS[DATE],ASTROS[OPPONENT]))-3),"NO GAME")</f>
        <v>NO GAME</v>
      </c>
      <c r="AH191">
        <f>IF(DATA_MASTER[[#This Row],[ASTROS_GAME]]="NO GAME",0,1)</f>
        <v>0</v>
      </c>
      <c r="AI191">
        <f>_xlfn.XLOOKUP(DATA_MASTER[[#This Row],[DATE]],WEATHER[DATE],WEATHER[tempmax])</f>
        <v>64.400000000000006</v>
      </c>
      <c r="AJ191">
        <f>_xlfn.XLOOKUP(DATA_MASTER[[#This Row],[DATE]],WEATHER[DATE],WEATHER[precip])</f>
        <v>0</v>
      </c>
    </row>
    <row r="192" spans="1:36" x14ac:dyDescent="0.35">
      <c r="A192" s="155">
        <v>45341</v>
      </c>
      <c r="B192" s="144" t="s">
        <v>46</v>
      </c>
      <c r="C192" s="144" t="s">
        <v>51</v>
      </c>
      <c r="D192" s="144" t="s">
        <v>61</v>
      </c>
      <c r="E192" s="145">
        <f t="shared" si="55"/>
        <v>1</v>
      </c>
      <c r="F192" s="146">
        <f t="shared" si="38"/>
        <v>0</v>
      </c>
      <c r="G192" s="146">
        <f t="shared" si="39"/>
        <v>1</v>
      </c>
      <c r="H192" s="146">
        <f t="shared" si="40"/>
        <v>0</v>
      </c>
      <c r="I192" s="146">
        <f t="shared" si="41"/>
        <v>0</v>
      </c>
      <c r="J192" s="146">
        <f t="shared" si="42"/>
        <v>0</v>
      </c>
      <c r="K192" s="146">
        <f t="shared" si="43"/>
        <v>0</v>
      </c>
      <c r="L192" s="147">
        <f t="shared" si="56"/>
        <v>0</v>
      </c>
      <c r="M192" s="147">
        <f t="shared" si="44"/>
        <v>1</v>
      </c>
      <c r="N192" s="147">
        <f t="shared" si="45"/>
        <v>0</v>
      </c>
      <c r="O192" s="147">
        <f t="shared" si="46"/>
        <v>0</v>
      </c>
      <c r="P192" s="147">
        <f t="shared" si="47"/>
        <v>0</v>
      </c>
      <c r="Q192" s="147">
        <f t="shared" si="48"/>
        <v>0</v>
      </c>
      <c r="R192" s="147">
        <f t="shared" si="49"/>
        <v>0</v>
      </c>
      <c r="S192" s="147">
        <f t="shared" si="50"/>
        <v>0</v>
      </c>
      <c r="T192" s="147">
        <f t="shared" si="51"/>
        <v>0</v>
      </c>
      <c r="U192" s="147">
        <f t="shared" si="52"/>
        <v>0</v>
      </c>
      <c r="V192" s="147">
        <f t="shared" si="53"/>
        <v>0</v>
      </c>
      <c r="W192" s="129">
        <v>0</v>
      </c>
      <c r="X192" s="144" t="str">
        <f t="shared" si="54"/>
        <v>WEEKDAY</v>
      </c>
      <c r="Y192" s="148">
        <v>4.9666666666666668</v>
      </c>
      <c r="Z192" s="144" t="s">
        <v>55</v>
      </c>
      <c r="AA192" s="149">
        <v>1027.5</v>
      </c>
      <c r="AB192" s="149">
        <v>178.746624</v>
      </c>
      <c r="AC192" s="149">
        <v>206.87919463087249</v>
      </c>
      <c r="AD192" s="156">
        <v>35.989253154362416</v>
      </c>
      <c r="AE192" s="149" t="str">
        <f>IFERROR(_xlfn.XLOOKUP(DATA_MASTER[[#This Row],[DATE]],RODEO[DATE],RODEO[ARTIST]),"")</f>
        <v/>
      </c>
      <c r="AF192" s="172">
        <f>IF(DATA_MASTER[[#This Row],[RODEO_ARTIST]]="",0,1)</f>
        <v>0</v>
      </c>
      <c r="AG192" t="str">
        <f>IFERROR(RIGHT(_xlfn.XLOOKUP(DATA_MASTER[[#This Row],[DATE]],ASTROS[DATE],ASTROS[OPPONENT]),LEN(_xlfn.XLOOKUP(DATA_MASTER[[#This Row],[DATE]],ASTROS[DATE],ASTROS[OPPONENT]))-3),"NO GAME")</f>
        <v>NO GAME</v>
      </c>
      <c r="AH192">
        <f>IF(DATA_MASTER[[#This Row],[ASTROS_GAME]]="NO GAME",0,1)</f>
        <v>0</v>
      </c>
      <c r="AI192">
        <f>_xlfn.XLOOKUP(DATA_MASTER[[#This Row],[DATE]],WEATHER[DATE],WEATHER[tempmax])</f>
        <v>64.400000000000006</v>
      </c>
      <c r="AJ192">
        <f>_xlfn.XLOOKUP(DATA_MASTER[[#This Row],[DATE]],WEATHER[DATE],WEATHER[precip])</f>
        <v>0</v>
      </c>
    </row>
    <row r="193" spans="1:36" x14ac:dyDescent="0.35">
      <c r="A193" s="155">
        <v>45346</v>
      </c>
      <c r="B193" s="144" t="s">
        <v>46</v>
      </c>
      <c r="C193" s="144" t="s">
        <v>49</v>
      </c>
      <c r="D193" s="144" t="s">
        <v>61</v>
      </c>
      <c r="E193" s="145">
        <f t="shared" si="55"/>
        <v>1</v>
      </c>
      <c r="F193" s="146">
        <f t="shared" si="38"/>
        <v>0</v>
      </c>
      <c r="G193" s="146">
        <f t="shared" si="39"/>
        <v>0</v>
      </c>
      <c r="H193" s="146">
        <f t="shared" si="40"/>
        <v>0</v>
      </c>
      <c r="I193" s="146">
        <f t="shared" si="41"/>
        <v>0</v>
      </c>
      <c r="J193" s="146">
        <f t="shared" si="42"/>
        <v>0</v>
      </c>
      <c r="K193" s="146">
        <f t="shared" si="43"/>
        <v>1</v>
      </c>
      <c r="L193" s="147">
        <f t="shared" si="56"/>
        <v>0</v>
      </c>
      <c r="M193" s="147">
        <f t="shared" si="44"/>
        <v>1</v>
      </c>
      <c r="N193" s="147">
        <f t="shared" si="45"/>
        <v>0</v>
      </c>
      <c r="O193" s="147">
        <f t="shared" si="46"/>
        <v>0</v>
      </c>
      <c r="P193" s="147">
        <f t="shared" si="47"/>
        <v>0</v>
      </c>
      <c r="Q193" s="147">
        <f t="shared" si="48"/>
        <v>0</v>
      </c>
      <c r="R193" s="147">
        <f t="shared" si="49"/>
        <v>0</v>
      </c>
      <c r="S193" s="147">
        <f t="shared" si="50"/>
        <v>0</v>
      </c>
      <c r="T193" s="147">
        <f t="shared" si="51"/>
        <v>0</v>
      </c>
      <c r="U193" s="147">
        <f t="shared" si="52"/>
        <v>0</v>
      </c>
      <c r="V193" s="147">
        <f t="shared" si="53"/>
        <v>0</v>
      </c>
      <c r="W193" s="129">
        <v>1</v>
      </c>
      <c r="X193" s="144" t="str">
        <f t="shared" si="54"/>
        <v>WEEKEND</v>
      </c>
      <c r="Y193" s="148">
        <v>5.75</v>
      </c>
      <c r="Z193" s="144" t="s">
        <v>45</v>
      </c>
      <c r="AA193" s="149">
        <v>1762</v>
      </c>
      <c r="AB193" s="149">
        <v>289.77713199999999</v>
      </c>
      <c r="AC193" s="149">
        <v>306.43478260869563</v>
      </c>
      <c r="AD193" s="156">
        <v>50.39602295652174</v>
      </c>
      <c r="AE193" s="149" t="str">
        <f>IFERROR(_xlfn.XLOOKUP(DATA_MASTER[[#This Row],[DATE]],RODEO[DATE],RODEO[ARTIST]),"")</f>
        <v/>
      </c>
      <c r="AF193" s="172">
        <f>IF(DATA_MASTER[[#This Row],[RODEO_ARTIST]]="",0,1)</f>
        <v>0</v>
      </c>
      <c r="AG193" t="str">
        <f>IFERROR(RIGHT(_xlfn.XLOOKUP(DATA_MASTER[[#This Row],[DATE]],ASTROS[DATE],ASTROS[OPPONENT]),LEN(_xlfn.XLOOKUP(DATA_MASTER[[#This Row],[DATE]],ASTROS[DATE],ASTROS[OPPONENT]))-3),"NO GAME")</f>
        <v>NO GAME</v>
      </c>
      <c r="AH193">
        <f>IF(DATA_MASTER[[#This Row],[ASTROS_GAME]]="NO GAME",0,1)</f>
        <v>0</v>
      </c>
      <c r="AI193">
        <f>_xlfn.XLOOKUP(DATA_MASTER[[#This Row],[DATE]],WEATHER[DATE],WEATHER[tempmax])</f>
        <v>78.8</v>
      </c>
      <c r="AJ193">
        <f>_xlfn.XLOOKUP(DATA_MASTER[[#This Row],[DATE]],WEATHER[DATE],WEATHER[precip])</f>
        <v>0</v>
      </c>
    </row>
    <row r="194" spans="1:36" x14ac:dyDescent="0.35">
      <c r="A194" s="155">
        <v>45347</v>
      </c>
      <c r="B194" s="144" t="s">
        <v>46</v>
      </c>
      <c r="C194" s="144" t="s">
        <v>50</v>
      </c>
      <c r="D194" s="144" t="s">
        <v>61</v>
      </c>
      <c r="E194" s="145">
        <f t="shared" si="55"/>
        <v>1</v>
      </c>
      <c r="F194" s="146">
        <f t="shared" ref="F194:F257" si="57">IF(C194="SUN",1,0)</f>
        <v>1</v>
      </c>
      <c r="G194" s="146">
        <f t="shared" ref="G194:G257" si="58">IF($C194="MON",1,0)</f>
        <v>0</v>
      </c>
      <c r="H194" s="146">
        <f t="shared" ref="H194:H257" si="59">IF($C194="WED",1,0)</f>
        <v>0</v>
      </c>
      <c r="I194" s="146">
        <f t="shared" ref="I194:I257" si="60">IF($C194="THU",1,0)</f>
        <v>0</v>
      </c>
      <c r="J194" s="146">
        <f t="shared" ref="J194:J257" si="61">IF($C194="FRI",1,0)</f>
        <v>0</v>
      </c>
      <c r="K194" s="146">
        <f t="shared" ref="K194:K257" si="62">IF($C194="SAT",1,0)</f>
        <v>0</v>
      </c>
      <c r="L194" s="147">
        <f t="shared" si="56"/>
        <v>0</v>
      </c>
      <c r="M194" s="147">
        <f t="shared" ref="M194:M257" si="63">IF($D194="February",1,0)</f>
        <v>1</v>
      </c>
      <c r="N194" s="147">
        <f t="shared" ref="N194:N257" si="64">IF($D194="March",1,0)</f>
        <v>0</v>
      </c>
      <c r="O194" s="147">
        <f t="shared" ref="O194:O257" si="65">IF($D194="April",1,0)</f>
        <v>0</v>
      </c>
      <c r="P194" s="147">
        <f t="shared" ref="P194:P257" si="66">IF($D194="May",1,0)</f>
        <v>0</v>
      </c>
      <c r="Q194" s="147">
        <f t="shared" ref="Q194:Q257" si="67">IF($D194="June",1,0)</f>
        <v>0</v>
      </c>
      <c r="R194" s="147">
        <f t="shared" ref="R194:R257" si="68">IF($D194="August",1,0)</f>
        <v>0</v>
      </c>
      <c r="S194" s="147">
        <f t="shared" ref="S194:S257" si="69">IF($D194="September",1,0)</f>
        <v>0</v>
      </c>
      <c r="T194" s="147">
        <f t="shared" ref="T194:T257" si="70">IF($D194="October",1,0)</f>
        <v>0</v>
      </c>
      <c r="U194" s="147">
        <f t="shared" ref="U194:U257" si="71">IF($D194="November",1,0)</f>
        <v>0</v>
      </c>
      <c r="V194" s="147">
        <f t="shared" ref="V194:V257" si="72">IF($D194="December",1,0)</f>
        <v>0</v>
      </c>
      <c r="W194" s="129">
        <v>1</v>
      </c>
      <c r="X194" s="144" t="str">
        <f t="shared" ref="X194:X257" si="73">IF(W194=0,"WEEKDAY","WEEKEND")</f>
        <v>WEEKEND</v>
      </c>
      <c r="Y194" s="148">
        <v>5.2333333333333334</v>
      </c>
      <c r="Z194" s="144" t="s">
        <v>45</v>
      </c>
      <c r="AA194" s="149">
        <v>1062</v>
      </c>
      <c r="AB194" s="149">
        <v>169.05556000000001</v>
      </c>
      <c r="AC194" s="149">
        <v>202.92993630573247</v>
      </c>
      <c r="AD194" s="156">
        <v>32.303610191082804</v>
      </c>
      <c r="AE194" s="149" t="str">
        <f>IFERROR(_xlfn.XLOOKUP(DATA_MASTER[[#This Row],[DATE]],RODEO[DATE],RODEO[ARTIST]),"")</f>
        <v/>
      </c>
      <c r="AF194" s="172">
        <f>IF(DATA_MASTER[[#This Row],[RODEO_ARTIST]]="",0,1)</f>
        <v>0</v>
      </c>
      <c r="AG194" t="str">
        <f>IFERROR(RIGHT(_xlfn.XLOOKUP(DATA_MASTER[[#This Row],[DATE]],ASTROS[DATE],ASTROS[OPPONENT]),LEN(_xlfn.XLOOKUP(DATA_MASTER[[#This Row],[DATE]],ASTROS[DATE],ASTROS[OPPONENT]))-3),"NO GAME")</f>
        <v>NO GAME</v>
      </c>
      <c r="AH194">
        <f>IF(DATA_MASTER[[#This Row],[ASTROS_GAME]]="NO GAME",0,1)</f>
        <v>0</v>
      </c>
      <c r="AI194">
        <f>_xlfn.XLOOKUP(DATA_MASTER[[#This Row],[DATE]],WEATHER[DATE],WEATHER[tempmax])</f>
        <v>77.099999999999994</v>
      </c>
      <c r="AJ194">
        <f>_xlfn.XLOOKUP(DATA_MASTER[[#This Row],[DATE]],WEATHER[DATE],WEATHER[precip])</f>
        <v>0</v>
      </c>
    </row>
    <row r="195" spans="1:36" x14ac:dyDescent="0.35">
      <c r="A195" s="155">
        <v>45348</v>
      </c>
      <c r="B195" s="144" t="s">
        <v>42</v>
      </c>
      <c r="C195" s="144" t="s">
        <v>51</v>
      </c>
      <c r="D195" s="144" t="s">
        <v>61</v>
      </c>
      <c r="E195" s="145">
        <f t="shared" ref="E195:E258" si="74">IF($B195="PM",1,0)</f>
        <v>0</v>
      </c>
      <c r="F195" s="146">
        <f t="shared" si="57"/>
        <v>0</v>
      </c>
      <c r="G195" s="146">
        <f t="shared" si="58"/>
        <v>1</v>
      </c>
      <c r="H195" s="146">
        <f t="shared" si="59"/>
        <v>0</v>
      </c>
      <c r="I195" s="146">
        <f t="shared" si="60"/>
        <v>0</v>
      </c>
      <c r="J195" s="146">
        <f t="shared" si="61"/>
        <v>0</v>
      </c>
      <c r="K195" s="146">
        <f t="shared" si="62"/>
        <v>0</v>
      </c>
      <c r="L195" s="147">
        <f t="shared" ref="L195:L258" si="75">IF(D195="January",1,0)</f>
        <v>0</v>
      </c>
      <c r="M195" s="147">
        <f t="shared" si="63"/>
        <v>1</v>
      </c>
      <c r="N195" s="147">
        <f t="shared" si="64"/>
        <v>0</v>
      </c>
      <c r="O195" s="147">
        <f t="shared" si="65"/>
        <v>0</v>
      </c>
      <c r="P195" s="147">
        <f t="shared" si="66"/>
        <v>0</v>
      </c>
      <c r="Q195" s="147">
        <f t="shared" si="67"/>
        <v>0</v>
      </c>
      <c r="R195" s="147">
        <f t="shared" si="68"/>
        <v>0</v>
      </c>
      <c r="S195" s="147">
        <f t="shared" si="69"/>
        <v>0</v>
      </c>
      <c r="T195" s="147">
        <f t="shared" si="70"/>
        <v>0</v>
      </c>
      <c r="U195" s="147">
        <f t="shared" si="71"/>
        <v>0</v>
      </c>
      <c r="V195" s="147">
        <f t="shared" si="72"/>
        <v>0</v>
      </c>
      <c r="W195" s="129">
        <v>0</v>
      </c>
      <c r="X195" s="144" t="str">
        <f t="shared" si="73"/>
        <v>WEEKDAY</v>
      </c>
      <c r="Y195" s="148">
        <v>3.0166666666666666</v>
      </c>
      <c r="Z195" s="144" t="s">
        <v>55</v>
      </c>
      <c r="AA195" s="149">
        <v>451.5</v>
      </c>
      <c r="AB195" s="149">
        <v>68.663443999999998</v>
      </c>
      <c r="AC195" s="149">
        <v>149.66850828729281</v>
      </c>
      <c r="AD195" s="156">
        <v>22.761362651933702</v>
      </c>
      <c r="AE195" s="149" t="str">
        <f>IFERROR(_xlfn.XLOOKUP(DATA_MASTER[[#This Row],[DATE]],RODEO[DATE],RODEO[ARTIST]),"")</f>
        <v/>
      </c>
      <c r="AF195" s="172">
        <f>IF(DATA_MASTER[[#This Row],[RODEO_ARTIST]]="",0,1)</f>
        <v>0</v>
      </c>
      <c r="AG195" t="str">
        <f>IFERROR(RIGHT(_xlfn.XLOOKUP(DATA_MASTER[[#This Row],[DATE]],ASTROS[DATE],ASTROS[OPPONENT]),LEN(_xlfn.XLOOKUP(DATA_MASTER[[#This Row],[DATE]],ASTROS[DATE],ASTROS[OPPONENT]))-3),"NO GAME")</f>
        <v>NO GAME</v>
      </c>
      <c r="AH195">
        <f>IF(DATA_MASTER[[#This Row],[ASTROS_GAME]]="NO GAME",0,1)</f>
        <v>0</v>
      </c>
      <c r="AI195">
        <f>_xlfn.XLOOKUP(DATA_MASTER[[#This Row],[DATE]],WEATHER[DATE],WEATHER[tempmax])</f>
        <v>77.099999999999994</v>
      </c>
      <c r="AJ195">
        <f>_xlfn.XLOOKUP(DATA_MASTER[[#This Row],[DATE]],WEATHER[DATE],WEATHER[precip])</f>
        <v>0</v>
      </c>
    </row>
    <row r="196" spans="1:36" x14ac:dyDescent="0.35">
      <c r="A196" s="155">
        <v>45348</v>
      </c>
      <c r="B196" s="144" t="s">
        <v>46</v>
      </c>
      <c r="C196" s="144" t="s">
        <v>51</v>
      </c>
      <c r="D196" s="144" t="s">
        <v>61</v>
      </c>
      <c r="E196" s="145">
        <f t="shared" si="74"/>
        <v>1</v>
      </c>
      <c r="F196" s="146">
        <f t="shared" si="57"/>
        <v>0</v>
      </c>
      <c r="G196" s="146">
        <f t="shared" si="58"/>
        <v>1</v>
      </c>
      <c r="H196" s="146">
        <f t="shared" si="59"/>
        <v>0</v>
      </c>
      <c r="I196" s="146">
        <f t="shared" si="60"/>
        <v>0</v>
      </c>
      <c r="J196" s="146">
        <f t="shared" si="61"/>
        <v>0</v>
      </c>
      <c r="K196" s="146">
        <f t="shared" si="62"/>
        <v>0</v>
      </c>
      <c r="L196" s="147">
        <f t="shared" si="75"/>
        <v>0</v>
      </c>
      <c r="M196" s="147">
        <f t="shared" si="63"/>
        <v>1</v>
      </c>
      <c r="N196" s="147">
        <f t="shared" si="64"/>
        <v>0</v>
      </c>
      <c r="O196" s="147">
        <f t="shared" si="65"/>
        <v>0</v>
      </c>
      <c r="P196" s="147">
        <f t="shared" si="66"/>
        <v>0</v>
      </c>
      <c r="Q196" s="147">
        <f t="shared" si="67"/>
        <v>0</v>
      </c>
      <c r="R196" s="147">
        <f t="shared" si="68"/>
        <v>0</v>
      </c>
      <c r="S196" s="147">
        <f t="shared" si="69"/>
        <v>0</v>
      </c>
      <c r="T196" s="147">
        <f t="shared" si="70"/>
        <v>0</v>
      </c>
      <c r="U196" s="147">
        <f t="shared" si="71"/>
        <v>0</v>
      </c>
      <c r="V196" s="147">
        <f t="shared" si="72"/>
        <v>0</v>
      </c>
      <c r="W196" s="129">
        <v>0</v>
      </c>
      <c r="X196" s="144" t="str">
        <f t="shared" si="73"/>
        <v>WEEKDAY</v>
      </c>
      <c r="Y196" s="148">
        <v>5.4333333333333336</v>
      </c>
      <c r="Z196" s="144" t="s">
        <v>55</v>
      </c>
      <c r="AA196" s="149">
        <v>975</v>
      </c>
      <c r="AB196" s="149">
        <v>181.67976800000002</v>
      </c>
      <c r="AC196" s="149">
        <v>179.4478527607362</v>
      </c>
      <c r="AD196" s="156">
        <v>33.43799411042945</v>
      </c>
      <c r="AE196" s="149" t="str">
        <f>IFERROR(_xlfn.XLOOKUP(DATA_MASTER[[#This Row],[DATE]],RODEO[DATE],RODEO[ARTIST]),"")</f>
        <v/>
      </c>
      <c r="AF196" s="172">
        <f>IF(DATA_MASTER[[#This Row],[RODEO_ARTIST]]="",0,1)</f>
        <v>0</v>
      </c>
      <c r="AG196" t="str">
        <f>IFERROR(RIGHT(_xlfn.XLOOKUP(DATA_MASTER[[#This Row],[DATE]],ASTROS[DATE],ASTROS[OPPONENT]),LEN(_xlfn.XLOOKUP(DATA_MASTER[[#This Row],[DATE]],ASTROS[DATE],ASTROS[OPPONENT]))-3),"NO GAME")</f>
        <v>NO GAME</v>
      </c>
      <c r="AH196">
        <f>IF(DATA_MASTER[[#This Row],[ASTROS_GAME]]="NO GAME",0,1)</f>
        <v>0</v>
      </c>
      <c r="AI196">
        <f>_xlfn.XLOOKUP(DATA_MASTER[[#This Row],[DATE]],WEATHER[DATE],WEATHER[tempmax])</f>
        <v>77.099999999999994</v>
      </c>
      <c r="AJ196">
        <f>_xlfn.XLOOKUP(DATA_MASTER[[#This Row],[DATE]],WEATHER[DATE],WEATHER[precip])</f>
        <v>0</v>
      </c>
    </row>
    <row r="197" spans="1:36" x14ac:dyDescent="0.35">
      <c r="A197" s="155">
        <v>45350</v>
      </c>
      <c r="B197" s="144" t="s">
        <v>46</v>
      </c>
      <c r="C197" s="144" t="s">
        <v>44</v>
      </c>
      <c r="D197" s="144" t="s">
        <v>61</v>
      </c>
      <c r="E197" s="145">
        <f t="shared" si="74"/>
        <v>1</v>
      </c>
      <c r="F197" s="146">
        <f t="shared" si="57"/>
        <v>0</v>
      </c>
      <c r="G197" s="146">
        <f t="shared" si="58"/>
        <v>0</v>
      </c>
      <c r="H197" s="146">
        <f t="shared" si="59"/>
        <v>1</v>
      </c>
      <c r="I197" s="146">
        <f t="shared" si="60"/>
        <v>0</v>
      </c>
      <c r="J197" s="146">
        <f t="shared" si="61"/>
        <v>0</v>
      </c>
      <c r="K197" s="146">
        <f t="shared" si="62"/>
        <v>0</v>
      </c>
      <c r="L197" s="147">
        <f t="shared" si="75"/>
        <v>0</v>
      </c>
      <c r="M197" s="147">
        <f t="shared" si="63"/>
        <v>1</v>
      </c>
      <c r="N197" s="147">
        <f t="shared" si="64"/>
        <v>0</v>
      </c>
      <c r="O197" s="147">
        <f t="shared" si="65"/>
        <v>0</v>
      </c>
      <c r="P197" s="147">
        <f t="shared" si="66"/>
        <v>0</v>
      </c>
      <c r="Q197" s="147">
        <f t="shared" si="67"/>
        <v>0</v>
      </c>
      <c r="R197" s="147">
        <f t="shared" si="68"/>
        <v>0</v>
      </c>
      <c r="S197" s="147">
        <f t="shared" si="69"/>
        <v>0</v>
      </c>
      <c r="T197" s="147">
        <f t="shared" si="70"/>
        <v>0</v>
      </c>
      <c r="U197" s="147">
        <f t="shared" si="71"/>
        <v>0</v>
      </c>
      <c r="V197" s="147">
        <f t="shared" si="72"/>
        <v>0</v>
      </c>
      <c r="W197" s="129">
        <v>0</v>
      </c>
      <c r="X197" s="144" t="str">
        <f t="shared" si="73"/>
        <v>WEEKDAY</v>
      </c>
      <c r="Y197" s="148">
        <v>6</v>
      </c>
      <c r="Z197" s="144" t="s">
        <v>45</v>
      </c>
      <c r="AA197" s="149">
        <v>992</v>
      </c>
      <c r="AB197" s="149">
        <v>165.27627200000001</v>
      </c>
      <c r="AC197" s="149">
        <v>165.33333333333334</v>
      </c>
      <c r="AD197" s="156">
        <v>27.546045333333335</v>
      </c>
      <c r="AE197" s="149" t="str">
        <f>IFERROR(_xlfn.XLOOKUP(DATA_MASTER[[#This Row],[DATE]],RODEO[DATE],RODEO[ARTIST]),"")</f>
        <v>Carly Pearce</v>
      </c>
      <c r="AF197" s="172">
        <f>IF(DATA_MASTER[[#This Row],[RODEO_ARTIST]]="",0,1)</f>
        <v>1</v>
      </c>
      <c r="AG197" t="str">
        <f>IFERROR(RIGHT(_xlfn.XLOOKUP(DATA_MASTER[[#This Row],[DATE]],ASTROS[DATE],ASTROS[OPPONENT]),LEN(_xlfn.XLOOKUP(DATA_MASTER[[#This Row],[DATE]],ASTROS[DATE],ASTROS[OPPONENT]))-3),"NO GAME")</f>
        <v>NO GAME</v>
      </c>
      <c r="AH197">
        <f>IF(DATA_MASTER[[#This Row],[ASTROS_GAME]]="NO GAME",0,1)</f>
        <v>0</v>
      </c>
      <c r="AI197">
        <f>_xlfn.XLOOKUP(DATA_MASTER[[#This Row],[DATE]],WEATHER[DATE],WEATHER[tempmax])</f>
        <v>71.599999999999994</v>
      </c>
      <c r="AJ197">
        <f>_xlfn.XLOOKUP(DATA_MASTER[[#This Row],[DATE]],WEATHER[DATE],WEATHER[precip])</f>
        <v>0</v>
      </c>
    </row>
    <row r="198" spans="1:36" x14ac:dyDescent="0.35">
      <c r="A198" s="155">
        <v>45352</v>
      </c>
      <c r="B198" s="144" t="s">
        <v>42</v>
      </c>
      <c r="C198" s="144" t="s">
        <v>48</v>
      </c>
      <c r="D198" s="144" t="s">
        <v>62</v>
      </c>
      <c r="E198" s="145">
        <f t="shared" si="74"/>
        <v>0</v>
      </c>
      <c r="F198" s="146">
        <f t="shared" si="57"/>
        <v>0</v>
      </c>
      <c r="G198" s="146">
        <f t="shared" si="58"/>
        <v>0</v>
      </c>
      <c r="H198" s="146">
        <f t="shared" si="59"/>
        <v>0</v>
      </c>
      <c r="I198" s="146">
        <f t="shared" si="60"/>
        <v>0</v>
      </c>
      <c r="J198" s="146">
        <f t="shared" si="61"/>
        <v>1</v>
      </c>
      <c r="K198" s="146">
        <f t="shared" si="62"/>
        <v>0</v>
      </c>
      <c r="L198" s="147">
        <f t="shared" si="75"/>
        <v>0</v>
      </c>
      <c r="M198" s="147">
        <f t="shared" si="63"/>
        <v>0</v>
      </c>
      <c r="N198" s="147">
        <f t="shared" si="64"/>
        <v>1</v>
      </c>
      <c r="O198" s="147">
        <f t="shared" si="65"/>
        <v>0</v>
      </c>
      <c r="P198" s="147">
        <f t="shared" si="66"/>
        <v>0</v>
      </c>
      <c r="Q198" s="147">
        <f t="shared" si="67"/>
        <v>0</v>
      </c>
      <c r="R198" s="147">
        <f t="shared" si="68"/>
        <v>0</v>
      </c>
      <c r="S198" s="147">
        <f t="shared" si="69"/>
        <v>0</v>
      </c>
      <c r="T198" s="147">
        <f t="shared" si="70"/>
        <v>0</v>
      </c>
      <c r="U198" s="147">
        <f t="shared" si="71"/>
        <v>0</v>
      </c>
      <c r="V198" s="147">
        <f t="shared" si="72"/>
        <v>0</v>
      </c>
      <c r="W198" s="129">
        <v>0</v>
      </c>
      <c r="X198" s="144" t="str">
        <f t="shared" si="73"/>
        <v>WEEKDAY</v>
      </c>
      <c r="Y198" s="148">
        <v>5.25</v>
      </c>
      <c r="Z198" s="144" t="s">
        <v>45</v>
      </c>
      <c r="AA198" s="149">
        <v>1078</v>
      </c>
      <c r="AB198" s="149">
        <v>121.807196</v>
      </c>
      <c r="AC198" s="149">
        <v>205.33333333333334</v>
      </c>
      <c r="AD198" s="156">
        <v>23.201370666666669</v>
      </c>
      <c r="AE198" s="149" t="str">
        <f>IFERROR(_xlfn.XLOOKUP(DATA_MASTER[[#This Row],[DATE]],RODEO[DATE],RODEO[ARTIST]),"")</f>
        <v>50 Cent</v>
      </c>
      <c r="AF198" s="172">
        <f>IF(DATA_MASTER[[#This Row],[RODEO_ARTIST]]="",0,1)</f>
        <v>1</v>
      </c>
      <c r="AG198" t="str">
        <f>IFERROR(RIGHT(_xlfn.XLOOKUP(DATA_MASTER[[#This Row],[DATE]],ASTROS[DATE],ASTROS[OPPONENT]),LEN(_xlfn.XLOOKUP(DATA_MASTER[[#This Row],[DATE]],ASTROS[DATE],ASTROS[OPPONENT]))-3),"NO GAME")</f>
        <v>NO GAME</v>
      </c>
      <c r="AH198">
        <f>IF(DATA_MASTER[[#This Row],[ASTROS_GAME]]="NO GAME",0,1)</f>
        <v>0</v>
      </c>
      <c r="AI198">
        <f>_xlfn.XLOOKUP(DATA_MASTER[[#This Row],[DATE]],WEATHER[DATE],WEATHER[tempmax])</f>
        <v>71.599999999999994</v>
      </c>
      <c r="AJ198">
        <f>_xlfn.XLOOKUP(DATA_MASTER[[#This Row],[DATE]],WEATHER[DATE],WEATHER[precip])</f>
        <v>0</v>
      </c>
    </row>
    <row r="199" spans="1:36" x14ac:dyDescent="0.35">
      <c r="A199" s="155">
        <v>45353</v>
      </c>
      <c r="B199" s="144" t="s">
        <v>46</v>
      </c>
      <c r="C199" s="144" t="s">
        <v>49</v>
      </c>
      <c r="D199" s="144" t="s">
        <v>62</v>
      </c>
      <c r="E199" s="145">
        <f t="shared" si="74"/>
        <v>1</v>
      </c>
      <c r="F199" s="146">
        <f t="shared" si="57"/>
        <v>0</v>
      </c>
      <c r="G199" s="146">
        <f t="shared" si="58"/>
        <v>0</v>
      </c>
      <c r="H199" s="146">
        <f t="shared" si="59"/>
        <v>0</v>
      </c>
      <c r="I199" s="146">
        <f t="shared" si="60"/>
        <v>0</v>
      </c>
      <c r="J199" s="146">
        <f t="shared" si="61"/>
        <v>0</v>
      </c>
      <c r="K199" s="146">
        <f t="shared" si="62"/>
        <v>1</v>
      </c>
      <c r="L199" s="147">
        <f t="shared" si="75"/>
        <v>0</v>
      </c>
      <c r="M199" s="147">
        <f t="shared" si="63"/>
        <v>0</v>
      </c>
      <c r="N199" s="147">
        <f t="shared" si="64"/>
        <v>1</v>
      </c>
      <c r="O199" s="147">
        <f t="shared" si="65"/>
        <v>0</v>
      </c>
      <c r="P199" s="147">
        <f t="shared" si="66"/>
        <v>0</v>
      </c>
      <c r="Q199" s="147">
        <f t="shared" si="67"/>
        <v>0</v>
      </c>
      <c r="R199" s="147">
        <f t="shared" si="68"/>
        <v>0</v>
      </c>
      <c r="S199" s="147">
        <f t="shared" si="69"/>
        <v>0</v>
      </c>
      <c r="T199" s="147">
        <f t="shared" si="70"/>
        <v>0</v>
      </c>
      <c r="U199" s="147">
        <f t="shared" si="71"/>
        <v>0</v>
      </c>
      <c r="V199" s="147">
        <f t="shared" si="72"/>
        <v>0</v>
      </c>
      <c r="W199" s="129">
        <v>1</v>
      </c>
      <c r="X199" s="144" t="str">
        <f t="shared" si="73"/>
        <v>WEEKEND</v>
      </c>
      <c r="Y199" s="148">
        <v>5.5333333333333332</v>
      </c>
      <c r="Z199" s="144" t="s">
        <v>45</v>
      </c>
      <c r="AA199" s="149">
        <v>1060</v>
      </c>
      <c r="AB199" s="149">
        <v>162.63203999999999</v>
      </c>
      <c r="AC199" s="149">
        <v>191.56626506024097</v>
      </c>
      <c r="AD199" s="156">
        <v>29.391332530120479</v>
      </c>
      <c r="AE199" s="149" t="str">
        <f>IFERROR(_xlfn.XLOOKUP(DATA_MASTER[[#This Row],[DATE]],RODEO[DATE],RODEO[ARTIST]),"")</f>
        <v>Hardy</v>
      </c>
      <c r="AF199" s="172">
        <f>IF(DATA_MASTER[[#This Row],[RODEO_ARTIST]]="",0,1)</f>
        <v>1</v>
      </c>
      <c r="AG199" t="str">
        <f>IFERROR(RIGHT(_xlfn.XLOOKUP(DATA_MASTER[[#This Row],[DATE]],ASTROS[DATE],ASTROS[OPPONENT]),LEN(_xlfn.XLOOKUP(DATA_MASTER[[#This Row],[DATE]],ASTROS[DATE],ASTROS[OPPONENT]))-3),"NO GAME")</f>
        <v>NO GAME</v>
      </c>
      <c r="AH199">
        <f>IF(DATA_MASTER[[#This Row],[ASTROS_GAME]]="NO GAME",0,1)</f>
        <v>0</v>
      </c>
      <c r="AI199">
        <f>_xlfn.XLOOKUP(DATA_MASTER[[#This Row],[DATE]],WEATHER[DATE],WEATHER[tempmax])</f>
        <v>71.599999999999994</v>
      </c>
      <c r="AJ199">
        <f>_xlfn.XLOOKUP(DATA_MASTER[[#This Row],[DATE]],WEATHER[DATE],WEATHER[precip])</f>
        <v>0</v>
      </c>
    </row>
    <row r="200" spans="1:36" x14ac:dyDescent="0.35">
      <c r="A200" s="155">
        <v>45354</v>
      </c>
      <c r="B200" s="144" t="s">
        <v>42</v>
      </c>
      <c r="C200" s="144" t="s">
        <v>50</v>
      </c>
      <c r="D200" s="144" t="s">
        <v>62</v>
      </c>
      <c r="E200" s="145">
        <f t="shared" si="74"/>
        <v>0</v>
      </c>
      <c r="F200" s="146">
        <f t="shared" si="57"/>
        <v>1</v>
      </c>
      <c r="G200" s="146">
        <f t="shared" si="58"/>
        <v>0</v>
      </c>
      <c r="H200" s="146">
        <f t="shared" si="59"/>
        <v>0</v>
      </c>
      <c r="I200" s="146">
        <f t="shared" si="60"/>
        <v>0</v>
      </c>
      <c r="J200" s="146">
        <f t="shared" si="61"/>
        <v>0</v>
      </c>
      <c r="K200" s="146">
        <f t="shared" si="62"/>
        <v>0</v>
      </c>
      <c r="L200" s="147">
        <f t="shared" si="75"/>
        <v>0</v>
      </c>
      <c r="M200" s="147">
        <f t="shared" si="63"/>
        <v>0</v>
      </c>
      <c r="N200" s="147">
        <f t="shared" si="64"/>
        <v>1</v>
      </c>
      <c r="O200" s="147">
        <f t="shared" si="65"/>
        <v>0</v>
      </c>
      <c r="P200" s="147">
        <f t="shared" si="66"/>
        <v>0</v>
      </c>
      <c r="Q200" s="147">
        <f t="shared" si="67"/>
        <v>0</v>
      </c>
      <c r="R200" s="147">
        <f t="shared" si="68"/>
        <v>0</v>
      </c>
      <c r="S200" s="147">
        <f t="shared" si="69"/>
        <v>0</v>
      </c>
      <c r="T200" s="147">
        <f t="shared" si="70"/>
        <v>0</v>
      </c>
      <c r="U200" s="147">
        <f t="shared" si="71"/>
        <v>0</v>
      </c>
      <c r="V200" s="147">
        <f t="shared" si="72"/>
        <v>0</v>
      </c>
      <c r="W200" s="129">
        <v>1</v>
      </c>
      <c r="X200" s="144" t="str">
        <f t="shared" si="73"/>
        <v>WEEKEND</v>
      </c>
      <c r="Y200" s="148">
        <v>4</v>
      </c>
      <c r="Z200" s="144" t="s">
        <v>55</v>
      </c>
      <c r="AA200" s="149">
        <v>600</v>
      </c>
      <c r="AB200" s="149">
        <v>82.839999999999989</v>
      </c>
      <c r="AC200" s="149">
        <v>150</v>
      </c>
      <c r="AD200" s="156">
        <v>20.709999999999997</v>
      </c>
      <c r="AE200" s="149" t="str">
        <f>IFERROR(_xlfn.XLOOKUP(DATA_MASTER[[#This Row],[DATE]],RODEO[DATE],RODEO[ARTIST]),"")</f>
        <v>Ivan Cornejo</v>
      </c>
      <c r="AF200" s="172">
        <f>IF(DATA_MASTER[[#This Row],[RODEO_ARTIST]]="",0,1)</f>
        <v>1</v>
      </c>
      <c r="AG200" t="str">
        <f>IFERROR(RIGHT(_xlfn.XLOOKUP(DATA_MASTER[[#This Row],[DATE]],ASTROS[DATE],ASTROS[OPPONENT]),LEN(_xlfn.XLOOKUP(DATA_MASTER[[#This Row],[DATE]],ASTROS[DATE],ASTROS[OPPONENT]))-3),"NO GAME")</f>
        <v>NO GAME</v>
      </c>
      <c r="AH200">
        <f>IF(DATA_MASTER[[#This Row],[ASTROS_GAME]]="NO GAME",0,1)</f>
        <v>0</v>
      </c>
      <c r="AI200">
        <f>_xlfn.XLOOKUP(DATA_MASTER[[#This Row],[DATE]],WEATHER[DATE],WEATHER[tempmax])</f>
        <v>77</v>
      </c>
      <c r="AJ200">
        <f>_xlfn.XLOOKUP(DATA_MASTER[[#This Row],[DATE]],WEATHER[DATE],WEATHER[precip])</f>
        <v>0</v>
      </c>
    </row>
    <row r="201" spans="1:36" x14ac:dyDescent="0.35">
      <c r="A201" s="155">
        <v>45354</v>
      </c>
      <c r="B201" s="144" t="s">
        <v>46</v>
      </c>
      <c r="C201" s="144" t="s">
        <v>50</v>
      </c>
      <c r="D201" s="144" t="s">
        <v>62</v>
      </c>
      <c r="E201" s="145">
        <f t="shared" si="74"/>
        <v>1</v>
      </c>
      <c r="F201" s="146">
        <f t="shared" si="57"/>
        <v>1</v>
      </c>
      <c r="G201" s="146">
        <f t="shared" si="58"/>
        <v>0</v>
      </c>
      <c r="H201" s="146">
        <f t="shared" si="59"/>
        <v>0</v>
      </c>
      <c r="I201" s="146">
        <f t="shared" si="60"/>
        <v>0</v>
      </c>
      <c r="J201" s="146">
        <f t="shared" si="61"/>
        <v>0</v>
      </c>
      <c r="K201" s="146">
        <f t="shared" si="62"/>
        <v>0</v>
      </c>
      <c r="L201" s="147">
        <f t="shared" si="75"/>
        <v>0</v>
      </c>
      <c r="M201" s="147">
        <f t="shared" si="63"/>
        <v>0</v>
      </c>
      <c r="N201" s="147">
        <f t="shared" si="64"/>
        <v>1</v>
      </c>
      <c r="O201" s="147">
        <f t="shared" si="65"/>
        <v>0</v>
      </c>
      <c r="P201" s="147">
        <f t="shared" si="66"/>
        <v>0</v>
      </c>
      <c r="Q201" s="147">
        <f t="shared" si="67"/>
        <v>0</v>
      </c>
      <c r="R201" s="147">
        <f t="shared" si="68"/>
        <v>0</v>
      </c>
      <c r="S201" s="147">
        <f t="shared" si="69"/>
        <v>0</v>
      </c>
      <c r="T201" s="147">
        <f t="shared" si="70"/>
        <v>0</v>
      </c>
      <c r="U201" s="147">
        <f t="shared" si="71"/>
        <v>0</v>
      </c>
      <c r="V201" s="147">
        <f t="shared" si="72"/>
        <v>0</v>
      </c>
      <c r="W201" s="129">
        <v>1</v>
      </c>
      <c r="X201" s="144" t="str">
        <f t="shared" si="73"/>
        <v>WEEKEND</v>
      </c>
      <c r="Y201" s="148">
        <v>5.5666666666666664</v>
      </c>
      <c r="Z201" s="144" t="s">
        <v>55</v>
      </c>
      <c r="AA201" s="149">
        <v>2022</v>
      </c>
      <c r="AB201" s="149">
        <v>283.06921599999998</v>
      </c>
      <c r="AC201" s="149">
        <v>363.23353293413174</v>
      </c>
      <c r="AD201" s="156">
        <v>50.850757365269459</v>
      </c>
      <c r="AE201" s="149" t="str">
        <f>IFERROR(_xlfn.XLOOKUP(DATA_MASTER[[#This Row],[DATE]],RODEO[DATE],RODEO[ARTIST]),"")</f>
        <v>Ivan Cornejo</v>
      </c>
      <c r="AF201" s="172">
        <f>IF(DATA_MASTER[[#This Row],[RODEO_ARTIST]]="",0,1)</f>
        <v>1</v>
      </c>
      <c r="AG201" t="str">
        <f>IFERROR(RIGHT(_xlfn.XLOOKUP(DATA_MASTER[[#This Row],[DATE]],ASTROS[DATE],ASTROS[OPPONENT]),LEN(_xlfn.XLOOKUP(DATA_MASTER[[#This Row],[DATE]],ASTROS[DATE],ASTROS[OPPONENT]))-3),"NO GAME")</f>
        <v>NO GAME</v>
      </c>
      <c r="AH201">
        <f>IF(DATA_MASTER[[#This Row],[ASTROS_GAME]]="NO GAME",0,1)</f>
        <v>0</v>
      </c>
      <c r="AI201">
        <f>_xlfn.XLOOKUP(DATA_MASTER[[#This Row],[DATE]],WEATHER[DATE],WEATHER[tempmax])</f>
        <v>77</v>
      </c>
      <c r="AJ201">
        <f>_xlfn.XLOOKUP(DATA_MASTER[[#This Row],[DATE]],WEATHER[DATE],WEATHER[precip])</f>
        <v>0</v>
      </c>
    </row>
    <row r="202" spans="1:36" x14ac:dyDescent="0.35">
      <c r="A202" s="155">
        <v>45355</v>
      </c>
      <c r="B202" s="144" t="s">
        <v>42</v>
      </c>
      <c r="C202" s="144" t="s">
        <v>51</v>
      </c>
      <c r="D202" s="144" t="s">
        <v>62</v>
      </c>
      <c r="E202" s="145">
        <f t="shared" si="74"/>
        <v>0</v>
      </c>
      <c r="F202" s="146">
        <f t="shared" si="57"/>
        <v>0</v>
      </c>
      <c r="G202" s="146">
        <f t="shared" si="58"/>
        <v>1</v>
      </c>
      <c r="H202" s="146">
        <f t="shared" si="59"/>
        <v>0</v>
      </c>
      <c r="I202" s="146">
        <f t="shared" si="60"/>
        <v>0</v>
      </c>
      <c r="J202" s="146">
        <f t="shared" si="61"/>
        <v>0</v>
      </c>
      <c r="K202" s="146">
        <f t="shared" si="62"/>
        <v>0</v>
      </c>
      <c r="L202" s="147">
        <f t="shared" si="75"/>
        <v>0</v>
      </c>
      <c r="M202" s="147">
        <f t="shared" si="63"/>
        <v>0</v>
      </c>
      <c r="N202" s="147">
        <f t="shared" si="64"/>
        <v>1</v>
      </c>
      <c r="O202" s="147">
        <f t="shared" si="65"/>
        <v>0</v>
      </c>
      <c r="P202" s="147">
        <f t="shared" si="66"/>
        <v>0</v>
      </c>
      <c r="Q202" s="147">
        <f t="shared" si="67"/>
        <v>0</v>
      </c>
      <c r="R202" s="147">
        <f t="shared" si="68"/>
        <v>0</v>
      </c>
      <c r="S202" s="147">
        <f t="shared" si="69"/>
        <v>0</v>
      </c>
      <c r="T202" s="147">
        <f t="shared" si="70"/>
        <v>0</v>
      </c>
      <c r="U202" s="147">
        <f t="shared" si="71"/>
        <v>0</v>
      </c>
      <c r="V202" s="147">
        <f t="shared" si="72"/>
        <v>0</v>
      </c>
      <c r="W202" s="129">
        <v>0</v>
      </c>
      <c r="X202" s="144" t="str">
        <f t="shared" si="73"/>
        <v>WEEKDAY</v>
      </c>
      <c r="Y202" s="148">
        <v>2.75</v>
      </c>
      <c r="Z202" s="144" t="s">
        <v>55</v>
      </c>
      <c r="AA202" s="149">
        <v>562</v>
      </c>
      <c r="AB202" s="149">
        <v>89.287804000000008</v>
      </c>
      <c r="AC202" s="149">
        <v>204.36363636363637</v>
      </c>
      <c r="AD202" s="156">
        <v>32.468292363636365</v>
      </c>
      <c r="AE202" s="149" t="str">
        <f>IFERROR(_xlfn.XLOOKUP(DATA_MASTER[[#This Row],[DATE]],RODEO[DATE],RODEO[ARTIST]),"")</f>
        <v>Hank Williams jr.</v>
      </c>
      <c r="AF202" s="172">
        <f>IF(DATA_MASTER[[#This Row],[RODEO_ARTIST]]="",0,1)</f>
        <v>1</v>
      </c>
      <c r="AG202" t="str">
        <f>IFERROR(RIGHT(_xlfn.XLOOKUP(DATA_MASTER[[#This Row],[DATE]],ASTROS[DATE],ASTROS[OPPONENT]),LEN(_xlfn.XLOOKUP(DATA_MASTER[[#This Row],[DATE]],ASTROS[DATE],ASTROS[OPPONENT]))-3),"NO GAME")</f>
        <v>NO GAME</v>
      </c>
      <c r="AH202">
        <f>IF(DATA_MASTER[[#This Row],[ASTROS_GAME]]="NO GAME",0,1)</f>
        <v>0</v>
      </c>
      <c r="AI202">
        <f>_xlfn.XLOOKUP(DATA_MASTER[[#This Row],[DATE]],WEATHER[DATE],WEATHER[tempmax])</f>
        <v>78.900000000000006</v>
      </c>
      <c r="AJ202">
        <f>_xlfn.XLOOKUP(DATA_MASTER[[#This Row],[DATE]],WEATHER[DATE],WEATHER[precip])</f>
        <v>0</v>
      </c>
    </row>
    <row r="203" spans="1:36" x14ac:dyDescent="0.35">
      <c r="A203" s="155">
        <v>45355</v>
      </c>
      <c r="B203" s="144" t="s">
        <v>46</v>
      </c>
      <c r="C203" s="144" t="s">
        <v>51</v>
      </c>
      <c r="D203" s="144" t="s">
        <v>62</v>
      </c>
      <c r="E203" s="145">
        <f t="shared" si="74"/>
        <v>1</v>
      </c>
      <c r="F203" s="146">
        <f t="shared" si="57"/>
        <v>0</v>
      </c>
      <c r="G203" s="146">
        <f t="shared" si="58"/>
        <v>1</v>
      </c>
      <c r="H203" s="146">
        <f t="shared" si="59"/>
        <v>0</v>
      </c>
      <c r="I203" s="146">
        <f t="shared" si="60"/>
        <v>0</v>
      </c>
      <c r="J203" s="146">
        <f t="shared" si="61"/>
        <v>0</v>
      </c>
      <c r="K203" s="146">
        <f t="shared" si="62"/>
        <v>0</v>
      </c>
      <c r="L203" s="147">
        <f t="shared" si="75"/>
        <v>0</v>
      </c>
      <c r="M203" s="147">
        <f t="shared" si="63"/>
        <v>0</v>
      </c>
      <c r="N203" s="147">
        <f t="shared" si="64"/>
        <v>1</v>
      </c>
      <c r="O203" s="147">
        <f t="shared" si="65"/>
        <v>0</v>
      </c>
      <c r="P203" s="147">
        <f t="shared" si="66"/>
        <v>0</v>
      </c>
      <c r="Q203" s="147">
        <f t="shared" si="67"/>
        <v>0</v>
      </c>
      <c r="R203" s="147">
        <f t="shared" si="68"/>
        <v>0</v>
      </c>
      <c r="S203" s="147">
        <f t="shared" si="69"/>
        <v>0</v>
      </c>
      <c r="T203" s="147">
        <f t="shared" si="70"/>
        <v>0</v>
      </c>
      <c r="U203" s="147">
        <f t="shared" si="71"/>
        <v>0</v>
      </c>
      <c r="V203" s="147">
        <f t="shared" si="72"/>
        <v>0</v>
      </c>
      <c r="W203" s="129">
        <v>0</v>
      </c>
      <c r="X203" s="144" t="str">
        <f t="shared" si="73"/>
        <v>WEEKDAY</v>
      </c>
      <c r="Y203" s="148">
        <v>5.4</v>
      </c>
      <c r="Z203" s="144" t="s">
        <v>55</v>
      </c>
      <c r="AA203" s="149">
        <v>1687</v>
      </c>
      <c r="AB203" s="149">
        <v>311.89962400000002</v>
      </c>
      <c r="AC203" s="149">
        <v>312.40740740740739</v>
      </c>
      <c r="AD203" s="156">
        <v>57.759189629629631</v>
      </c>
      <c r="AE203" s="149" t="str">
        <f>IFERROR(_xlfn.XLOOKUP(DATA_MASTER[[#This Row],[DATE]],RODEO[DATE],RODEO[ARTIST]),"")</f>
        <v>Hank Williams jr.</v>
      </c>
      <c r="AF203" s="172">
        <f>IF(DATA_MASTER[[#This Row],[RODEO_ARTIST]]="",0,1)</f>
        <v>1</v>
      </c>
      <c r="AG203" t="str">
        <f>IFERROR(RIGHT(_xlfn.XLOOKUP(DATA_MASTER[[#This Row],[DATE]],ASTROS[DATE],ASTROS[OPPONENT]),LEN(_xlfn.XLOOKUP(DATA_MASTER[[#This Row],[DATE]],ASTROS[DATE],ASTROS[OPPONENT]))-3),"NO GAME")</f>
        <v>NO GAME</v>
      </c>
      <c r="AH203">
        <f>IF(DATA_MASTER[[#This Row],[ASTROS_GAME]]="NO GAME",0,1)</f>
        <v>0</v>
      </c>
      <c r="AI203">
        <f>_xlfn.XLOOKUP(DATA_MASTER[[#This Row],[DATE]],WEATHER[DATE],WEATHER[tempmax])</f>
        <v>78.900000000000006</v>
      </c>
      <c r="AJ203">
        <f>_xlfn.XLOOKUP(DATA_MASTER[[#This Row],[DATE]],WEATHER[DATE],WEATHER[precip])</f>
        <v>0</v>
      </c>
    </row>
    <row r="204" spans="1:36" x14ac:dyDescent="0.35">
      <c r="A204" s="155">
        <v>45357</v>
      </c>
      <c r="B204" s="144" t="s">
        <v>46</v>
      </c>
      <c r="C204" s="144" t="s">
        <v>44</v>
      </c>
      <c r="D204" s="144" t="s">
        <v>62</v>
      </c>
      <c r="E204" s="145">
        <f t="shared" si="74"/>
        <v>1</v>
      </c>
      <c r="F204" s="146">
        <f t="shared" si="57"/>
        <v>0</v>
      </c>
      <c r="G204" s="146">
        <f t="shared" si="58"/>
        <v>0</v>
      </c>
      <c r="H204" s="146">
        <f t="shared" si="59"/>
        <v>1</v>
      </c>
      <c r="I204" s="146">
        <f t="shared" si="60"/>
        <v>0</v>
      </c>
      <c r="J204" s="146">
        <f t="shared" si="61"/>
        <v>0</v>
      </c>
      <c r="K204" s="146">
        <f t="shared" si="62"/>
        <v>0</v>
      </c>
      <c r="L204" s="147">
        <f t="shared" si="75"/>
        <v>0</v>
      </c>
      <c r="M204" s="147">
        <f t="shared" si="63"/>
        <v>0</v>
      </c>
      <c r="N204" s="147">
        <f t="shared" si="64"/>
        <v>1</v>
      </c>
      <c r="O204" s="147">
        <f t="shared" si="65"/>
        <v>0</v>
      </c>
      <c r="P204" s="147">
        <f t="shared" si="66"/>
        <v>0</v>
      </c>
      <c r="Q204" s="147">
        <f t="shared" si="67"/>
        <v>0</v>
      </c>
      <c r="R204" s="147">
        <f t="shared" si="68"/>
        <v>0</v>
      </c>
      <c r="S204" s="147">
        <f t="shared" si="69"/>
        <v>0</v>
      </c>
      <c r="T204" s="147">
        <f t="shared" si="70"/>
        <v>0</v>
      </c>
      <c r="U204" s="147">
        <f t="shared" si="71"/>
        <v>0</v>
      </c>
      <c r="V204" s="147">
        <f t="shared" si="72"/>
        <v>0</v>
      </c>
      <c r="W204" s="129">
        <v>0</v>
      </c>
      <c r="X204" s="144" t="str">
        <f t="shared" si="73"/>
        <v>WEEKDAY</v>
      </c>
      <c r="Y204" s="148">
        <v>6.5</v>
      </c>
      <c r="Z204" s="144" t="s">
        <v>45</v>
      </c>
      <c r="AA204" s="149">
        <v>1484</v>
      </c>
      <c r="AB204" s="149">
        <v>248.45899199999999</v>
      </c>
      <c r="AC204" s="149">
        <v>228.30769230769232</v>
      </c>
      <c r="AD204" s="156">
        <v>38.224460307692304</v>
      </c>
      <c r="AE204" s="149" t="str">
        <f>IFERROR(_xlfn.XLOOKUP(DATA_MASTER[[#This Row],[DATE]],RODEO[DATE],RODEO[ARTIST]),"")</f>
        <v>Jelly Roll</v>
      </c>
      <c r="AF204" s="172">
        <f>IF(DATA_MASTER[[#This Row],[RODEO_ARTIST]]="",0,1)</f>
        <v>1</v>
      </c>
      <c r="AG204" t="str">
        <f>IFERROR(RIGHT(_xlfn.XLOOKUP(DATA_MASTER[[#This Row],[DATE]],ASTROS[DATE],ASTROS[OPPONENT]),LEN(_xlfn.XLOOKUP(DATA_MASTER[[#This Row],[DATE]],ASTROS[DATE],ASTROS[OPPONENT]))-3),"NO GAME")</f>
        <v>NO GAME</v>
      </c>
      <c r="AH204">
        <f>IF(DATA_MASTER[[#This Row],[ASTROS_GAME]]="NO GAME",0,1)</f>
        <v>0</v>
      </c>
      <c r="AI204">
        <f>_xlfn.XLOOKUP(DATA_MASTER[[#This Row],[DATE]],WEATHER[DATE],WEATHER[tempmax])</f>
        <v>78.900000000000006</v>
      </c>
      <c r="AJ204">
        <f>_xlfn.XLOOKUP(DATA_MASTER[[#This Row],[DATE]],WEATHER[DATE],WEATHER[precip])</f>
        <v>0</v>
      </c>
    </row>
    <row r="205" spans="1:36" x14ac:dyDescent="0.35">
      <c r="A205" s="155">
        <v>45359</v>
      </c>
      <c r="B205" s="144" t="s">
        <v>46</v>
      </c>
      <c r="C205" s="144" t="s">
        <v>48</v>
      </c>
      <c r="D205" s="144" t="s">
        <v>62</v>
      </c>
      <c r="E205" s="145">
        <f t="shared" si="74"/>
        <v>1</v>
      </c>
      <c r="F205" s="146">
        <f t="shared" si="57"/>
        <v>0</v>
      </c>
      <c r="G205" s="146">
        <f t="shared" si="58"/>
        <v>0</v>
      </c>
      <c r="H205" s="146">
        <f t="shared" si="59"/>
        <v>0</v>
      </c>
      <c r="I205" s="146">
        <f t="shared" si="60"/>
        <v>0</v>
      </c>
      <c r="J205" s="146">
        <f t="shared" si="61"/>
        <v>1</v>
      </c>
      <c r="K205" s="146">
        <f t="shared" si="62"/>
        <v>0</v>
      </c>
      <c r="L205" s="147">
        <f t="shared" si="75"/>
        <v>0</v>
      </c>
      <c r="M205" s="147">
        <f t="shared" si="63"/>
        <v>0</v>
      </c>
      <c r="N205" s="147">
        <f t="shared" si="64"/>
        <v>1</v>
      </c>
      <c r="O205" s="147">
        <f t="shared" si="65"/>
        <v>0</v>
      </c>
      <c r="P205" s="147">
        <f t="shared" si="66"/>
        <v>0</v>
      </c>
      <c r="Q205" s="147">
        <f t="shared" si="67"/>
        <v>0</v>
      </c>
      <c r="R205" s="147">
        <f t="shared" si="68"/>
        <v>0</v>
      </c>
      <c r="S205" s="147">
        <f t="shared" si="69"/>
        <v>0</v>
      </c>
      <c r="T205" s="147">
        <f t="shared" si="70"/>
        <v>0</v>
      </c>
      <c r="U205" s="147">
        <f t="shared" si="71"/>
        <v>0</v>
      </c>
      <c r="V205" s="147">
        <f t="shared" si="72"/>
        <v>0</v>
      </c>
      <c r="W205" s="129">
        <v>1</v>
      </c>
      <c r="X205" s="144" t="str">
        <f t="shared" si="73"/>
        <v>WEEKEND</v>
      </c>
      <c r="Y205" s="148">
        <v>6.8166666666666664</v>
      </c>
      <c r="Z205" s="144" t="s">
        <v>45</v>
      </c>
      <c r="AA205" s="149">
        <v>1644</v>
      </c>
      <c r="AB205" s="149">
        <v>225.74660400000002</v>
      </c>
      <c r="AC205" s="149">
        <v>241.17359413202934</v>
      </c>
      <c r="AD205" s="156">
        <v>33.116861222493888</v>
      </c>
      <c r="AE205" s="149" t="str">
        <f>IFERROR(_xlfn.XLOOKUP(DATA_MASTER[[#This Row],[DATE]],RODEO[DATE],RODEO[ARTIST]),"")</f>
        <v>Major Lazer</v>
      </c>
      <c r="AF205" s="172">
        <f>IF(DATA_MASTER[[#This Row],[RODEO_ARTIST]]="",0,1)</f>
        <v>1</v>
      </c>
      <c r="AG205" t="str">
        <f>IFERROR(RIGHT(_xlfn.XLOOKUP(DATA_MASTER[[#This Row],[DATE]],ASTROS[DATE],ASTROS[OPPONENT]),LEN(_xlfn.XLOOKUP(DATA_MASTER[[#This Row],[DATE]],ASTROS[DATE],ASTROS[OPPONENT]))-3),"NO GAME")</f>
        <v>NO GAME</v>
      </c>
      <c r="AH205">
        <f>IF(DATA_MASTER[[#This Row],[ASTROS_GAME]]="NO GAME",0,1)</f>
        <v>0</v>
      </c>
      <c r="AI205">
        <f>_xlfn.XLOOKUP(DATA_MASTER[[#This Row],[DATE]],WEATHER[DATE],WEATHER[tempmax])</f>
        <v>80.7</v>
      </c>
      <c r="AJ205">
        <f>_xlfn.XLOOKUP(DATA_MASTER[[#This Row],[DATE]],WEATHER[DATE],WEATHER[precip])</f>
        <v>0.10100000000000001</v>
      </c>
    </row>
    <row r="206" spans="1:36" x14ac:dyDescent="0.35">
      <c r="A206" s="155">
        <v>45360</v>
      </c>
      <c r="B206" s="144" t="s">
        <v>42</v>
      </c>
      <c r="C206" s="144" t="s">
        <v>49</v>
      </c>
      <c r="D206" s="144" t="s">
        <v>62</v>
      </c>
      <c r="E206" s="145">
        <f t="shared" si="74"/>
        <v>0</v>
      </c>
      <c r="F206" s="146">
        <f t="shared" si="57"/>
        <v>0</v>
      </c>
      <c r="G206" s="146">
        <f t="shared" si="58"/>
        <v>0</v>
      </c>
      <c r="H206" s="146">
        <f t="shared" si="59"/>
        <v>0</v>
      </c>
      <c r="I206" s="146">
        <f t="shared" si="60"/>
        <v>0</v>
      </c>
      <c r="J206" s="146">
        <f t="shared" si="61"/>
        <v>0</v>
      </c>
      <c r="K206" s="146">
        <f t="shared" si="62"/>
        <v>1</v>
      </c>
      <c r="L206" s="147">
        <f t="shared" si="75"/>
        <v>0</v>
      </c>
      <c r="M206" s="147">
        <f t="shared" si="63"/>
        <v>0</v>
      </c>
      <c r="N206" s="147">
        <f t="shared" si="64"/>
        <v>1</v>
      </c>
      <c r="O206" s="147">
        <f t="shared" si="65"/>
        <v>0</v>
      </c>
      <c r="P206" s="147">
        <f t="shared" si="66"/>
        <v>0</v>
      </c>
      <c r="Q206" s="147">
        <f t="shared" si="67"/>
        <v>0</v>
      </c>
      <c r="R206" s="147">
        <f t="shared" si="68"/>
        <v>0</v>
      </c>
      <c r="S206" s="147">
        <f t="shared" si="69"/>
        <v>0</v>
      </c>
      <c r="T206" s="147">
        <f t="shared" si="70"/>
        <v>0</v>
      </c>
      <c r="U206" s="147">
        <f t="shared" si="71"/>
        <v>0</v>
      </c>
      <c r="V206" s="147">
        <f t="shared" si="72"/>
        <v>0</v>
      </c>
      <c r="W206" s="129">
        <v>1</v>
      </c>
      <c r="X206" s="144" t="str">
        <f t="shared" si="73"/>
        <v>WEEKEND</v>
      </c>
      <c r="Y206" s="148">
        <v>3.2333333333333334</v>
      </c>
      <c r="Z206" s="144" t="s">
        <v>55</v>
      </c>
      <c r="AA206" s="149">
        <v>410</v>
      </c>
      <c r="AB206" s="149">
        <v>76.934904000000003</v>
      </c>
      <c r="AC206" s="149">
        <v>126.80412371134021</v>
      </c>
      <c r="AD206" s="156">
        <v>23.794300206185568</v>
      </c>
      <c r="AE206" s="149" t="str">
        <f>IFERROR(_xlfn.XLOOKUP(DATA_MASTER[[#This Row],[DATE]],RODEO[DATE],RODEO[ARTIST]),"")</f>
        <v>Lainey Wilson</v>
      </c>
      <c r="AF206" s="172">
        <f>IF(DATA_MASTER[[#This Row],[RODEO_ARTIST]]="",0,1)</f>
        <v>1</v>
      </c>
      <c r="AG206" t="str">
        <f>IFERROR(RIGHT(_xlfn.XLOOKUP(DATA_MASTER[[#This Row],[DATE]],ASTROS[DATE],ASTROS[OPPONENT]),LEN(_xlfn.XLOOKUP(DATA_MASTER[[#This Row],[DATE]],ASTROS[DATE],ASTROS[OPPONENT]))-3),"NO GAME")</f>
        <v>NO GAME</v>
      </c>
      <c r="AH206">
        <f>IF(DATA_MASTER[[#This Row],[ASTROS_GAME]]="NO GAME",0,1)</f>
        <v>0</v>
      </c>
      <c r="AI206">
        <f>_xlfn.XLOOKUP(DATA_MASTER[[#This Row],[DATE]],WEATHER[DATE],WEATHER[tempmax])</f>
        <v>66.3</v>
      </c>
      <c r="AJ206">
        <f>_xlfn.XLOOKUP(DATA_MASTER[[#This Row],[DATE]],WEATHER[DATE],WEATHER[precip])</f>
        <v>0</v>
      </c>
    </row>
    <row r="207" spans="1:36" x14ac:dyDescent="0.35">
      <c r="A207" s="155">
        <v>45360</v>
      </c>
      <c r="B207" s="144" t="s">
        <v>46</v>
      </c>
      <c r="C207" s="144" t="s">
        <v>49</v>
      </c>
      <c r="D207" s="144" t="s">
        <v>62</v>
      </c>
      <c r="E207" s="145">
        <f t="shared" si="74"/>
        <v>1</v>
      </c>
      <c r="F207" s="146">
        <f t="shared" si="57"/>
        <v>0</v>
      </c>
      <c r="G207" s="146">
        <f t="shared" si="58"/>
        <v>0</v>
      </c>
      <c r="H207" s="146">
        <f t="shared" si="59"/>
        <v>0</v>
      </c>
      <c r="I207" s="146">
        <f t="shared" si="60"/>
        <v>0</v>
      </c>
      <c r="J207" s="146">
        <f t="shared" si="61"/>
        <v>0</v>
      </c>
      <c r="K207" s="146">
        <f t="shared" si="62"/>
        <v>1</v>
      </c>
      <c r="L207" s="147">
        <f t="shared" si="75"/>
        <v>0</v>
      </c>
      <c r="M207" s="147">
        <f t="shared" si="63"/>
        <v>0</v>
      </c>
      <c r="N207" s="147">
        <f t="shared" si="64"/>
        <v>1</v>
      </c>
      <c r="O207" s="147">
        <f t="shared" si="65"/>
        <v>0</v>
      </c>
      <c r="P207" s="147">
        <f t="shared" si="66"/>
        <v>0</v>
      </c>
      <c r="Q207" s="147">
        <f t="shared" si="67"/>
        <v>0</v>
      </c>
      <c r="R207" s="147">
        <f t="shared" si="68"/>
        <v>0</v>
      </c>
      <c r="S207" s="147">
        <f t="shared" si="69"/>
        <v>0</v>
      </c>
      <c r="T207" s="147">
        <f t="shared" si="70"/>
        <v>0</v>
      </c>
      <c r="U207" s="147">
        <f t="shared" si="71"/>
        <v>0</v>
      </c>
      <c r="V207" s="147">
        <f t="shared" si="72"/>
        <v>0</v>
      </c>
      <c r="W207" s="129">
        <v>1</v>
      </c>
      <c r="X207" s="144" t="str">
        <f t="shared" si="73"/>
        <v>WEEKEND</v>
      </c>
      <c r="Y207" s="148">
        <v>5.5666666666666664</v>
      </c>
      <c r="Z207" s="144" t="s">
        <v>55</v>
      </c>
      <c r="AA207" s="149">
        <v>2225.5</v>
      </c>
      <c r="AB207" s="149">
        <v>344.84610399999997</v>
      </c>
      <c r="AC207" s="149">
        <v>399.79041916167665</v>
      </c>
      <c r="AD207" s="156">
        <v>61.948401916167661</v>
      </c>
      <c r="AE207" s="149" t="str">
        <f>IFERROR(_xlfn.XLOOKUP(DATA_MASTER[[#This Row],[DATE]],RODEO[DATE],RODEO[ARTIST]),"")</f>
        <v>Lainey Wilson</v>
      </c>
      <c r="AF207" s="172">
        <f>IF(DATA_MASTER[[#This Row],[RODEO_ARTIST]]="",0,1)</f>
        <v>1</v>
      </c>
      <c r="AG207" t="str">
        <f>IFERROR(RIGHT(_xlfn.XLOOKUP(DATA_MASTER[[#This Row],[DATE]],ASTROS[DATE],ASTROS[OPPONENT]),LEN(_xlfn.XLOOKUP(DATA_MASTER[[#This Row],[DATE]],ASTROS[DATE],ASTROS[OPPONENT]))-3),"NO GAME")</f>
        <v>NO GAME</v>
      </c>
      <c r="AH207">
        <f>IF(DATA_MASTER[[#This Row],[ASTROS_GAME]]="NO GAME",0,1)</f>
        <v>0</v>
      </c>
      <c r="AI207">
        <f>_xlfn.XLOOKUP(DATA_MASTER[[#This Row],[DATE]],WEATHER[DATE],WEATHER[tempmax])</f>
        <v>66.3</v>
      </c>
      <c r="AJ207">
        <f>_xlfn.XLOOKUP(DATA_MASTER[[#This Row],[DATE]],WEATHER[DATE],WEATHER[precip])</f>
        <v>0</v>
      </c>
    </row>
    <row r="208" spans="1:36" x14ac:dyDescent="0.35">
      <c r="A208" s="155">
        <v>45361</v>
      </c>
      <c r="B208" s="144" t="s">
        <v>42</v>
      </c>
      <c r="C208" s="144" t="s">
        <v>50</v>
      </c>
      <c r="D208" s="144" t="s">
        <v>62</v>
      </c>
      <c r="E208" s="145">
        <f t="shared" si="74"/>
        <v>0</v>
      </c>
      <c r="F208" s="146">
        <f t="shared" si="57"/>
        <v>1</v>
      </c>
      <c r="G208" s="146">
        <f t="shared" si="58"/>
        <v>0</v>
      </c>
      <c r="H208" s="146">
        <f t="shared" si="59"/>
        <v>0</v>
      </c>
      <c r="I208" s="146">
        <f t="shared" si="60"/>
        <v>0</v>
      </c>
      <c r="J208" s="146">
        <f t="shared" si="61"/>
        <v>0</v>
      </c>
      <c r="K208" s="146">
        <f t="shared" si="62"/>
        <v>0</v>
      </c>
      <c r="L208" s="147">
        <f t="shared" si="75"/>
        <v>0</v>
      </c>
      <c r="M208" s="147">
        <f t="shared" si="63"/>
        <v>0</v>
      </c>
      <c r="N208" s="147">
        <f t="shared" si="64"/>
        <v>1</v>
      </c>
      <c r="O208" s="147">
        <f t="shared" si="65"/>
        <v>0</v>
      </c>
      <c r="P208" s="147">
        <f t="shared" si="66"/>
        <v>0</v>
      </c>
      <c r="Q208" s="147">
        <f t="shared" si="67"/>
        <v>0</v>
      </c>
      <c r="R208" s="147">
        <f t="shared" si="68"/>
        <v>0</v>
      </c>
      <c r="S208" s="147">
        <f t="shared" si="69"/>
        <v>0</v>
      </c>
      <c r="T208" s="147">
        <f t="shared" si="70"/>
        <v>0</v>
      </c>
      <c r="U208" s="147">
        <f t="shared" si="71"/>
        <v>0</v>
      </c>
      <c r="V208" s="147">
        <f t="shared" si="72"/>
        <v>0</v>
      </c>
      <c r="W208" s="129">
        <v>1</v>
      </c>
      <c r="X208" s="144" t="str">
        <f t="shared" si="73"/>
        <v>WEEKEND</v>
      </c>
      <c r="Y208" s="148">
        <v>4.2166666666666668</v>
      </c>
      <c r="Z208" s="144" t="s">
        <v>55</v>
      </c>
      <c r="AA208" s="149">
        <v>481</v>
      </c>
      <c r="AB208" s="149">
        <v>78.937404000000001</v>
      </c>
      <c r="AC208" s="149">
        <v>114.07114624505928</v>
      </c>
      <c r="AD208" s="156">
        <v>18.720332964426877</v>
      </c>
      <c r="AE208" s="149" t="str">
        <f>IFERROR(_xlfn.XLOOKUP(DATA_MASTER[[#This Row],[DATE]],RODEO[DATE],RODEO[ARTIST]),"")</f>
        <v>Los Tigres Del Norte</v>
      </c>
      <c r="AF208" s="172">
        <f>IF(DATA_MASTER[[#This Row],[RODEO_ARTIST]]="",0,1)</f>
        <v>1</v>
      </c>
      <c r="AG208" t="str">
        <f>IFERROR(RIGHT(_xlfn.XLOOKUP(DATA_MASTER[[#This Row],[DATE]],ASTROS[DATE],ASTROS[OPPONENT]),LEN(_xlfn.XLOOKUP(DATA_MASTER[[#This Row],[DATE]],ASTROS[DATE],ASTROS[OPPONENT]))-3),"NO GAME")</f>
        <v>NO GAME</v>
      </c>
      <c r="AH208">
        <f>IF(DATA_MASTER[[#This Row],[ASTROS_GAME]]="NO GAME",0,1)</f>
        <v>0</v>
      </c>
      <c r="AI208">
        <f>_xlfn.XLOOKUP(DATA_MASTER[[#This Row],[DATE]],WEATHER[DATE],WEATHER[tempmax])</f>
        <v>66.3</v>
      </c>
      <c r="AJ208">
        <f>_xlfn.XLOOKUP(DATA_MASTER[[#This Row],[DATE]],WEATHER[DATE],WEATHER[precip])</f>
        <v>0</v>
      </c>
    </row>
    <row r="209" spans="1:36" x14ac:dyDescent="0.35">
      <c r="A209" s="155">
        <v>45361</v>
      </c>
      <c r="B209" s="144" t="s">
        <v>46</v>
      </c>
      <c r="C209" s="144" t="s">
        <v>50</v>
      </c>
      <c r="D209" s="144" t="s">
        <v>62</v>
      </c>
      <c r="E209" s="145">
        <f t="shared" si="74"/>
        <v>1</v>
      </c>
      <c r="F209" s="146">
        <f t="shared" si="57"/>
        <v>1</v>
      </c>
      <c r="G209" s="146">
        <f t="shared" si="58"/>
        <v>0</v>
      </c>
      <c r="H209" s="146">
        <f t="shared" si="59"/>
        <v>0</v>
      </c>
      <c r="I209" s="146">
        <f t="shared" si="60"/>
        <v>0</v>
      </c>
      <c r="J209" s="146">
        <f t="shared" si="61"/>
        <v>0</v>
      </c>
      <c r="K209" s="146">
        <f t="shared" si="62"/>
        <v>0</v>
      </c>
      <c r="L209" s="147">
        <f t="shared" si="75"/>
        <v>0</v>
      </c>
      <c r="M209" s="147">
        <f t="shared" si="63"/>
        <v>0</v>
      </c>
      <c r="N209" s="147">
        <f t="shared" si="64"/>
        <v>1</v>
      </c>
      <c r="O209" s="147">
        <f t="shared" si="65"/>
        <v>0</v>
      </c>
      <c r="P209" s="147">
        <f t="shared" si="66"/>
        <v>0</v>
      </c>
      <c r="Q209" s="147">
        <f t="shared" si="67"/>
        <v>0</v>
      </c>
      <c r="R209" s="147">
        <f t="shared" si="68"/>
        <v>0</v>
      </c>
      <c r="S209" s="147">
        <f t="shared" si="69"/>
        <v>0</v>
      </c>
      <c r="T209" s="147">
        <f t="shared" si="70"/>
        <v>0</v>
      </c>
      <c r="U209" s="147">
        <f t="shared" si="71"/>
        <v>0</v>
      </c>
      <c r="V209" s="147">
        <f t="shared" si="72"/>
        <v>0</v>
      </c>
      <c r="W209" s="129">
        <v>1</v>
      </c>
      <c r="X209" s="144" t="str">
        <f t="shared" si="73"/>
        <v>WEEKEND</v>
      </c>
      <c r="Y209" s="148">
        <v>4.5999999999999996</v>
      </c>
      <c r="Z209" s="144" t="s">
        <v>55</v>
      </c>
      <c r="AA209" s="149">
        <v>1184</v>
      </c>
      <c r="AB209" s="149">
        <v>172.90884799999998</v>
      </c>
      <c r="AC209" s="149">
        <v>257.39130434782612</v>
      </c>
      <c r="AD209" s="156">
        <v>37.588879999999996</v>
      </c>
      <c r="AE209" s="149" t="str">
        <f>IFERROR(_xlfn.XLOOKUP(DATA_MASTER[[#This Row],[DATE]],RODEO[DATE],RODEO[ARTIST]),"")</f>
        <v>Los Tigres Del Norte</v>
      </c>
      <c r="AF209" s="172">
        <f>IF(DATA_MASTER[[#This Row],[RODEO_ARTIST]]="",0,1)</f>
        <v>1</v>
      </c>
      <c r="AG209" t="str">
        <f>IFERROR(RIGHT(_xlfn.XLOOKUP(DATA_MASTER[[#This Row],[DATE]],ASTROS[DATE],ASTROS[OPPONENT]),LEN(_xlfn.XLOOKUP(DATA_MASTER[[#This Row],[DATE]],ASTROS[DATE],ASTROS[OPPONENT]))-3),"NO GAME")</f>
        <v>NO GAME</v>
      </c>
      <c r="AH209">
        <f>IF(DATA_MASTER[[#This Row],[ASTROS_GAME]]="NO GAME",0,1)</f>
        <v>0</v>
      </c>
      <c r="AI209">
        <f>_xlfn.XLOOKUP(DATA_MASTER[[#This Row],[DATE]],WEATHER[DATE],WEATHER[tempmax])</f>
        <v>66.3</v>
      </c>
      <c r="AJ209">
        <f>_xlfn.XLOOKUP(DATA_MASTER[[#This Row],[DATE]],WEATHER[DATE],WEATHER[precip])</f>
        <v>0</v>
      </c>
    </row>
    <row r="210" spans="1:36" x14ac:dyDescent="0.35">
      <c r="A210" s="155">
        <v>45362</v>
      </c>
      <c r="B210" s="144" t="s">
        <v>46</v>
      </c>
      <c r="C210" s="144" t="s">
        <v>51</v>
      </c>
      <c r="D210" s="144" t="s">
        <v>62</v>
      </c>
      <c r="E210" s="145">
        <f t="shared" si="74"/>
        <v>1</v>
      </c>
      <c r="F210" s="146">
        <f t="shared" si="57"/>
        <v>0</v>
      </c>
      <c r="G210" s="146">
        <f t="shared" si="58"/>
        <v>1</v>
      </c>
      <c r="H210" s="146">
        <f t="shared" si="59"/>
        <v>0</v>
      </c>
      <c r="I210" s="146">
        <f t="shared" si="60"/>
        <v>0</v>
      </c>
      <c r="J210" s="146">
        <f t="shared" si="61"/>
        <v>0</v>
      </c>
      <c r="K210" s="146">
        <f t="shared" si="62"/>
        <v>0</v>
      </c>
      <c r="L210" s="147">
        <f t="shared" si="75"/>
        <v>0</v>
      </c>
      <c r="M210" s="147">
        <f t="shared" si="63"/>
        <v>0</v>
      </c>
      <c r="N210" s="147">
        <f t="shared" si="64"/>
        <v>1</v>
      </c>
      <c r="O210" s="147">
        <f t="shared" si="65"/>
        <v>0</v>
      </c>
      <c r="P210" s="147">
        <f t="shared" si="66"/>
        <v>0</v>
      </c>
      <c r="Q210" s="147">
        <f t="shared" si="67"/>
        <v>0</v>
      </c>
      <c r="R210" s="147">
        <f t="shared" si="68"/>
        <v>0</v>
      </c>
      <c r="S210" s="147">
        <f t="shared" si="69"/>
        <v>0</v>
      </c>
      <c r="T210" s="147">
        <f t="shared" si="70"/>
        <v>0</v>
      </c>
      <c r="U210" s="147">
        <f t="shared" si="71"/>
        <v>0</v>
      </c>
      <c r="V210" s="147">
        <f t="shared" si="72"/>
        <v>0</v>
      </c>
      <c r="W210" s="129">
        <v>0</v>
      </c>
      <c r="X210" s="144" t="str">
        <f t="shared" si="73"/>
        <v>WEEKDAY</v>
      </c>
      <c r="Y210" s="148">
        <v>6.3833333333333337</v>
      </c>
      <c r="Z210" s="144" t="s">
        <v>45</v>
      </c>
      <c r="AA210" s="149">
        <v>2178.5</v>
      </c>
      <c r="AB210" s="149">
        <v>347.55293999999998</v>
      </c>
      <c r="AC210" s="149">
        <v>341.2793733681462</v>
      </c>
      <c r="AD210" s="156">
        <v>54.44693577023498</v>
      </c>
      <c r="AE210" s="149" t="str">
        <f>IFERROR(_xlfn.XLOOKUP(DATA_MASTER[[#This Row],[DATE]],RODEO[DATE],RODEO[ARTIST]),"")</f>
        <v>Whiskey Meyers</v>
      </c>
      <c r="AF210" s="172">
        <f>IF(DATA_MASTER[[#This Row],[RODEO_ARTIST]]="",0,1)</f>
        <v>1</v>
      </c>
      <c r="AG210" t="str">
        <f>IFERROR(RIGHT(_xlfn.XLOOKUP(DATA_MASTER[[#This Row],[DATE]],ASTROS[DATE],ASTROS[OPPONENT]),LEN(_xlfn.XLOOKUP(DATA_MASTER[[#This Row],[DATE]],ASTROS[DATE],ASTROS[OPPONENT]))-3),"NO GAME")</f>
        <v>NO GAME</v>
      </c>
      <c r="AH210">
        <f>IF(DATA_MASTER[[#This Row],[ASTROS_GAME]]="NO GAME",0,1)</f>
        <v>0</v>
      </c>
      <c r="AI210">
        <f>_xlfn.XLOOKUP(DATA_MASTER[[#This Row],[DATE]],WEATHER[DATE],WEATHER[tempmax])</f>
        <v>69.8</v>
      </c>
      <c r="AJ210">
        <f>_xlfn.XLOOKUP(DATA_MASTER[[#This Row],[DATE]],WEATHER[DATE],WEATHER[precip])</f>
        <v>0</v>
      </c>
    </row>
    <row r="211" spans="1:36" x14ac:dyDescent="0.35">
      <c r="A211" s="155">
        <v>45364</v>
      </c>
      <c r="B211" s="144" t="s">
        <v>46</v>
      </c>
      <c r="C211" s="144" t="s">
        <v>44</v>
      </c>
      <c r="D211" s="144" t="s">
        <v>62</v>
      </c>
      <c r="E211" s="145">
        <f t="shared" si="74"/>
        <v>1</v>
      </c>
      <c r="F211" s="146">
        <f t="shared" si="57"/>
        <v>0</v>
      </c>
      <c r="G211" s="146">
        <f t="shared" si="58"/>
        <v>0</v>
      </c>
      <c r="H211" s="146">
        <f t="shared" si="59"/>
        <v>1</v>
      </c>
      <c r="I211" s="146">
        <f t="shared" si="60"/>
        <v>0</v>
      </c>
      <c r="J211" s="146">
        <f t="shared" si="61"/>
        <v>0</v>
      </c>
      <c r="K211" s="146">
        <f t="shared" si="62"/>
        <v>0</v>
      </c>
      <c r="L211" s="147">
        <f t="shared" si="75"/>
        <v>0</v>
      </c>
      <c r="M211" s="147">
        <f t="shared" si="63"/>
        <v>0</v>
      </c>
      <c r="N211" s="147">
        <f t="shared" si="64"/>
        <v>1</v>
      </c>
      <c r="O211" s="147">
        <f t="shared" si="65"/>
        <v>0</v>
      </c>
      <c r="P211" s="147">
        <f t="shared" si="66"/>
        <v>0</v>
      </c>
      <c r="Q211" s="147">
        <f t="shared" si="67"/>
        <v>0</v>
      </c>
      <c r="R211" s="147">
        <f t="shared" si="68"/>
        <v>0</v>
      </c>
      <c r="S211" s="147">
        <f t="shared" si="69"/>
        <v>0</v>
      </c>
      <c r="T211" s="147">
        <f t="shared" si="70"/>
        <v>0</v>
      </c>
      <c r="U211" s="147">
        <f t="shared" si="71"/>
        <v>0</v>
      </c>
      <c r="V211" s="147">
        <f t="shared" si="72"/>
        <v>0</v>
      </c>
      <c r="W211" s="129">
        <v>0</v>
      </c>
      <c r="X211" s="144" t="str">
        <f t="shared" si="73"/>
        <v>WEEKDAY</v>
      </c>
      <c r="Y211" s="148">
        <v>6.6333333333333337</v>
      </c>
      <c r="Z211" s="144" t="s">
        <v>45</v>
      </c>
      <c r="AA211" s="149">
        <v>1915</v>
      </c>
      <c r="AB211" s="149">
        <v>326.54312000000004</v>
      </c>
      <c r="AC211" s="149">
        <v>288.6934673366834</v>
      </c>
      <c r="AD211" s="156">
        <v>49.22760603015076</v>
      </c>
      <c r="AE211" s="149" t="str">
        <f>IFERROR(_xlfn.XLOOKUP(DATA_MASTER[[#This Row],[DATE]],RODEO[DATE],RODEO[ARTIST]),"")</f>
        <v>Nickleback</v>
      </c>
      <c r="AF211" s="172">
        <f>IF(DATA_MASTER[[#This Row],[RODEO_ARTIST]]="",0,1)</f>
        <v>1</v>
      </c>
      <c r="AG211" t="str">
        <f>IFERROR(RIGHT(_xlfn.XLOOKUP(DATA_MASTER[[#This Row],[DATE]],ASTROS[DATE],ASTROS[OPPONENT]),LEN(_xlfn.XLOOKUP(DATA_MASTER[[#This Row],[DATE]],ASTROS[DATE],ASTROS[OPPONENT]))-3),"NO GAME")</f>
        <v>NO GAME</v>
      </c>
      <c r="AH211">
        <f>IF(DATA_MASTER[[#This Row],[ASTROS_GAME]]="NO GAME",0,1)</f>
        <v>0</v>
      </c>
      <c r="AI211">
        <f>_xlfn.XLOOKUP(DATA_MASTER[[#This Row],[DATE]],WEATHER[DATE],WEATHER[tempmax])</f>
        <v>77.099999999999994</v>
      </c>
      <c r="AJ211">
        <f>_xlfn.XLOOKUP(DATA_MASTER[[#This Row],[DATE]],WEATHER[DATE],WEATHER[precip])</f>
        <v>1.0999999999999999E-2</v>
      </c>
    </row>
    <row r="212" spans="1:36" x14ac:dyDescent="0.35">
      <c r="A212" s="155">
        <v>45366</v>
      </c>
      <c r="B212" s="144" t="s">
        <v>46</v>
      </c>
      <c r="C212" s="144" t="s">
        <v>48</v>
      </c>
      <c r="D212" s="144" t="s">
        <v>62</v>
      </c>
      <c r="E212" s="145">
        <f t="shared" si="74"/>
        <v>1</v>
      </c>
      <c r="F212" s="146">
        <f t="shared" si="57"/>
        <v>0</v>
      </c>
      <c r="G212" s="146">
        <f t="shared" si="58"/>
        <v>0</v>
      </c>
      <c r="H212" s="146">
        <f t="shared" si="59"/>
        <v>0</v>
      </c>
      <c r="I212" s="146">
        <f t="shared" si="60"/>
        <v>0</v>
      </c>
      <c r="J212" s="146">
        <f t="shared" si="61"/>
        <v>1</v>
      </c>
      <c r="K212" s="146">
        <f t="shared" si="62"/>
        <v>0</v>
      </c>
      <c r="L212" s="147">
        <f t="shared" si="75"/>
        <v>0</v>
      </c>
      <c r="M212" s="147">
        <f t="shared" si="63"/>
        <v>0</v>
      </c>
      <c r="N212" s="147">
        <f t="shared" si="64"/>
        <v>1</v>
      </c>
      <c r="O212" s="147">
        <f t="shared" si="65"/>
        <v>0</v>
      </c>
      <c r="P212" s="147">
        <f t="shared" si="66"/>
        <v>0</v>
      </c>
      <c r="Q212" s="147">
        <f t="shared" si="67"/>
        <v>0</v>
      </c>
      <c r="R212" s="147">
        <f t="shared" si="68"/>
        <v>0</v>
      </c>
      <c r="S212" s="147">
        <f t="shared" si="69"/>
        <v>0</v>
      </c>
      <c r="T212" s="147">
        <f t="shared" si="70"/>
        <v>0</v>
      </c>
      <c r="U212" s="147">
        <f t="shared" si="71"/>
        <v>0</v>
      </c>
      <c r="V212" s="147">
        <f t="shared" si="72"/>
        <v>0</v>
      </c>
      <c r="W212" s="129">
        <v>1</v>
      </c>
      <c r="X212" s="144" t="str">
        <f t="shared" si="73"/>
        <v>WEEKEND</v>
      </c>
      <c r="Y212" s="148">
        <v>8.2166666666666668</v>
      </c>
      <c r="Z212" s="144" t="s">
        <v>45</v>
      </c>
      <c r="AA212" s="149">
        <v>1924.5</v>
      </c>
      <c r="AB212" s="149">
        <v>298.03705200000002</v>
      </c>
      <c r="AC212" s="149">
        <v>234.21906693711966</v>
      </c>
      <c r="AD212" s="156">
        <v>36.27225784989858</v>
      </c>
      <c r="AE212" s="149" t="str">
        <f>IFERROR(_xlfn.XLOOKUP(DATA_MASTER[[#This Row],[DATE]],RODEO[DATE],RODEO[ARTIST]),"")</f>
        <v>Jonas Brothers</v>
      </c>
      <c r="AF212" s="172">
        <f>IF(DATA_MASTER[[#This Row],[RODEO_ARTIST]]="",0,1)</f>
        <v>1</v>
      </c>
      <c r="AG212" t="str">
        <f>IFERROR(RIGHT(_xlfn.XLOOKUP(DATA_MASTER[[#This Row],[DATE]],ASTROS[DATE],ASTROS[OPPONENT]),LEN(_xlfn.XLOOKUP(DATA_MASTER[[#This Row],[DATE]],ASTROS[DATE],ASTROS[OPPONENT]))-3),"NO GAME")</f>
        <v>NO GAME</v>
      </c>
      <c r="AH212">
        <f>IF(DATA_MASTER[[#This Row],[ASTROS_GAME]]="NO GAME",0,1)</f>
        <v>0</v>
      </c>
      <c r="AI212">
        <f>_xlfn.XLOOKUP(DATA_MASTER[[#This Row],[DATE]],WEATHER[DATE],WEATHER[tempmax])</f>
        <v>82.4</v>
      </c>
      <c r="AJ212">
        <f>_xlfn.XLOOKUP(DATA_MASTER[[#This Row],[DATE]],WEATHER[DATE],WEATHER[precip])</f>
        <v>1.532</v>
      </c>
    </row>
    <row r="213" spans="1:36" x14ac:dyDescent="0.35">
      <c r="A213" s="155">
        <v>45367</v>
      </c>
      <c r="B213" s="144" t="s">
        <v>42</v>
      </c>
      <c r="C213" s="144" t="s">
        <v>49</v>
      </c>
      <c r="D213" s="144" t="s">
        <v>62</v>
      </c>
      <c r="E213" s="145">
        <f t="shared" si="74"/>
        <v>0</v>
      </c>
      <c r="F213" s="146">
        <f t="shared" si="57"/>
        <v>0</v>
      </c>
      <c r="G213" s="146">
        <f t="shared" si="58"/>
        <v>0</v>
      </c>
      <c r="H213" s="146">
        <f t="shared" si="59"/>
        <v>0</v>
      </c>
      <c r="I213" s="146">
        <f t="shared" si="60"/>
        <v>0</v>
      </c>
      <c r="J213" s="146">
        <f t="shared" si="61"/>
        <v>0</v>
      </c>
      <c r="K213" s="146">
        <f t="shared" si="62"/>
        <v>1</v>
      </c>
      <c r="L213" s="147">
        <f t="shared" si="75"/>
        <v>0</v>
      </c>
      <c r="M213" s="147">
        <f t="shared" si="63"/>
        <v>0</v>
      </c>
      <c r="N213" s="147">
        <f t="shared" si="64"/>
        <v>1</v>
      </c>
      <c r="O213" s="147">
        <f t="shared" si="65"/>
        <v>0</v>
      </c>
      <c r="P213" s="147">
        <f t="shared" si="66"/>
        <v>0</v>
      </c>
      <c r="Q213" s="147">
        <f t="shared" si="67"/>
        <v>0</v>
      </c>
      <c r="R213" s="147">
        <f t="shared" si="68"/>
        <v>0</v>
      </c>
      <c r="S213" s="147">
        <f t="shared" si="69"/>
        <v>0</v>
      </c>
      <c r="T213" s="147">
        <f t="shared" si="70"/>
        <v>0</v>
      </c>
      <c r="U213" s="147">
        <f t="shared" si="71"/>
        <v>0</v>
      </c>
      <c r="V213" s="147">
        <f t="shared" si="72"/>
        <v>0</v>
      </c>
      <c r="W213" s="129">
        <v>1</v>
      </c>
      <c r="X213" s="144" t="str">
        <f t="shared" si="73"/>
        <v>WEEKEND</v>
      </c>
      <c r="Y213" s="148">
        <v>4.1500000000000004</v>
      </c>
      <c r="Z213" s="144" t="s">
        <v>55</v>
      </c>
      <c r="AA213" s="149">
        <v>567</v>
      </c>
      <c r="AB213" s="149">
        <v>95.098060000000004</v>
      </c>
      <c r="AC213" s="149">
        <v>136.62650602409639</v>
      </c>
      <c r="AD213" s="156">
        <v>22.91519518072289</v>
      </c>
      <c r="AE213" s="149" t="str">
        <f>IFERROR(_xlfn.XLOOKUP(DATA_MASTER[[#This Row],[DATE]],RODEO[DATE],RODEO[ARTIST]),"")</f>
        <v>Brad Paisley</v>
      </c>
      <c r="AF213" s="172">
        <f>IF(DATA_MASTER[[#This Row],[RODEO_ARTIST]]="",0,1)</f>
        <v>1</v>
      </c>
      <c r="AG213" t="str">
        <f>IFERROR(RIGHT(_xlfn.XLOOKUP(DATA_MASTER[[#This Row],[DATE]],ASTROS[DATE],ASTROS[OPPONENT]),LEN(_xlfn.XLOOKUP(DATA_MASTER[[#This Row],[DATE]],ASTROS[DATE],ASTROS[OPPONENT]))-3),"NO GAME")</f>
        <v>NO GAME</v>
      </c>
      <c r="AH213">
        <f>IF(DATA_MASTER[[#This Row],[ASTROS_GAME]]="NO GAME",0,1)</f>
        <v>0</v>
      </c>
      <c r="AI213">
        <f>_xlfn.XLOOKUP(DATA_MASTER[[#This Row],[DATE]],WEATHER[DATE],WEATHER[tempmax])</f>
        <v>69.900000000000006</v>
      </c>
      <c r="AJ213">
        <f>_xlfn.XLOOKUP(DATA_MASTER[[#This Row],[DATE]],WEATHER[DATE],WEATHER[precip])</f>
        <v>4.2999999999999997E-2</v>
      </c>
    </row>
    <row r="214" spans="1:36" x14ac:dyDescent="0.35">
      <c r="A214" s="155">
        <v>45367</v>
      </c>
      <c r="B214" s="144" t="s">
        <v>46</v>
      </c>
      <c r="C214" s="144" t="s">
        <v>49</v>
      </c>
      <c r="D214" s="144" t="s">
        <v>62</v>
      </c>
      <c r="E214" s="145">
        <f t="shared" si="74"/>
        <v>1</v>
      </c>
      <c r="F214" s="146">
        <f t="shared" si="57"/>
        <v>0</v>
      </c>
      <c r="G214" s="146">
        <f t="shared" si="58"/>
        <v>0</v>
      </c>
      <c r="H214" s="146">
        <f t="shared" si="59"/>
        <v>0</v>
      </c>
      <c r="I214" s="146">
        <f t="shared" si="60"/>
        <v>0</v>
      </c>
      <c r="J214" s="146">
        <f t="shared" si="61"/>
        <v>0</v>
      </c>
      <c r="K214" s="146">
        <f t="shared" si="62"/>
        <v>1</v>
      </c>
      <c r="L214" s="147">
        <f t="shared" si="75"/>
        <v>0</v>
      </c>
      <c r="M214" s="147">
        <f t="shared" si="63"/>
        <v>0</v>
      </c>
      <c r="N214" s="147">
        <f t="shared" si="64"/>
        <v>1</v>
      </c>
      <c r="O214" s="147">
        <f t="shared" si="65"/>
        <v>0</v>
      </c>
      <c r="P214" s="147">
        <f t="shared" si="66"/>
        <v>0</v>
      </c>
      <c r="Q214" s="147">
        <f t="shared" si="67"/>
        <v>0</v>
      </c>
      <c r="R214" s="147">
        <f t="shared" si="68"/>
        <v>0</v>
      </c>
      <c r="S214" s="147">
        <f t="shared" si="69"/>
        <v>0</v>
      </c>
      <c r="T214" s="147">
        <f t="shared" si="70"/>
        <v>0</v>
      </c>
      <c r="U214" s="147">
        <f t="shared" si="71"/>
        <v>0</v>
      </c>
      <c r="V214" s="147">
        <f t="shared" si="72"/>
        <v>0</v>
      </c>
      <c r="W214" s="129">
        <v>1</v>
      </c>
      <c r="X214" s="144" t="str">
        <f t="shared" si="73"/>
        <v>WEEKEND</v>
      </c>
      <c r="Y214" s="148">
        <v>4.2</v>
      </c>
      <c r="Z214" s="144" t="s">
        <v>55</v>
      </c>
      <c r="AA214" s="149">
        <v>1429</v>
      </c>
      <c r="AB214" s="149">
        <v>219.94739200000001</v>
      </c>
      <c r="AC214" s="149">
        <v>340.23809523809524</v>
      </c>
      <c r="AD214" s="156">
        <v>52.368426666666664</v>
      </c>
      <c r="AE214" s="149" t="str">
        <f>IFERROR(_xlfn.XLOOKUP(DATA_MASTER[[#This Row],[DATE]],RODEO[DATE],RODEO[ARTIST]),"")</f>
        <v>Brad Paisley</v>
      </c>
      <c r="AF214" s="172">
        <f>IF(DATA_MASTER[[#This Row],[RODEO_ARTIST]]="",0,1)</f>
        <v>1</v>
      </c>
      <c r="AG214" t="str">
        <f>IFERROR(RIGHT(_xlfn.XLOOKUP(DATA_MASTER[[#This Row],[DATE]],ASTROS[DATE],ASTROS[OPPONENT]),LEN(_xlfn.XLOOKUP(DATA_MASTER[[#This Row],[DATE]],ASTROS[DATE],ASTROS[OPPONENT]))-3),"NO GAME")</f>
        <v>NO GAME</v>
      </c>
      <c r="AH214">
        <f>IF(DATA_MASTER[[#This Row],[ASTROS_GAME]]="NO GAME",0,1)</f>
        <v>0</v>
      </c>
      <c r="AI214">
        <f>_xlfn.XLOOKUP(DATA_MASTER[[#This Row],[DATE]],WEATHER[DATE],WEATHER[tempmax])</f>
        <v>69.900000000000006</v>
      </c>
      <c r="AJ214">
        <f>_xlfn.XLOOKUP(DATA_MASTER[[#This Row],[DATE]],WEATHER[DATE],WEATHER[precip])</f>
        <v>4.2999999999999997E-2</v>
      </c>
    </row>
    <row r="215" spans="1:36" x14ac:dyDescent="0.35">
      <c r="A215" s="155">
        <v>45368</v>
      </c>
      <c r="B215" s="144" t="s">
        <v>42</v>
      </c>
      <c r="C215" s="144" t="s">
        <v>50</v>
      </c>
      <c r="D215" s="144" t="s">
        <v>62</v>
      </c>
      <c r="E215" s="145">
        <f t="shared" si="74"/>
        <v>0</v>
      </c>
      <c r="F215" s="146">
        <f t="shared" si="57"/>
        <v>1</v>
      </c>
      <c r="G215" s="146">
        <f t="shared" si="58"/>
        <v>0</v>
      </c>
      <c r="H215" s="146">
        <f t="shared" si="59"/>
        <v>0</v>
      </c>
      <c r="I215" s="146">
        <f t="shared" si="60"/>
        <v>0</v>
      </c>
      <c r="J215" s="146">
        <f t="shared" si="61"/>
        <v>0</v>
      </c>
      <c r="K215" s="146">
        <f t="shared" si="62"/>
        <v>0</v>
      </c>
      <c r="L215" s="147">
        <f t="shared" si="75"/>
        <v>0</v>
      </c>
      <c r="M215" s="147">
        <f t="shared" si="63"/>
        <v>0</v>
      </c>
      <c r="N215" s="147">
        <f t="shared" si="64"/>
        <v>1</v>
      </c>
      <c r="O215" s="147">
        <f t="shared" si="65"/>
        <v>0</v>
      </c>
      <c r="P215" s="147">
        <f t="shared" si="66"/>
        <v>0</v>
      </c>
      <c r="Q215" s="147">
        <f t="shared" si="67"/>
        <v>0</v>
      </c>
      <c r="R215" s="147">
        <f t="shared" si="68"/>
        <v>0</v>
      </c>
      <c r="S215" s="147">
        <f t="shared" si="69"/>
        <v>0</v>
      </c>
      <c r="T215" s="147">
        <f t="shared" si="70"/>
        <v>0</v>
      </c>
      <c r="U215" s="147">
        <f t="shared" si="71"/>
        <v>0</v>
      </c>
      <c r="V215" s="147">
        <f t="shared" si="72"/>
        <v>0</v>
      </c>
      <c r="W215" s="129">
        <v>1</v>
      </c>
      <c r="X215" s="144" t="str">
        <f t="shared" si="73"/>
        <v>WEEKEND</v>
      </c>
      <c r="Y215" s="148">
        <v>4.7</v>
      </c>
      <c r="Z215" s="144" t="s">
        <v>45</v>
      </c>
      <c r="AA215" s="149">
        <v>357.5</v>
      </c>
      <c r="AB215" s="149">
        <v>66.363367999999994</v>
      </c>
      <c r="AC215" s="149">
        <v>76.063829787234042</v>
      </c>
      <c r="AD215" s="156">
        <v>14.119865531914892</v>
      </c>
      <c r="AE215" s="149" t="str">
        <f>IFERROR(_xlfn.XLOOKUP(DATA_MASTER[[#This Row],[DATE]],RODEO[DATE],RODEO[ARTIST]),"")</f>
        <v>Eric Church</v>
      </c>
      <c r="AF215" s="172">
        <f>IF(DATA_MASTER[[#This Row],[RODEO_ARTIST]]="",0,1)</f>
        <v>1</v>
      </c>
      <c r="AG215" t="str">
        <f>IFERROR(RIGHT(_xlfn.XLOOKUP(DATA_MASTER[[#This Row],[DATE]],ASTROS[DATE],ASTROS[OPPONENT]),LEN(_xlfn.XLOOKUP(DATA_MASTER[[#This Row],[DATE]],ASTROS[DATE],ASTROS[OPPONENT]))-3),"NO GAME")</f>
        <v>NO GAME</v>
      </c>
      <c r="AH215">
        <f>IF(DATA_MASTER[[#This Row],[ASTROS_GAME]]="NO GAME",0,1)</f>
        <v>0</v>
      </c>
      <c r="AI215">
        <f>_xlfn.XLOOKUP(DATA_MASTER[[#This Row],[DATE]],WEATHER[DATE],WEATHER[tempmax])</f>
        <v>75.099999999999994</v>
      </c>
      <c r="AJ215">
        <f>_xlfn.XLOOKUP(DATA_MASTER[[#This Row],[DATE]],WEATHER[DATE],WEATHER[precip])</f>
        <v>0.55600000000000005</v>
      </c>
    </row>
    <row r="216" spans="1:36" x14ac:dyDescent="0.35">
      <c r="A216" s="155">
        <v>45369</v>
      </c>
      <c r="B216" s="144" t="s">
        <v>42</v>
      </c>
      <c r="C216" s="144" t="s">
        <v>51</v>
      </c>
      <c r="D216" s="144" t="s">
        <v>62</v>
      </c>
      <c r="E216" s="145">
        <f t="shared" si="74"/>
        <v>0</v>
      </c>
      <c r="F216" s="146">
        <f t="shared" si="57"/>
        <v>0</v>
      </c>
      <c r="G216" s="146">
        <f t="shared" si="58"/>
        <v>1</v>
      </c>
      <c r="H216" s="146">
        <f t="shared" si="59"/>
        <v>0</v>
      </c>
      <c r="I216" s="146">
        <f t="shared" si="60"/>
        <v>0</v>
      </c>
      <c r="J216" s="146">
        <f t="shared" si="61"/>
        <v>0</v>
      </c>
      <c r="K216" s="146">
        <f t="shared" si="62"/>
        <v>0</v>
      </c>
      <c r="L216" s="147">
        <f t="shared" si="75"/>
        <v>0</v>
      </c>
      <c r="M216" s="147">
        <f t="shared" si="63"/>
        <v>0</v>
      </c>
      <c r="N216" s="147">
        <f t="shared" si="64"/>
        <v>1</v>
      </c>
      <c r="O216" s="147">
        <f t="shared" si="65"/>
        <v>0</v>
      </c>
      <c r="P216" s="147">
        <f t="shared" si="66"/>
        <v>0</v>
      </c>
      <c r="Q216" s="147">
        <f t="shared" si="67"/>
        <v>0</v>
      </c>
      <c r="R216" s="147">
        <f t="shared" si="68"/>
        <v>0</v>
      </c>
      <c r="S216" s="147">
        <f t="shared" si="69"/>
        <v>0</v>
      </c>
      <c r="T216" s="147">
        <f t="shared" si="70"/>
        <v>0</v>
      </c>
      <c r="U216" s="147">
        <f t="shared" si="71"/>
        <v>0</v>
      </c>
      <c r="V216" s="147">
        <f t="shared" si="72"/>
        <v>0</v>
      </c>
      <c r="W216" s="129">
        <v>0</v>
      </c>
      <c r="X216" s="144" t="str">
        <f t="shared" si="73"/>
        <v>WEEKDAY</v>
      </c>
      <c r="Y216" s="148">
        <v>3.45</v>
      </c>
      <c r="Z216" s="144" t="s">
        <v>55</v>
      </c>
      <c r="AA216" s="149">
        <v>578.58000000000004</v>
      </c>
      <c r="AB216" s="149">
        <v>90.931659999999994</v>
      </c>
      <c r="AC216" s="149">
        <v>167.70434782608697</v>
      </c>
      <c r="AD216" s="156">
        <v>26.357002898550721</v>
      </c>
      <c r="AE216" s="149" t="str">
        <f>IFERROR(_xlfn.XLOOKUP(DATA_MASTER[[#This Row],[DATE]],RODEO[DATE],RODEO[ARTIST]),"")</f>
        <v/>
      </c>
      <c r="AF216" s="172">
        <f>IF(DATA_MASTER[[#This Row],[RODEO_ARTIST]]="",0,1)</f>
        <v>0</v>
      </c>
      <c r="AG216" t="str">
        <f>IFERROR(RIGHT(_xlfn.XLOOKUP(DATA_MASTER[[#This Row],[DATE]],ASTROS[DATE],ASTROS[OPPONENT]),LEN(_xlfn.XLOOKUP(DATA_MASTER[[#This Row],[DATE]],ASTROS[DATE],ASTROS[OPPONENT]))-3),"NO GAME")</f>
        <v>NO GAME</v>
      </c>
      <c r="AH216">
        <f>IF(DATA_MASTER[[#This Row],[ASTROS_GAME]]="NO GAME",0,1)</f>
        <v>0</v>
      </c>
      <c r="AI216">
        <f>_xlfn.XLOOKUP(DATA_MASTER[[#This Row],[DATE]],WEATHER[DATE],WEATHER[tempmax])</f>
        <v>68.099999999999994</v>
      </c>
      <c r="AJ216">
        <f>_xlfn.XLOOKUP(DATA_MASTER[[#This Row],[DATE]],WEATHER[DATE],WEATHER[precip])</f>
        <v>0</v>
      </c>
    </row>
    <row r="217" spans="1:36" x14ac:dyDescent="0.35">
      <c r="A217" s="155">
        <v>45369</v>
      </c>
      <c r="B217" s="144" t="s">
        <v>46</v>
      </c>
      <c r="C217" s="144" t="s">
        <v>51</v>
      </c>
      <c r="D217" s="144" t="s">
        <v>62</v>
      </c>
      <c r="E217" s="145">
        <f t="shared" si="74"/>
        <v>1</v>
      </c>
      <c r="F217" s="146">
        <f t="shared" si="57"/>
        <v>0</v>
      </c>
      <c r="G217" s="146">
        <f t="shared" si="58"/>
        <v>1</v>
      </c>
      <c r="H217" s="146">
        <f t="shared" si="59"/>
        <v>0</v>
      </c>
      <c r="I217" s="146">
        <f t="shared" si="60"/>
        <v>0</v>
      </c>
      <c r="J217" s="146">
        <f t="shared" si="61"/>
        <v>0</v>
      </c>
      <c r="K217" s="146">
        <f t="shared" si="62"/>
        <v>0</v>
      </c>
      <c r="L217" s="147">
        <f t="shared" si="75"/>
        <v>0</v>
      </c>
      <c r="M217" s="147">
        <f t="shared" si="63"/>
        <v>0</v>
      </c>
      <c r="N217" s="147">
        <f t="shared" si="64"/>
        <v>1</v>
      </c>
      <c r="O217" s="147">
        <f t="shared" si="65"/>
        <v>0</v>
      </c>
      <c r="P217" s="147">
        <f t="shared" si="66"/>
        <v>0</v>
      </c>
      <c r="Q217" s="147">
        <f t="shared" si="67"/>
        <v>0</v>
      </c>
      <c r="R217" s="147">
        <f t="shared" si="68"/>
        <v>0</v>
      </c>
      <c r="S217" s="147">
        <f t="shared" si="69"/>
        <v>0</v>
      </c>
      <c r="T217" s="147">
        <f t="shared" si="70"/>
        <v>0</v>
      </c>
      <c r="U217" s="147">
        <f t="shared" si="71"/>
        <v>0</v>
      </c>
      <c r="V217" s="147">
        <f t="shared" si="72"/>
        <v>0</v>
      </c>
      <c r="W217" s="129">
        <v>0</v>
      </c>
      <c r="X217" s="144" t="str">
        <f t="shared" si="73"/>
        <v>WEEKDAY</v>
      </c>
      <c r="Y217" s="148">
        <v>4.5166666666666666</v>
      </c>
      <c r="Z217" s="144" t="s">
        <v>55</v>
      </c>
      <c r="AA217" s="149">
        <v>1089</v>
      </c>
      <c r="AB217" s="149">
        <v>173.95813999999999</v>
      </c>
      <c r="AC217" s="149">
        <v>241.1070110701107</v>
      </c>
      <c r="AD217" s="156">
        <v>38.51471734317343</v>
      </c>
      <c r="AE217" s="149" t="str">
        <f>IFERROR(_xlfn.XLOOKUP(DATA_MASTER[[#This Row],[DATE]],RODEO[DATE],RODEO[ARTIST]),"")</f>
        <v/>
      </c>
      <c r="AF217" s="172">
        <f>IF(DATA_MASTER[[#This Row],[RODEO_ARTIST]]="",0,1)</f>
        <v>0</v>
      </c>
      <c r="AG217" t="str">
        <f>IFERROR(RIGHT(_xlfn.XLOOKUP(DATA_MASTER[[#This Row],[DATE]],ASTROS[DATE],ASTROS[OPPONENT]),LEN(_xlfn.XLOOKUP(DATA_MASTER[[#This Row],[DATE]],ASTROS[DATE],ASTROS[OPPONENT]))-3),"NO GAME")</f>
        <v>NO GAME</v>
      </c>
      <c r="AH217">
        <f>IF(DATA_MASTER[[#This Row],[ASTROS_GAME]]="NO GAME",0,1)</f>
        <v>0</v>
      </c>
      <c r="AI217">
        <f>_xlfn.XLOOKUP(DATA_MASTER[[#This Row],[DATE]],WEATHER[DATE],WEATHER[tempmax])</f>
        <v>68.099999999999994</v>
      </c>
      <c r="AJ217">
        <f>_xlfn.XLOOKUP(DATA_MASTER[[#This Row],[DATE]],WEATHER[DATE],WEATHER[precip])</f>
        <v>0</v>
      </c>
    </row>
    <row r="218" spans="1:36" x14ac:dyDescent="0.35">
      <c r="A218" s="155">
        <v>45371</v>
      </c>
      <c r="B218" s="144" t="s">
        <v>46</v>
      </c>
      <c r="C218" s="144" t="s">
        <v>44</v>
      </c>
      <c r="D218" s="144" t="s">
        <v>62</v>
      </c>
      <c r="E218" s="145">
        <f t="shared" si="74"/>
        <v>1</v>
      </c>
      <c r="F218" s="146">
        <f t="shared" si="57"/>
        <v>0</v>
      </c>
      <c r="G218" s="146">
        <f t="shared" si="58"/>
        <v>0</v>
      </c>
      <c r="H218" s="146">
        <f t="shared" si="59"/>
        <v>1</v>
      </c>
      <c r="I218" s="146">
        <f t="shared" si="60"/>
        <v>0</v>
      </c>
      <c r="J218" s="146">
        <f t="shared" si="61"/>
        <v>0</v>
      </c>
      <c r="K218" s="146">
        <f t="shared" si="62"/>
        <v>0</v>
      </c>
      <c r="L218" s="147">
        <f t="shared" si="75"/>
        <v>0</v>
      </c>
      <c r="M218" s="147">
        <f t="shared" si="63"/>
        <v>0</v>
      </c>
      <c r="N218" s="147">
        <f t="shared" si="64"/>
        <v>1</v>
      </c>
      <c r="O218" s="147">
        <f t="shared" si="65"/>
        <v>0</v>
      </c>
      <c r="P218" s="147">
        <f t="shared" si="66"/>
        <v>0</v>
      </c>
      <c r="Q218" s="147">
        <f t="shared" si="67"/>
        <v>0</v>
      </c>
      <c r="R218" s="147">
        <f t="shared" si="68"/>
        <v>0</v>
      </c>
      <c r="S218" s="147">
        <f t="shared" si="69"/>
        <v>0</v>
      </c>
      <c r="T218" s="147">
        <f t="shared" si="70"/>
        <v>0</v>
      </c>
      <c r="U218" s="147">
        <f t="shared" si="71"/>
        <v>0</v>
      </c>
      <c r="V218" s="147">
        <f t="shared" si="72"/>
        <v>0</v>
      </c>
      <c r="W218" s="129">
        <v>0</v>
      </c>
      <c r="X218" s="144" t="str">
        <f t="shared" si="73"/>
        <v>WEEKDAY</v>
      </c>
      <c r="Y218" s="148">
        <v>4.2333333333333334</v>
      </c>
      <c r="Z218" s="144" t="s">
        <v>45</v>
      </c>
      <c r="AA218" s="149">
        <v>365</v>
      </c>
      <c r="AB218" s="149">
        <v>53.015720000000002</v>
      </c>
      <c r="AC218" s="149">
        <v>86.220472440944874</v>
      </c>
      <c r="AD218" s="156">
        <v>12.52339842519685</v>
      </c>
      <c r="AE218" s="149" t="str">
        <f>IFERROR(_xlfn.XLOOKUP(DATA_MASTER[[#This Row],[DATE]],RODEO[DATE],RODEO[ARTIST]),"")</f>
        <v/>
      </c>
      <c r="AF218" s="172">
        <f>IF(DATA_MASTER[[#This Row],[RODEO_ARTIST]]="",0,1)</f>
        <v>0</v>
      </c>
      <c r="AG218" t="str">
        <f>IFERROR(RIGHT(_xlfn.XLOOKUP(DATA_MASTER[[#This Row],[DATE]],ASTROS[DATE],ASTROS[OPPONENT]),LEN(_xlfn.XLOOKUP(DATA_MASTER[[#This Row],[DATE]],ASTROS[DATE],ASTROS[OPPONENT]))-3),"NO GAME")</f>
        <v>NO GAME</v>
      </c>
      <c r="AH218">
        <f>IF(DATA_MASTER[[#This Row],[ASTROS_GAME]]="NO GAME",0,1)</f>
        <v>0</v>
      </c>
      <c r="AI218">
        <f>_xlfn.XLOOKUP(DATA_MASTER[[#This Row],[DATE]],WEATHER[DATE],WEATHER[tempmax])</f>
        <v>68.400000000000006</v>
      </c>
      <c r="AJ218">
        <f>_xlfn.XLOOKUP(DATA_MASTER[[#This Row],[DATE]],WEATHER[DATE],WEATHER[precip])</f>
        <v>1.2999999999999999E-2</v>
      </c>
    </row>
    <row r="219" spans="1:36" x14ac:dyDescent="0.35">
      <c r="A219" s="155">
        <v>45374</v>
      </c>
      <c r="B219" s="144" t="s">
        <v>46</v>
      </c>
      <c r="C219" s="144" t="s">
        <v>49</v>
      </c>
      <c r="D219" s="144" t="s">
        <v>62</v>
      </c>
      <c r="E219" s="145">
        <f t="shared" si="74"/>
        <v>1</v>
      </c>
      <c r="F219" s="146">
        <f t="shared" si="57"/>
        <v>0</v>
      </c>
      <c r="G219" s="146">
        <f t="shared" si="58"/>
        <v>0</v>
      </c>
      <c r="H219" s="146">
        <f t="shared" si="59"/>
        <v>0</v>
      </c>
      <c r="I219" s="146">
        <f t="shared" si="60"/>
        <v>0</v>
      </c>
      <c r="J219" s="146">
        <f t="shared" si="61"/>
        <v>0</v>
      </c>
      <c r="K219" s="146">
        <f t="shared" si="62"/>
        <v>1</v>
      </c>
      <c r="L219" s="147">
        <f t="shared" si="75"/>
        <v>0</v>
      </c>
      <c r="M219" s="147">
        <f t="shared" si="63"/>
        <v>0</v>
      </c>
      <c r="N219" s="147">
        <f t="shared" si="64"/>
        <v>1</v>
      </c>
      <c r="O219" s="147">
        <f t="shared" si="65"/>
        <v>0</v>
      </c>
      <c r="P219" s="147">
        <f t="shared" si="66"/>
        <v>0</v>
      </c>
      <c r="Q219" s="147">
        <f t="shared" si="67"/>
        <v>0</v>
      </c>
      <c r="R219" s="147">
        <f t="shared" si="68"/>
        <v>0</v>
      </c>
      <c r="S219" s="147">
        <f t="shared" si="69"/>
        <v>0</v>
      </c>
      <c r="T219" s="147">
        <f t="shared" si="70"/>
        <v>0</v>
      </c>
      <c r="U219" s="147">
        <f t="shared" si="71"/>
        <v>0</v>
      </c>
      <c r="V219" s="147">
        <f t="shared" si="72"/>
        <v>0</v>
      </c>
      <c r="W219" s="129">
        <v>1</v>
      </c>
      <c r="X219" s="144" t="str">
        <f t="shared" si="73"/>
        <v>WEEKEND</v>
      </c>
      <c r="Y219" s="148">
        <v>6.75</v>
      </c>
      <c r="Z219" s="144" t="s">
        <v>45</v>
      </c>
      <c r="AA219" s="149">
        <v>1565.5</v>
      </c>
      <c r="AB219" s="149">
        <v>230.48858799999996</v>
      </c>
      <c r="AC219" s="149">
        <v>231.92592592592592</v>
      </c>
      <c r="AD219" s="156">
        <v>34.146457481481477</v>
      </c>
      <c r="AE219" s="149" t="str">
        <f>IFERROR(_xlfn.XLOOKUP(DATA_MASTER[[#This Row],[DATE]],RODEO[DATE],RODEO[ARTIST]),"")</f>
        <v/>
      </c>
      <c r="AF219" s="172">
        <f>IF(DATA_MASTER[[#This Row],[RODEO_ARTIST]]="",0,1)</f>
        <v>0</v>
      </c>
      <c r="AG219" t="str">
        <f>IFERROR(RIGHT(_xlfn.XLOOKUP(DATA_MASTER[[#This Row],[DATE]],ASTROS[DATE],ASTROS[OPPONENT]),LEN(_xlfn.XLOOKUP(DATA_MASTER[[#This Row],[DATE]],ASTROS[DATE],ASTROS[OPPONENT]))-3),"NO GAME")</f>
        <v>NO GAME</v>
      </c>
      <c r="AH219">
        <f>IF(DATA_MASTER[[#This Row],[ASTROS_GAME]]="NO GAME",0,1)</f>
        <v>0</v>
      </c>
      <c r="AI219">
        <f>_xlfn.XLOOKUP(DATA_MASTER[[#This Row],[DATE]],WEATHER[DATE],WEATHER[tempmax])</f>
        <v>77</v>
      </c>
      <c r="AJ219">
        <f>_xlfn.XLOOKUP(DATA_MASTER[[#This Row],[DATE]],WEATHER[DATE],WEATHER[precip])</f>
        <v>0</v>
      </c>
    </row>
    <row r="220" spans="1:36" x14ac:dyDescent="0.35">
      <c r="A220" s="155">
        <v>45375</v>
      </c>
      <c r="B220" s="144" t="s">
        <v>42</v>
      </c>
      <c r="C220" s="144" t="s">
        <v>50</v>
      </c>
      <c r="D220" s="144" t="s">
        <v>62</v>
      </c>
      <c r="E220" s="145">
        <f t="shared" si="74"/>
        <v>0</v>
      </c>
      <c r="F220" s="146">
        <f t="shared" si="57"/>
        <v>1</v>
      </c>
      <c r="G220" s="146">
        <f t="shared" si="58"/>
        <v>0</v>
      </c>
      <c r="H220" s="146">
        <f t="shared" si="59"/>
        <v>0</v>
      </c>
      <c r="I220" s="146">
        <f t="shared" si="60"/>
        <v>0</v>
      </c>
      <c r="J220" s="146">
        <f t="shared" si="61"/>
        <v>0</v>
      </c>
      <c r="K220" s="146">
        <f t="shared" si="62"/>
        <v>0</v>
      </c>
      <c r="L220" s="147">
        <f t="shared" si="75"/>
        <v>0</v>
      </c>
      <c r="M220" s="147">
        <f t="shared" si="63"/>
        <v>0</v>
      </c>
      <c r="N220" s="147">
        <f t="shared" si="64"/>
        <v>1</v>
      </c>
      <c r="O220" s="147">
        <f t="shared" si="65"/>
        <v>0</v>
      </c>
      <c r="P220" s="147">
        <f t="shared" si="66"/>
        <v>0</v>
      </c>
      <c r="Q220" s="147">
        <f t="shared" si="67"/>
        <v>0</v>
      </c>
      <c r="R220" s="147">
        <f t="shared" si="68"/>
        <v>0</v>
      </c>
      <c r="S220" s="147">
        <f t="shared" si="69"/>
        <v>0</v>
      </c>
      <c r="T220" s="147">
        <f t="shared" si="70"/>
        <v>0</v>
      </c>
      <c r="U220" s="147">
        <f t="shared" si="71"/>
        <v>0</v>
      </c>
      <c r="V220" s="147">
        <f t="shared" si="72"/>
        <v>0</v>
      </c>
      <c r="W220" s="129">
        <v>1</v>
      </c>
      <c r="X220" s="144" t="str">
        <f t="shared" si="73"/>
        <v>WEEKEND</v>
      </c>
      <c r="Y220" s="148">
        <v>5</v>
      </c>
      <c r="Z220" s="144" t="s">
        <v>45</v>
      </c>
      <c r="AA220" s="149">
        <v>913</v>
      </c>
      <c r="AB220" s="149">
        <v>155.60628</v>
      </c>
      <c r="AC220" s="149">
        <v>182.6</v>
      </c>
      <c r="AD220" s="156">
        <v>31.121255999999999</v>
      </c>
      <c r="AE220" s="149" t="str">
        <f>IFERROR(_xlfn.XLOOKUP(DATA_MASTER[[#This Row],[DATE]],RODEO[DATE],RODEO[ARTIST]),"")</f>
        <v/>
      </c>
      <c r="AF220" s="172">
        <f>IF(DATA_MASTER[[#This Row],[RODEO_ARTIST]]="",0,1)</f>
        <v>0</v>
      </c>
      <c r="AG220" t="str">
        <f>IFERROR(RIGHT(_xlfn.XLOOKUP(DATA_MASTER[[#This Row],[DATE]],ASTROS[DATE],ASTROS[OPPONENT]),LEN(_xlfn.XLOOKUP(DATA_MASTER[[#This Row],[DATE]],ASTROS[DATE],ASTROS[OPPONENT]))-3),"NO GAME")</f>
        <v>NO GAME</v>
      </c>
      <c r="AH220">
        <f>IF(DATA_MASTER[[#This Row],[ASTROS_GAME]]="NO GAME",0,1)</f>
        <v>0</v>
      </c>
      <c r="AI220">
        <f>_xlfn.XLOOKUP(DATA_MASTER[[#This Row],[DATE]],WEATHER[DATE],WEATHER[tempmax])</f>
        <v>69.900000000000006</v>
      </c>
      <c r="AJ220">
        <f>_xlfn.XLOOKUP(DATA_MASTER[[#This Row],[DATE]],WEATHER[DATE],WEATHER[precip])</f>
        <v>0</v>
      </c>
    </row>
    <row r="221" spans="1:36" x14ac:dyDescent="0.35">
      <c r="A221" s="155">
        <v>45376</v>
      </c>
      <c r="B221" s="144" t="s">
        <v>42</v>
      </c>
      <c r="C221" s="144" t="s">
        <v>51</v>
      </c>
      <c r="D221" s="144" t="s">
        <v>62</v>
      </c>
      <c r="E221" s="145">
        <f t="shared" si="74"/>
        <v>0</v>
      </c>
      <c r="F221" s="146">
        <f t="shared" si="57"/>
        <v>0</v>
      </c>
      <c r="G221" s="146">
        <f t="shared" si="58"/>
        <v>1</v>
      </c>
      <c r="H221" s="146">
        <f t="shared" si="59"/>
        <v>0</v>
      </c>
      <c r="I221" s="146">
        <f t="shared" si="60"/>
        <v>0</v>
      </c>
      <c r="J221" s="146">
        <f t="shared" si="61"/>
        <v>0</v>
      </c>
      <c r="K221" s="146">
        <f t="shared" si="62"/>
        <v>0</v>
      </c>
      <c r="L221" s="147">
        <f t="shared" si="75"/>
        <v>0</v>
      </c>
      <c r="M221" s="147">
        <f t="shared" si="63"/>
        <v>0</v>
      </c>
      <c r="N221" s="147">
        <f t="shared" si="64"/>
        <v>1</v>
      </c>
      <c r="O221" s="147">
        <f t="shared" si="65"/>
        <v>0</v>
      </c>
      <c r="P221" s="147">
        <f t="shared" si="66"/>
        <v>0</v>
      </c>
      <c r="Q221" s="147">
        <f t="shared" si="67"/>
        <v>0</v>
      </c>
      <c r="R221" s="147">
        <f t="shared" si="68"/>
        <v>0</v>
      </c>
      <c r="S221" s="147">
        <f t="shared" si="69"/>
        <v>0</v>
      </c>
      <c r="T221" s="147">
        <f t="shared" si="70"/>
        <v>0</v>
      </c>
      <c r="U221" s="147">
        <f t="shared" si="71"/>
        <v>0</v>
      </c>
      <c r="V221" s="147">
        <f t="shared" si="72"/>
        <v>0</v>
      </c>
      <c r="W221" s="129">
        <v>0</v>
      </c>
      <c r="X221" s="144" t="str">
        <f t="shared" si="73"/>
        <v>WEEKDAY</v>
      </c>
      <c r="Y221" s="148">
        <v>3.4166666666666665</v>
      </c>
      <c r="Z221" s="144" t="s">
        <v>55</v>
      </c>
      <c r="AA221" s="149">
        <v>341.5</v>
      </c>
      <c r="AB221" s="149">
        <v>55.795068000000001</v>
      </c>
      <c r="AC221" s="149">
        <v>99.951219512195124</v>
      </c>
      <c r="AD221" s="156">
        <v>16.330263804878051</v>
      </c>
      <c r="AE221" s="149" t="str">
        <f>IFERROR(_xlfn.XLOOKUP(DATA_MASTER[[#This Row],[DATE]],RODEO[DATE],RODEO[ARTIST]),"")</f>
        <v/>
      </c>
      <c r="AF221" s="172">
        <f>IF(DATA_MASTER[[#This Row],[RODEO_ARTIST]]="",0,1)</f>
        <v>0</v>
      </c>
      <c r="AG221" t="str">
        <f>IFERROR(RIGHT(_xlfn.XLOOKUP(DATA_MASTER[[#This Row],[DATE]],ASTROS[DATE],ASTROS[OPPONENT]),LEN(_xlfn.XLOOKUP(DATA_MASTER[[#This Row],[DATE]],ASTROS[DATE],ASTROS[OPPONENT]))-3),"NO GAME")</f>
        <v>NO GAME</v>
      </c>
      <c r="AH221">
        <f>IF(DATA_MASTER[[#This Row],[ASTROS_GAME]]="NO GAME",0,1)</f>
        <v>0</v>
      </c>
      <c r="AI221">
        <f>_xlfn.XLOOKUP(DATA_MASTER[[#This Row],[DATE]],WEATHER[DATE],WEATHER[tempmax])</f>
        <v>75.3</v>
      </c>
      <c r="AJ221">
        <f>_xlfn.XLOOKUP(DATA_MASTER[[#This Row],[DATE]],WEATHER[DATE],WEATHER[precip])</f>
        <v>7.8E-2</v>
      </c>
    </row>
    <row r="222" spans="1:36" x14ac:dyDescent="0.35">
      <c r="A222" s="155">
        <v>45376</v>
      </c>
      <c r="B222" s="144" t="s">
        <v>46</v>
      </c>
      <c r="C222" s="144" t="s">
        <v>51</v>
      </c>
      <c r="D222" s="144" t="s">
        <v>62</v>
      </c>
      <c r="E222" s="145">
        <f t="shared" si="74"/>
        <v>1</v>
      </c>
      <c r="F222" s="146">
        <f t="shared" si="57"/>
        <v>0</v>
      </c>
      <c r="G222" s="146">
        <f t="shared" si="58"/>
        <v>1</v>
      </c>
      <c r="H222" s="146">
        <f t="shared" si="59"/>
        <v>0</v>
      </c>
      <c r="I222" s="146">
        <f t="shared" si="60"/>
        <v>0</v>
      </c>
      <c r="J222" s="146">
        <f t="shared" si="61"/>
        <v>0</v>
      </c>
      <c r="K222" s="146">
        <f t="shared" si="62"/>
        <v>0</v>
      </c>
      <c r="L222" s="147">
        <f t="shared" si="75"/>
        <v>0</v>
      </c>
      <c r="M222" s="147">
        <f t="shared" si="63"/>
        <v>0</v>
      </c>
      <c r="N222" s="147">
        <f t="shared" si="64"/>
        <v>1</v>
      </c>
      <c r="O222" s="147">
        <f t="shared" si="65"/>
        <v>0</v>
      </c>
      <c r="P222" s="147">
        <f t="shared" si="66"/>
        <v>0</v>
      </c>
      <c r="Q222" s="147">
        <f t="shared" si="67"/>
        <v>0</v>
      </c>
      <c r="R222" s="147">
        <f t="shared" si="68"/>
        <v>0</v>
      </c>
      <c r="S222" s="147">
        <f t="shared" si="69"/>
        <v>0</v>
      </c>
      <c r="T222" s="147">
        <f t="shared" si="70"/>
        <v>0</v>
      </c>
      <c r="U222" s="147">
        <f t="shared" si="71"/>
        <v>0</v>
      </c>
      <c r="V222" s="147">
        <f t="shared" si="72"/>
        <v>0</v>
      </c>
      <c r="W222" s="129">
        <v>0</v>
      </c>
      <c r="X222" s="144" t="str">
        <f t="shared" si="73"/>
        <v>WEEKDAY</v>
      </c>
      <c r="Y222" s="148">
        <v>5.95</v>
      </c>
      <c r="Z222" s="144" t="s">
        <v>55</v>
      </c>
      <c r="AA222" s="149">
        <v>1253.5</v>
      </c>
      <c r="AB222" s="149">
        <v>212.710452</v>
      </c>
      <c r="AC222" s="149">
        <v>210.67226890756302</v>
      </c>
      <c r="AD222" s="156">
        <v>35.749655798319324</v>
      </c>
      <c r="AE222" s="149" t="str">
        <f>IFERROR(_xlfn.XLOOKUP(DATA_MASTER[[#This Row],[DATE]],RODEO[DATE],RODEO[ARTIST]),"")</f>
        <v/>
      </c>
      <c r="AF222" s="172">
        <f>IF(DATA_MASTER[[#This Row],[RODEO_ARTIST]]="",0,1)</f>
        <v>0</v>
      </c>
      <c r="AG222" t="str">
        <f>IFERROR(RIGHT(_xlfn.XLOOKUP(DATA_MASTER[[#This Row],[DATE]],ASTROS[DATE],ASTROS[OPPONENT]),LEN(_xlfn.XLOOKUP(DATA_MASTER[[#This Row],[DATE]],ASTROS[DATE],ASTROS[OPPONENT]))-3),"NO GAME")</f>
        <v>NO GAME</v>
      </c>
      <c r="AH222">
        <f>IF(DATA_MASTER[[#This Row],[ASTROS_GAME]]="NO GAME",0,1)</f>
        <v>0</v>
      </c>
      <c r="AI222">
        <f>_xlfn.XLOOKUP(DATA_MASTER[[#This Row],[DATE]],WEATHER[DATE],WEATHER[tempmax])</f>
        <v>75.3</v>
      </c>
      <c r="AJ222">
        <f>_xlfn.XLOOKUP(DATA_MASTER[[#This Row],[DATE]],WEATHER[DATE],WEATHER[precip])</f>
        <v>7.8E-2</v>
      </c>
    </row>
    <row r="223" spans="1:36" x14ac:dyDescent="0.35">
      <c r="A223" s="155">
        <v>45380</v>
      </c>
      <c r="B223" s="144" t="s">
        <v>46</v>
      </c>
      <c r="C223" s="144" t="s">
        <v>48</v>
      </c>
      <c r="D223" s="144" t="s">
        <v>62</v>
      </c>
      <c r="E223" s="145">
        <f t="shared" si="74"/>
        <v>1</v>
      </c>
      <c r="F223" s="146">
        <f t="shared" si="57"/>
        <v>0</v>
      </c>
      <c r="G223" s="146">
        <f t="shared" si="58"/>
        <v>0</v>
      </c>
      <c r="H223" s="146">
        <f t="shared" si="59"/>
        <v>0</v>
      </c>
      <c r="I223" s="146">
        <f t="shared" si="60"/>
        <v>0</v>
      </c>
      <c r="J223" s="146">
        <f t="shared" si="61"/>
        <v>1</v>
      </c>
      <c r="K223" s="146">
        <f t="shared" si="62"/>
        <v>0</v>
      </c>
      <c r="L223" s="147">
        <f t="shared" si="75"/>
        <v>0</v>
      </c>
      <c r="M223" s="147">
        <f t="shared" si="63"/>
        <v>0</v>
      </c>
      <c r="N223" s="147">
        <f t="shared" si="64"/>
        <v>1</v>
      </c>
      <c r="O223" s="147">
        <f t="shared" si="65"/>
        <v>0</v>
      </c>
      <c r="P223" s="147">
        <f t="shared" si="66"/>
        <v>0</v>
      </c>
      <c r="Q223" s="147">
        <f t="shared" si="67"/>
        <v>0</v>
      </c>
      <c r="R223" s="147">
        <f t="shared" si="68"/>
        <v>0</v>
      </c>
      <c r="S223" s="147">
        <f t="shared" si="69"/>
        <v>0</v>
      </c>
      <c r="T223" s="147">
        <f t="shared" si="70"/>
        <v>0</v>
      </c>
      <c r="U223" s="147">
        <f t="shared" si="71"/>
        <v>0</v>
      </c>
      <c r="V223" s="147">
        <f t="shared" si="72"/>
        <v>0</v>
      </c>
      <c r="W223" s="129">
        <v>1</v>
      </c>
      <c r="X223" s="144" t="str">
        <f t="shared" si="73"/>
        <v>WEEKEND</v>
      </c>
      <c r="Y223" s="148">
        <v>7.8166666666666664</v>
      </c>
      <c r="Z223" s="144" t="s">
        <v>45</v>
      </c>
      <c r="AA223" s="149">
        <v>2191.5</v>
      </c>
      <c r="AB223" s="149">
        <v>345.4649</v>
      </c>
      <c r="AC223" s="149">
        <v>280.36247334754796</v>
      </c>
      <c r="AD223" s="156">
        <v>44.195936034115142</v>
      </c>
      <c r="AE223" s="149" t="str">
        <f>IFERROR(_xlfn.XLOOKUP(DATA_MASTER[[#This Row],[DATE]],RODEO[DATE],RODEO[ARTIST]),"")</f>
        <v/>
      </c>
      <c r="AF223" s="172">
        <f>IF(DATA_MASTER[[#This Row],[RODEO_ARTIST]]="",0,1)</f>
        <v>0</v>
      </c>
      <c r="AG223" t="str">
        <f>IFERROR(RIGHT(_xlfn.XLOOKUP(DATA_MASTER[[#This Row],[DATE]],ASTROS[DATE],ASTROS[OPPONENT]),LEN(_xlfn.XLOOKUP(DATA_MASTER[[#This Row],[DATE]],ASTROS[DATE],ASTROS[OPPONENT]))-3),"NO GAME")</f>
        <v>New York Yankees</v>
      </c>
      <c r="AH223">
        <f>IF(DATA_MASTER[[#This Row],[ASTROS_GAME]]="NO GAME",0,1)</f>
        <v>1</v>
      </c>
      <c r="AI223">
        <f>_xlfn.XLOOKUP(DATA_MASTER[[#This Row],[DATE]],WEATHER[DATE],WEATHER[tempmax])</f>
        <v>73.599999999999994</v>
      </c>
      <c r="AJ223">
        <f>_xlfn.XLOOKUP(DATA_MASTER[[#This Row],[DATE]],WEATHER[DATE],WEATHER[precip])</f>
        <v>0</v>
      </c>
    </row>
    <row r="224" spans="1:36" x14ac:dyDescent="0.35">
      <c r="A224" s="155">
        <v>45381</v>
      </c>
      <c r="B224" s="144" t="s">
        <v>46</v>
      </c>
      <c r="C224" s="144" t="s">
        <v>49</v>
      </c>
      <c r="D224" s="144" t="s">
        <v>62</v>
      </c>
      <c r="E224" s="145">
        <f t="shared" si="74"/>
        <v>1</v>
      </c>
      <c r="F224" s="146">
        <f t="shared" si="57"/>
        <v>0</v>
      </c>
      <c r="G224" s="146">
        <f t="shared" si="58"/>
        <v>0</v>
      </c>
      <c r="H224" s="146">
        <f t="shared" si="59"/>
        <v>0</v>
      </c>
      <c r="I224" s="146">
        <f t="shared" si="60"/>
        <v>0</v>
      </c>
      <c r="J224" s="146">
        <f t="shared" si="61"/>
        <v>0</v>
      </c>
      <c r="K224" s="146">
        <f t="shared" si="62"/>
        <v>1</v>
      </c>
      <c r="L224" s="147">
        <f t="shared" si="75"/>
        <v>0</v>
      </c>
      <c r="M224" s="147">
        <f t="shared" si="63"/>
        <v>0</v>
      </c>
      <c r="N224" s="147">
        <f t="shared" si="64"/>
        <v>1</v>
      </c>
      <c r="O224" s="147">
        <f t="shared" si="65"/>
        <v>0</v>
      </c>
      <c r="P224" s="147">
        <f t="shared" si="66"/>
        <v>0</v>
      </c>
      <c r="Q224" s="147">
        <f t="shared" si="67"/>
        <v>0</v>
      </c>
      <c r="R224" s="147">
        <f t="shared" si="68"/>
        <v>0</v>
      </c>
      <c r="S224" s="147">
        <f t="shared" si="69"/>
        <v>0</v>
      </c>
      <c r="T224" s="147">
        <f t="shared" si="70"/>
        <v>0</v>
      </c>
      <c r="U224" s="147">
        <f t="shared" si="71"/>
        <v>0</v>
      </c>
      <c r="V224" s="147">
        <f t="shared" si="72"/>
        <v>0</v>
      </c>
      <c r="W224" s="129">
        <v>1</v>
      </c>
      <c r="X224" s="144" t="str">
        <f t="shared" si="73"/>
        <v>WEEKEND</v>
      </c>
      <c r="Y224" s="148">
        <v>5.1333333333333337</v>
      </c>
      <c r="Z224" s="144" t="s">
        <v>45</v>
      </c>
      <c r="AA224" s="149">
        <v>953.5</v>
      </c>
      <c r="AB224" s="149">
        <v>155.63970399999999</v>
      </c>
      <c r="AC224" s="149">
        <v>185.74675324675323</v>
      </c>
      <c r="AD224" s="156">
        <v>30.319422857142854</v>
      </c>
      <c r="AE224" s="149" t="str">
        <f>IFERROR(_xlfn.XLOOKUP(DATA_MASTER[[#This Row],[DATE]],RODEO[DATE],RODEO[ARTIST]),"")</f>
        <v/>
      </c>
      <c r="AF224" s="172">
        <f>IF(DATA_MASTER[[#This Row],[RODEO_ARTIST]]="",0,1)</f>
        <v>0</v>
      </c>
      <c r="AG224" t="str">
        <f>IFERROR(RIGHT(_xlfn.XLOOKUP(DATA_MASTER[[#This Row],[DATE]],ASTROS[DATE],ASTROS[OPPONENT]),LEN(_xlfn.XLOOKUP(DATA_MASTER[[#This Row],[DATE]],ASTROS[DATE],ASTROS[OPPONENT]))-3),"NO GAME")</f>
        <v>New York Yankees</v>
      </c>
      <c r="AH224">
        <f>IF(DATA_MASTER[[#This Row],[ASTROS_GAME]]="NO GAME",0,1)</f>
        <v>1</v>
      </c>
      <c r="AI224">
        <f>_xlfn.XLOOKUP(DATA_MASTER[[#This Row],[DATE]],WEATHER[DATE],WEATHER[tempmax])</f>
        <v>75.3</v>
      </c>
      <c r="AJ224">
        <f>_xlfn.XLOOKUP(DATA_MASTER[[#This Row],[DATE]],WEATHER[DATE],WEATHER[precip])</f>
        <v>0</v>
      </c>
    </row>
    <row r="225" spans="1:36" x14ac:dyDescent="0.35">
      <c r="A225" s="155">
        <v>45382</v>
      </c>
      <c r="B225" s="144" t="s">
        <v>42</v>
      </c>
      <c r="C225" s="144" t="s">
        <v>50</v>
      </c>
      <c r="D225" s="144" t="s">
        <v>62</v>
      </c>
      <c r="E225" s="145">
        <f t="shared" si="74"/>
        <v>0</v>
      </c>
      <c r="F225" s="146">
        <f t="shared" si="57"/>
        <v>1</v>
      </c>
      <c r="G225" s="146">
        <f t="shared" si="58"/>
        <v>0</v>
      </c>
      <c r="H225" s="146">
        <f t="shared" si="59"/>
        <v>0</v>
      </c>
      <c r="I225" s="146">
        <f t="shared" si="60"/>
        <v>0</v>
      </c>
      <c r="J225" s="146">
        <f t="shared" si="61"/>
        <v>0</v>
      </c>
      <c r="K225" s="146">
        <f t="shared" si="62"/>
        <v>0</v>
      </c>
      <c r="L225" s="147">
        <f t="shared" si="75"/>
        <v>0</v>
      </c>
      <c r="M225" s="147">
        <f t="shared" si="63"/>
        <v>0</v>
      </c>
      <c r="N225" s="147">
        <f t="shared" si="64"/>
        <v>1</v>
      </c>
      <c r="O225" s="147">
        <f t="shared" si="65"/>
        <v>0</v>
      </c>
      <c r="P225" s="147">
        <f t="shared" si="66"/>
        <v>0</v>
      </c>
      <c r="Q225" s="147">
        <f t="shared" si="67"/>
        <v>0</v>
      </c>
      <c r="R225" s="147">
        <f t="shared" si="68"/>
        <v>0</v>
      </c>
      <c r="S225" s="147">
        <f t="shared" si="69"/>
        <v>0</v>
      </c>
      <c r="T225" s="147">
        <f t="shared" si="70"/>
        <v>0</v>
      </c>
      <c r="U225" s="147">
        <f t="shared" si="71"/>
        <v>0</v>
      </c>
      <c r="V225" s="147">
        <f t="shared" si="72"/>
        <v>0</v>
      </c>
      <c r="W225" s="129">
        <v>1</v>
      </c>
      <c r="X225" s="144" t="str">
        <f t="shared" si="73"/>
        <v>WEEKEND</v>
      </c>
      <c r="Y225" s="148">
        <v>3.95</v>
      </c>
      <c r="Z225" s="144" t="s">
        <v>55</v>
      </c>
      <c r="AA225" s="149">
        <v>815.5</v>
      </c>
      <c r="AB225" s="149">
        <v>103.476812</v>
      </c>
      <c r="AC225" s="149">
        <v>206.45569620253164</v>
      </c>
      <c r="AD225" s="156">
        <v>26.196661265822783</v>
      </c>
      <c r="AE225" s="149" t="str">
        <f>IFERROR(_xlfn.XLOOKUP(DATA_MASTER[[#This Row],[DATE]],RODEO[DATE],RODEO[ARTIST]),"")</f>
        <v/>
      </c>
      <c r="AF225" s="172">
        <f>IF(DATA_MASTER[[#This Row],[RODEO_ARTIST]]="",0,1)</f>
        <v>0</v>
      </c>
      <c r="AG225" t="str">
        <f>IFERROR(RIGHT(_xlfn.XLOOKUP(DATA_MASTER[[#This Row],[DATE]],ASTROS[DATE],ASTROS[OPPONENT]),LEN(_xlfn.XLOOKUP(DATA_MASTER[[#This Row],[DATE]],ASTROS[DATE],ASTROS[OPPONENT]))-3),"NO GAME")</f>
        <v>New York Yankees</v>
      </c>
      <c r="AH225">
        <f>IF(DATA_MASTER[[#This Row],[ASTROS_GAME]]="NO GAME",0,1)</f>
        <v>1</v>
      </c>
      <c r="AI225">
        <f>_xlfn.XLOOKUP(DATA_MASTER[[#This Row],[DATE]],WEATHER[DATE],WEATHER[tempmax])</f>
        <v>78.900000000000006</v>
      </c>
      <c r="AJ225">
        <f>_xlfn.XLOOKUP(DATA_MASTER[[#This Row],[DATE]],WEATHER[DATE],WEATHER[precip])</f>
        <v>0</v>
      </c>
    </row>
    <row r="226" spans="1:36" x14ac:dyDescent="0.35">
      <c r="A226" s="155">
        <v>45382</v>
      </c>
      <c r="B226" s="144" t="s">
        <v>46</v>
      </c>
      <c r="C226" s="144" t="s">
        <v>50</v>
      </c>
      <c r="D226" s="144" t="s">
        <v>62</v>
      </c>
      <c r="E226" s="145">
        <f t="shared" si="74"/>
        <v>1</v>
      </c>
      <c r="F226" s="146">
        <f t="shared" si="57"/>
        <v>1</v>
      </c>
      <c r="G226" s="146">
        <f t="shared" si="58"/>
        <v>0</v>
      </c>
      <c r="H226" s="146">
        <f t="shared" si="59"/>
        <v>0</v>
      </c>
      <c r="I226" s="146">
        <f t="shared" si="60"/>
        <v>0</v>
      </c>
      <c r="J226" s="146">
        <f t="shared" si="61"/>
        <v>0</v>
      </c>
      <c r="K226" s="146">
        <f t="shared" si="62"/>
        <v>0</v>
      </c>
      <c r="L226" s="147">
        <f t="shared" si="75"/>
        <v>0</v>
      </c>
      <c r="M226" s="147">
        <f t="shared" si="63"/>
        <v>0</v>
      </c>
      <c r="N226" s="147">
        <f t="shared" si="64"/>
        <v>1</v>
      </c>
      <c r="O226" s="147">
        <f t="shared" si="65"/>
        <v>0</v>
      </c>
      <c r="P226" s="147">
        <f t="shared" si="66"/>
        <v>0</v>
      </c>
      <c r="Q226" s="147">
        <f t="shared" si="67"/>
        <v>0</v>
      </c>
      <c r="R226" s="147">
        <f t="shared" si="68"/>
        <v>0</v>
      </c>
      <c r="S226" s="147">
        <f t="shared" si="69"/>
        <v>0</v>
      </c>
      <c r="T226" s="147">
        <f t="shared" si="70"/>
        <v>0</v>
      </c>
      <c r="U226" s="147">
        <f t="shared" si="71"/>
        <v>0</v>
      </c>
      <c r="V226" s="147">
        <f t="shared" si="72"/>
        <v>0</v>
      </c>
      <c r="W226" s="129">
        <v>1</v>
      </c>
      <c r="X226" s="144" t="str">
        <f t="shared" si="73"/>
        <v>WEEKEND</v>
      </c>
      <c r="Y226" s="148">
        <v>5.0333333333333332</v>
      </c>
      <c r="Z226" s="144" t="s">
        <v>55</v>
      </c>
      <c r="AA226" s="149">
        <v>1087</v>
      </c>
      <c r="AB226" s="149">
        <v>166.80110400000001</v>
      </c>
      <c r="AC226" s="149">
        <v>215.96026490066225</v>
      </c>
      <c r="AD226" s="156">
        <v>33.139292185430463</v>
      </c>
      <c r="AE226" s="149" t="str">
        <f>IFERROR(_xlfn.XLOOKUP(DATA_MASTER[[#This Row],[DATE]],RODEO[DATE],RODEO[ARTIST]),"")</f>
        <v/>
      </c>
      <c r="AF226" s="172">
        <f>IF(DATA_MASTER[[#This Row],[RODEO_ARTIST]]="",0,1)</f>
        <v>0</v>
      </c>
      <c r="AG226" t="str">
        <f>IFERROR(RIGHT(_xlfn.XLOOKUP(DATA_MASTER[[#This Row],[DATE]],ASTROS[DATE],ASTROS[OPPONENT]),LEN(_xlfn.XLOOKUP(DATA_MASTER[[#This Row],[DATE]],ASTROS[DATE],ASTROS[OPPONENT]))-3),"NO GAME")</f>
        <v>New York Yankees</v>
      </c>
      <c r="AH226">
        <f>IF(DATA_MASTER[[#This Row],[ASTROS_GAME]]="NO GAME",0,1)</f>
        <v>1</v>
      </c>
      <c r="AI226">
        <f>_xlfn.XLOOKUP(DATA_MASTER[[#This Row],[DATE]],WEATHER[DATE],WEATHER[tempmax])</f>
        <v>78.900000000000006</v>
      </c>
      <c r="AJ226">
        <f>_xlfn.XLOOKUP(DATA_MASTER[[#This Row],[DATE]],WEATHER[DATE],WEATHER[precip])</f>
        <v>0</v>
      </c>
    </row>
    <row r="227" spans="1:36" x14ac:dyDescent="0.35">
      <c r="A227" s="155">
        <v>45383</v>
      </c>
      <c r="B227" s="144" t="s">
        <v>42</v>
      </c>
      <c r="C227" s="144" t="s">
        <v>51</v>
      </c>
      <c r="D227" s="144" t="s">
        <v>63</v>
      </c>
      <c r="E227" s="145">
        <f t="shared" si="74"/>
        <v>0</v>
      </c>
      <c r="F227" s="146">
        <f t="shared" si="57"/>
        <v>0</v>
      </c>
      <c r="G227" s="146">
        <f t="shared" si="58"/>
        <v>1</v>
      </c>
      <c r="H227" s="146">
        <f t="shared" si="59"/>
        <v>0</v>
      </c>
      <c r="I227" s="146">
        <f t="shared" si="60"/>
        <v>0</v>
      </c>
      <c r="J227" s="146">
        <f t="shared" si="61"/>
        <v>0</v>
      </c>
      <c r="K227" s="146">
        <f t="shared" si="62"/>
        <v>0</v>
      </c>
      <c r="L227" s="147">
        <f t="shared" si="75"/>
        <v>0</v>
      </c>
      <c r="M227" s="147">
        <f t="shared" si="63"/>
        <v>0</v>
      </c>
      <c r="N227" s="147">
        <f t="shared" si="64"/>
        <v>0</v>
      </c>
      <c r="O227" s="147">
        <f t="shared" si="65"/>
        <v>1</v>
      </c>
      <c r="P227" s="147">
        <f t="shared" si="66"/>
        <v>0</v>
      </c>
      <c r="Q227" s="147">
        <f t="shared" si="67"/>
        <v>0</v>
      </c>
      <c r="R227" s="147">
        <f t="shared" si="68"/>
        <v>0</v>
      </c>
      <c r="S227" s="147">
        <f t="shared" si="69"/>
        <v>0</v>
      </c>
      <c r="T227" s="147">
        <f t="shared" si="70"/>
        <v>0</v>
      </c>
      <c r="U227" s="147">
        <f t="shared" si="71"/>
        <v>0</v>
      </c>
      <c r="V227" s="147">
        <f t="shared" si="72"/>
        <v>0</v>
      </c>
      <c r="W227" s="129">
        <v>0</v>
      </c>
      <c r="X227" s="144" t="str">
        <f t="shared" si="73"/>
        <v>WEEKDAY</v>
      </c>
      <c r="Y227" s="148">
        <v>4.1166666666666663</v>
      </c>
      <c r="Z227" s="144" t="s">
        <v>55</v>
      </c>
      <c r="AA227" s="149">
        <v>770.5</v>
      </c>
      <c r="AB227" s="149">
        <v>147.19654799999998</v>
      </c>
      <c r="AC227" s="149">
        <v>187.16599190283404</v>
      </c>
      <c r="AD227" s="156">
        <v>35.756246477732795</v>
      </c>
      <c r="AE227" s="149" t="str">
        <f>IFERROR(_xlfn.XLOOKUP(DATA_MASTER[[#This Row],[DATE]],RODEO[DATE],RODEO[ARTIST]),"")</f>
        <v/>
      </c>
      <c r="AF227" s="172">
        <f>IF(DATA_MASTER[[#This Row],[RODEO_ARTIST]]="",0,1)</f>
        <v>0</v>
      </c>
      <c r="AG227" t="str">
        <f>IFERROR(RIGHT(_xlfn.XLOOKUP(DATA_MASTER[[#This Row],[DATE]],ASTROS[DATE],ASTROS[OPPONENT]),LEN(_xlfn.XLOOKUP(DATA_MASTER[[#This Row],[DATE]],ASTROS[DATE],ASTROS[OPPONENT]))-3),"NO GAME")</f>
        <v>Toronto Blue Jays</v>
      </c>
      <c r="AH227">
        <f>IF(DATA_MASTER[[#This Row],[ASTROS_GAME]]="NO GAME",0,1)</f>
        <v>1</v>
      </c>
      <c r="AI227">
        <f>_xlfn.XLOOKUP(DATA_MASTER[[#This Row],[DATE]],WEATHER[DATE],WEATHER[tempmax])</f>
        <v>78.900000000000006</v>
      </c>
      <c r="AJ227">
        <f>_xlfn.XLOOKUP(DATA_MASTER[[#This Row],[DATE]],WEATHER[DATE],WEATHER[precip])</f>
        <v>0</v>
      </c>
    </row>
    <row r="228" spans="1:36" x14ac:dyDescent="0.35">
      <c r="A228" s="155">
        <v>45383</v>
      </c>
      <c r="B228" s="144" t="s">
        <v>46</v>
      </c>
      <c r="C228" s="144" t="s">
        <v>51</v>
      </c>
      <c r="D228" s="144" t="s">
        <v>63</v>
      </c>
      <c r="E228" s="145">
        <f t="shared" si="74"/>
        <v>1</v>
      </c>
      <c r="F228" s="146">
        <f t="shared" si="57"/>
        <v>0</v>
      </c>
      <c r="G228" s="146">
        <f t="shared" si="58"/>
        <v>1</v>
      </c>
      <c r="H228" s="146">
        <f t="shared" si="59"/>
        <v>0</v>
      </c>
      <c r="I228" s="146">
        <f t="shared" si="60"/>
        <v>0</v>
      </c>
      <c r="J228" s="146">
        <f t="shared" si="61"/>
        <v>0</v>
      </c>
      <c r="K228" s="146">
        <f t="shared" si="62"/>
        <v>0</v>
      </c>
      <c r="L228" s="147">
        <f t="shared" si="75"/>
        <v>0</v>
      </c>
      <c r="M228" s="147">
        <f t="shared" si="63"/>
        <v>0</v>
      </c>
      <c r="N228" s="147">
        <f t="shared" si="64"/>
        <v>0</v>
      </c>
      <c r="O228" s="147">
        <f t="shared" si="65"/>
        <v>1</v>
      </c>
      <c r="P228" s="147">
        <f t="shared" si="66"/>
        <v>0</v>
      </c>
      <c r="Q228" s="147">
        <f t="shared" si="67"/>
        <v>0</v>
      </c>
      <c r="R228" s="147">
        <f t="shared" si="68"/>
        <v>0</v>
      </c>
      <c r="S228" s="147">
        <f t="shared" si="69"/>
        <v>0</v>
      </c>
      <c r="T228" s="147">
        <f t="shared" si="70"/>
        <v>0</v>
      </c>
      <c r="U228" s="147">
        <f t="shared" si="71"/>
        <v>0</v>
      </c>
      <c r="V228" s="147">
        <f t="shared" si="72"/>
        <v>0</v>
      </c>
      <c r="W228" s="129">
        <v>0</v>
      </c>
      <c r="X228" s="144" t="str">
        <f t="shared" si="73"/>
        <v>WEEKDAY</v>
      </c>
      <c r="Y228" s="148">
        <v>4.2333333333333334</v>
      </c>
      <c r="Z228" s="144" t="s">
        <v>55</v>
      </c>
      <c r="AA228" s="149">
        <v>858</v>
      </c>
      <c r="AB228" s="149">
        <v>167.286216</v>
      </c>
      <c r="AC228" s="149">
        <v>202.6771653543307</v>
      </c>
      <c r="AD228" s="156">
        <v>39.516428976377952</v>
      </c>
      <c r="AE228" s="149" t="str">
        <f>IFERROR(_xlfn.XLOOKUP(DATA_MASTER[[#This Row],[DATE]],RODEO[DATE],RODEO[ARTIST]),"")</f>
        <v/>
      </c>
      <c r="AF228" s="172">
        <f>IF(DATA_MASTER[[#This Row],[RODEO_ARTIST]]="",0,1)</f>
        <v>0</v>
      </c>
      <c r="AG228" t="str">
        <f>IFERROR(RIGHT(_xlfn.XLOOKUP(DATA_MASTER[[#This Row],[DATE]],ASTROS[DATE],ASTROS[OPPONENT]),LEN(_xlfn.XLOOKUP(DATA_MASTER[[#This Row],[DATE]],ASTROS[DATE],ASTROS[OPPONENT]))-3),"NO GAME")</f>
        <v>Toronto Blue Jays</v>
      </c>
      <c r="AH228">
        <f>IF(DATA_MASTER[[#This Row],[ASTROS_GAME]]="NO GAME",0,1)</f>
        <v>1</v>
      </c>
      <c r="AI228">
        <f>_xlfn.XLOOKUP(DATA_MASTER[[#This Row],[DATE]],WEATHER[DATE],WEATHER[tempmax])</f>
        <v>78.900000000000006</v>
      </c>
      <c r="AJ228">
        <f>_xlfn.XLOOKUP(DATA_MASTER[[#This Row],[DATE]],WEATHER[DATE],WEATHER[precip])</f>
        <v>0</v>
      </c>
    </row>
    <row r="229" spans="1:36" x14ac:dyDescent="0.35">
      <c r="A229" s="155">
        <v>45384</v>
      </c>
      <c r="B229" s="144" t="s">
        <v>46</v>
      </c>
      <c r="C229" s="144" t="s">
        <v>52</v>
      </c>
      <c r="D229" s="144" t="s">
        <v>63</v>
      </c>
      <c r="E229" s="145">
        <f t="shared" si="74"/>
        <v>1</v>
      </c>
      <c r="F229" s="146">
        <f t="shared" si="57"/>
        <v>0</v>
      </c>
      <c r="G229" s="146">
        <f t="shared" si="58"/>
        <v>0</v>
      </c>
      <c r="H229" s="146">
        <f t="shared" si="59"/>
        <v>0</v>
      </c>
      <c r="I229" s="146">
        <f t="shared" si="60"/>
        <v>0</v>
      </c>
      <c r="J229" s="146">
        <f t="shared" si="61"/>
        <v>0</v>
      </c>
      <c r="K229" s="146">
        <f t="shared" si="62"/>
        <v>0</v>
      </c>
      <c r="L229" s="147">
        <f t="shared" si="75"/>
        <v>0</v>
      </c>
      <c r="M229" s="147">
        <f t="shared" si="63"/>
        <v>0</v>
      </c>
      <c r="N229" s="147">
        <f t="shared" si="64"/>
        <v>0</v>
      </c>
      <c r="O229" s="147">
        <f t="shared" si="65"/>
        <v>1</v>
      </c>
      <c r="P229" s="147">
        <f t="shared" si="66"/>
        <v>0</v>
      </c>
      <c r="Q229" s="147">
        <f t="shared" si="67"/>
        <v>0</v>
      </c>
      <c r="R229" s="147">
        <f t="shared" si="68"/>
        <v>0</v>
      </c>
      <c r="S229" s="147">
        <f t="shared" si="69"/>
        <v>0</v>
      </c>
      <c r="T229" s="147">
        <f t="shared" si="70"/>
        <v>0</v>
      </c>
      <c r="U229" s="147">
        <f t="shared" si="71"/>
        <v>0</v>
      </c>
      <c r="V229" s="147">
        <f t="shared" si="72"/>
        <v>0</v>
      </c>
      <c r="W229" s="129">
        <v>0</v>
      </c>
      <c r="X229" s="144" t="str">
        <f t="shared" si="73"/>
        <v>WEEKDAY</v>
      </c>
      <c r="Y229" s="148">
        <v>6.166666666666667</v>
      </c>
      <c r="Z229" s="144" t="s">
        <v>45</v>
      </c>
      <c r="AA229" s="149">
        <v>1193.5</v>
      </c>
      <c r="AB229" s="149">
        <v>212.50799999999998</v>
      </c>
      <c r="AC229" s="149">
        <v>193.54054054054052</v>
      </c>
      <c r="AD229" s="156">
        <v>34.460756756756751</v>
      </c>
      <c r="AE229" s="149" t="str">
        <f>IFERROR(_xlfn.XLOOKUP(DATA_MASTER[[#This Row],[DATE]],RODEO[DATE],RODEO[ARTIST]),"")</f>
        <v/>
      </c>
      <c r="AF229" s="172">
        <f>IF(DATA_MASTER[[#This Row],[RODEO_ARTIST]]="",0,1)</f>
        <v>0</v>
      </c>
      <c r="AG229" t="str">
        <f>IFERROR(RIGHT(_xlfn.XLOOKUP(DATA_MASTER[[#This Row],[DATE]],ASTROS[DATE],ASTROS[OPPONENT]),LEN(_xlfn.XLOOKUP(DATA_MASTER[[#This Row],[DATE]],ASTROS[DATE],ASTROS[OPPONENT]))-3),"NO GAME")</f>
        <v>Toronto Blue Jays</v>
      </c>
      <c r="AH229">
        <f>IF(DATA_MASTER[[#This Row],[ASTROS_GAME]]="NO GAME",0,1)</f>
        <v>1</v>
      </c>
      <c r="AI229">
        <f>_xlfn.XLOOKUP(DATA_MASTER[[#This Row],[DATE]],WEATHER[DATE],WEATHER[tempmax])</f>
        <v>82.5</v>
      </c>
      <c r="AJ229">
        <f>_xlfn.XLOOKUP(DATA_MASTER[[#This Row],[DATE]],WEATHER[DATE],WEATHER[precip])</f>
        <v>0</v>
      </c>
    </row>
    <row r="230" spans="1:36" x14ac:dyDescent="0.35">
      <c r="A230" s="155">
        <v>45385</v>
      </c>
      <c r="B230" s="144" t="s">
        <v>42</v>
      </c>
      <c r="C230" s="144" t="s">
        <v>44</v>
      </c>
      <c r="D230" s="144" t="s">
        <v>63</v>
      </c>
      <c r="E230" s="145">
        <f t="shared" si="74"/>
        <v>0</v>
      </c>
      <c r="F230" s="146">
        <f t="shared" si="57"/>
        <v>0</v>
      </c>
      <c r="G230" s="146">
        <f t="shared" si="58"/>
        <v>0</v>
      </c>
      <c r="H230" s="146">
        <f t="shared" si="59"/>
        <v>1</v>
      </c>
      <c r="I230" s="146">
        <f t="shared" si="60"/>
        <v>0</v>
      </c>
      <c r="J230" s="146">
        <f t="shared" si="61"/>
        <v>0</v>
      </c>
      <c r="K230" s="146">
        <f t="shared" si="62"/>
        <v>0</v>
      </c>
      <c r="L230" s="147">
        <f t="shared" si="75"/>
        <v>0</v>
      </c>
      <c r="M230" s="147">
        <f t="shared" si="63"/>
        <v>0</v>
      </c>
      <c r="N230" s="147">
        <f t="shared" si="64"/>
        <v>0</v>
      </c>
      <c r="O230" s="147">
        <f t="shared" si="65"/>
        <v>1</v>
      </c>
      <c r="P230" s="147">
        <f t="shared" si="66"/>
        <v>0</v>
      </c>
      <c r="Q230" s="147">
        <f t="shared" si="67"/>
        <v>0</v>
      </c>
      <c r="R230" s="147">
        <f t="shared" si="68"/>
        <v>0</v>
      </c>
      <c r="S230" s="147">
        <f t="shared" si="69"/>
        <v>0</v>
      </c>
      <c r="T230" s="147">
        <f t="shared" si="70"/>
        <v>0</v>
      </c>
      <c r="U230" s="147">
        <f t="shared" si="71"/>
        <v>0</v>
      </c>
      <c r="V230" s="147">
        <f t="shared" si="72"/>
        <v>0</v>
      </c>
      <c r="W230" s="129">
        <v>0</v>
      </c>
      <c r="X230" s="144" t="str">
        <f t="shared" si="73"/>
        <v>WEEKDAY</v>
      </c>
      <c r="Y230" s="148">
        <v>3.75</v>
      </c>
      <c r="Z230" s="144" t="s">
        <v>55</v>
      </c>
      <c r="AA230" s="149">
        <v>591</v>
      </c>
      <c r="AB230" s="149">
        <v>90.533100000000005</v>
      </c>
      <c r="AC230" s="149">
        <v>157.6</v>
      </c>
      <c r="AD230" s="156">
        <v>24.142160000000001</v>
      </c>
      <c r="AE230" s="149" t="str">
        <f>IFERROR(_xlfn.XLOOKUP(DATA_MASTER[[#This Row],[DATE]],RODEO[DATE],RODEO[ARTIST]),"")</f>
        <v/>
      </c>
      <c r="AF230" s="172">
        <f>IF(DATA_MASTER[[#This Row],[RODEO_ARTIST]]="",0,1)</f>
        <v>0</v>
      </c>
      <c r="AG230" t="str">
        <f>IFERROR(RIGHT(_xlfn.XLOOKUP(DATA_MASTER[[#This Row],[DATE]],ASTROS[DATE],ASTROS[OPPONENT]),LEN(_xlfn.XLOOKUP(DATA_MASTER[[#This Row],[DATE]],ASTROS[DATE],ASTROS[OPPONENT]))-3),"NO GAME")</f>
        <v>Toronto Blue Jays</v>
      </c>
      <c r="AH230">
        <f>IF(DATA_MASTER[[#This Row],[ASTROS_GAME]]="NO GAME",0,1)</f>
        <v>1</v>
      </c>
      <c r="AI230">
        <f>_xlfn.XLOOKUP(DATA_MASTER[[#This Row],[DATE]],WEATHER[DATE],WEATHER[tempmax])</f>
        <v>75.3</v>
      </c>
      <c r="AJ230">
        <f>_xlfn.XLOOKUP(DATA_MASTER[[#This Row],[DATE]],WEATHER[DATE],WEATHER[precip])</f>
        <v>0</v>
      </c>
    </row>
    <row r="231" spans="1:36" x14ac:dyDescent="0.35">
      <c r="A231" s="155">
        <v>45385</v>
      </c>
      <c r="B231" s="144" t="s">
        <v>46</v>
      </c>
      <c r="C231" s="144" t="s">
        <v>44</v>
      </c>
      <c r="D231" s="144" t="s">
        <v>63</v>
      </c>
      <c r="E231" s="145">
        <f t="shared" si="74"/>
        <v>1</v>
      </c>
      <c r="F231" s="146">
        <f t="shared" si="57"/>
        <v>0</v>
      </c>
      <c r="G231" s="146">
        <f t="shared" si="58"/>
        <v>0</v>
      </c>
      <c r="H231" s="146">
        <f t="shared" si="59"/>
        <v>1</v>
      </c>
      <c r="I231" s="146">
        <f t="shared" si="60"/>
        <v>0</v>
      </c>
      <c r="J231" s="146">
        <f t="shared" si="61"/>
        <v>0</v>
      </c>
      <c r="K231" s="146">
        <f t="shared" si="62"/>
        <v>0</v>
      </c>
      <c r="L231" s="147">
        <f t="shared" si="75"/>
        <v>0</v>
      </c>
      <c r="M231" s="147">
        <f t="shared" si="63"/>
        <v>0</v>
      </c>
      <c r="N231" s="147">
        <f t="shared" si="64"/>
        <v>0</v>
      </c>
      <c r="O231" s="147">
        <f t="shared" si="65"/>
        <v>1</v>
      </c>
      <c r="P231" s="147">
        <f t="shared" si="66"/>
        <v>0</v>
      </c>
      <c r="Q231" s="147">
        <f t="shared" si="67"/>
        <v>0</v>
      </c>
      <c r="R231" s="147">
        <f t="shared" si="68"/>
        <v>0</v>
      </c>
      <c r="S231" s="147">
        <f t="shared" si="69"/>
        <v>0</v>
      </c>
      <c r="T231" s="147">
        <f t="shared" si="70"/>
        <v>0</v>
      </c>
      <c r="U231" s="147">
        <f t="shared" si="71"/>
        <v>0</v>
      </c>
      <c r="V231" s="147">
        <f t="shared" si="72"/>
        <v>0</v>
      </c>
      <c r="W231" s="129">
        <v>0</v>
      </c>
      <c r="X231" s="144" t="str">
        <f t="shared" si="73"/>
        <v>WEEKDAY</v>
      </c>
      <c r="Y231" s="148">
        <v>3.25</v>
      </c>
      <c r="Z231" s="144" t="s">
        <v>55</v>
      </c>
      <c r="AA231" s="149">
        <v>368</v>
      </c>
      <c r="AB231" s="149">
        <v>63.631980000000006</v>
      </c>
      <c r="AC231" s="149">
        <v>113.23076923076923</v>
      </c>
      <c r="AD231" s="156">
        <v>19.579070769230771</v>
      </c>
      <c r="AE231" s="149" t="str">
        <f>IFERROR(_xlfn.XLOOKUP(DATA_MASTER[[#This Row],[DATE]],RODEO[DATE],RODEO[ARTIST]),"")</f>
        <v/>
      </c>
      <c r="AF231" s="172">
        <f>IF(DATA_MASTER[[#This Row],[RODEO_ARTIST]]="",0,1)</f>
        <v>0</v>
      </c>
      <c r="AG231" t="str">
        <f>IFERROR(RIGHT(_xlfn.XLOOKUP(DATA_MASTER[[#This Row],[DATE]],ASTROS[DATE],ASTROS[OPPONENT]),LEN(_xlfn.XLOOKUP(DATA_MASTER[[#This Row],[DATE]],ASTROS[DATE],ASTROS[OPPONENT]))-3),"NO GAME")</f>
        <v>Toronto Blue Jays</v>
      </c>
      <c r="AH231">
        <f>IF(DATA_MASTER[[#This Row],[ASTROS_GAME]]="NO GAME",0,1)</f>
        <v>1</v>
      </c>
      <c r="AI231">
        <f>_xlfn.XLOOKUP(DATA_MASTER[[#This Row],[DATE]],WEATHER[DATE],WEATHER[tempmax])</f>
        <v>75.3</v>
      </c>
      <c r="AJ231">
        <f>_xlfn.XLOOKUP(DATA_MASTER[[#This Row],[DATE]],WEATHER[DATE],WEATHER[precip])</f>
        <v>0</v>
      </c>
    </row>
    <row r="232" spans="1:36" x14ac:dyDescent="0.35">
      <c r="A232" s="155">
        <v>45387</v>
      </c>
      <c r="B232" s="144" t="s">
        <v>46</v>
      </c>
      <c r="C232" s="144" t="s">
        <v>48</v>
      </c>
      <c r="D232" s="144" t="s">
        <v>63</v>
      </c>
      <c r="E232" s="145">
        <f t="shared" si="74"/>
        <v>1</v>
      </c>
      <c r="F232" s="146">
        <f t="shared" si="57"/>
        <v>0</v>
      </c>
      <c r="G232" s="146">
        <f t="shared" si="58"/>
        <v>0</v>
      </c>
      <c r="H232" s="146">
        <f t="shared" si="59"/>
        <v>0</v>
      </c>
      <c r="I232" s="146">
        <f t="shared" si="60"/>
        <v>0</v>
      </c>
      <c r="J232" s="146">
        <f t="shared" si="61"/>
        <v>1</v>
      </c>
      <c r="K232" s="146">
        <f t="shared" si="62"/>
        <v>0</v>
      </c>
      <c r="L232" s="147">
        <f t="shared" si="75"/>
        <v>0</v>
      </c>
      <c r="M232" s="147">
        <f t="shared" si="63"/>
        <v>0</v>
      </c>
      <c r="N232" s="147">
        <f t="shared" si="64"/>
        <v>0</v>
      </c>
      <c r="O232" s="147">
        <f t="shared" si="65"/>
        <v>1</v>
      </c>
      <c r="P232" s="147">
        <f t="shared" si="66"/>
        <v>0</v>
      </c>
      <c r="Q232" s="147">
        <f t="shared" si="67"/>
        <v>0</v>
      </c>
      <c r="R232" s="147">
        <f t="shared" si="68"/>
        <v>0</v>
      </c>
      <c r="S232" s="147">
        <f t="shared" si="69"/>
        <v>0</v>
      </c>
      <c r="T232" s="147">
        <f t="shared" si="70"/>
        <v>0</v>
      </c>
      <c r="U232" s="147">
        <f t="shared" si="71"/>
        <v>0</v>
      </c>
      <c r="V232" s="147">
        <f t="shared" si="72"/>
        <v>0</v>
      </c>
      <c r="W232" s="129">
        <v>1</v>
      </c>
      <c r="X232" s="144" t="str">
        <f t="shared" si="73"/>
        <v>WEEKEND</v>
      </c>
      <c r="Y232" s="148">
        <v>6.583333333333333</v>
      </c>
      <c r="Z232" s="144" t="s">
        <v>45</v>
      </c>
      <c r="AA232" s="149">
        <v>1198</v>
      </c>
      <c r="AB232" s="149">
        <v>198.61344399999999</v>
      </c>
      <c r="AC232" s="149">
        <v>181.97468354430382</v>
      </c>
      <c r="AD232" s="156">
        <v>30.169130734177216</v>
      </c>
      <c r="AE232" s="149" t="str">
        <f>IFERROR(_xlfn.XLOOKUP(DATA_MASTER[[#This Row],[DATE]],RODEO[DATE],RODEO[ARTIST]),"")</f>
        <v/>
      </c>
      <c r="AF232" s="172">
        <f>IF(DATA_MASTER[[#This Row],[RODEO_ARTIST]]="",0,1)</f>
        <v>0</v>
      </c>
      <c r="AG232" t="str">
        <f>IFERROR(RIGHT(_xlfn.XLOOKUP(DATA_MASTER[[#This Row],[DATE]],ASTROS[DATE],ASTROS[OPPONENT]),LEN(_xlfn.XLOOKUP(DATA_MASTER[[#This Row],[DATE]],ASTROS[DATE],ASTROS[OPPONENT]))-3),"NO GAME")</f>
        <v>NO GAME</v>
      </c>
      <c r="AH232">
        <f>IF(DATA_MASTER[[#This Row],[ASTROS_GAME]]="NO GAME",0,1)</f>
        <v>0</v>
      </c>
      <c r="AI232">
        <f>_xlfn.XLOOKUP(DATA_MASTER[[#This Row],[DATE]],WEATHER[DATE],WEATHER[tempmax])</f>
        <v>82.5</v>
      </c>
      <c r="AJ232">
        <f>_xlfn.XLOOKUP(DATA_MASTER[[#This Row],[DATE]],WEATHER[DATE],WEATHER[precip])</f>
        <v>0</v>
      </c>
    </row>
    <row r="233" spans="1:36" x14ac:dyDescent="0.35">
      <c r="A233" s="155">
        <v>45389</v>
      </c>
      <c r="B233" s="144" t="s">
        <v>46</v>
      </c>
      <c r="C233" s="144" t="s">
        <v>50</v>
      </c>
      <c r="D233" s="144" t="s">
        <v>63</v>
      </c>
      <c r="E233" s="145">
        <f t="shared" si="74"/>
        <v>1</v>
      </c>
      <c r="F233" s="146">
        <f t="shared" si="57"/>
        <v>1</v>
      </c>
      <c r="G233" s="146">
        <f t="shared" si="58"/>
        <v>0</v>
      </c>
      <c r="H233" s="146">
        <f t="shared" si="59"/>
        <v>0</v>
      </c>
      <c r="I233" s="146">
        <f t="shared" si="60"/>
        <v>0</v>
      </c>
      <c r="J233" s="146">
        <f t="shared" si="61"/>
        <v>0</v>
      </c>
      <c r="K233" s="146">
        <f t="shared" si="62"/>
        <v>0</v>
      </c>
      <c r="L233" s="147">
        <f t="shared" si="75"/>
        <v>0</v>
      </c>
      <c r="M233" s="147">
        <f t="shared" si="63"/>
        <v>0</v>
      </c>
      <c r="N233" s="147">
        <f t="shared" si="64"/>
        <v>0</v>
      </c>
      <c r="O233" s="147">
        <f t="shared" si="65"/>
        <v>1</v>
      </c>
      <c r="P233" s="147">
        <f t="shared" si="66"/>
        <v>0</v>
      </c>
      <c r="Q233" s="147">
        <f t="shared" si="67"/>
        <v>0</v>
      </c>
      <c r="R233" s="147">
        <f t="shared" si="68"/>
        <v>0</v>
      </c>
      <c r="S233" s="147">
        <f t="shared" si="69"/>
        <v>0</v>
      </c>
      <c r="T233" s="147">
        <f t="shared" si="70"/>
        <v>0</v>
      </c>
      <c r="U233" s="147">
        <f t="shared" si="71"/>
        <v>0</v>
      </c>
      <c r="V233" s="147">
        <f t="shared" si="72"/>
        <v>0</v>
      </c>
      <c r="W233" s="129">
        <v>1</v>
      </c>
      <c r="X233" s="144" t="str">
        <f t="shared" si="73"/>
        <v>WEEKEND</v>
      </c>
      <c r="Y233" s="148">
        <v>5.8666666666666663</v>
      </c>
      <c r="Z233" s="144" t="s">
        <v>45</v>
      </c>
      <c r="AA233" s="149">
        <v>975</v>
      </c>
      <c r="AB233" s="149">
        <v>147.77316000000002</v>
      </c>
      <c r="AC233" s="149">
        <v>166.19318181818184</v>
      </c>
      <c r="AD233" s="156">
        <v>25.188606818181825</v>
      </c>
      <c r="AE233" s="149" t="str">
        <f>IFERROR(_xlfn.XLOOKUP(DATA_MASTER[[#This Row],[DATE]],RODEO[DATE],RODEO[ARTIST]),"")</f>
        <v/>
      </c>
      <c r="AF233" s="172">
        <f>IF(DATA_MASTER[[#This Row],[RODEO_ARTIST]]="",0,1)</f>
        <v>0</v>
      </c>
      <c r="AG233" t="str">
        <f>IFERROR(RIGHT(_xlfn.XLOOKUP(DATA_MASTER[[#This Row],[DATE]],ASTROS[DATE],ASTROS[OPPONENT]),LEN(_xlfn.XLOOKUP(DATA_MASTER[[#This Row],[DATE]],ASTROS[DATE],ASTROS[OPPONENT]))-3),"NO GAME")</f>
        <v>NO GAME</v>
      </c>
      <c r="AH233">
        <f>IF(DATA_MASTER[[#This Row],[ASTROS_GAME]]="NO GAME",0,1)</f>
        <v>0</v>
      </c>
      <c r="AI233">
        <f>_xlfn.XLOOKUP(DATA_MASTER[[#This Row],[DATE]],WEATHER[DATE],WEATHER[tempmax])</f>
        <v>84.1</v>
      </c>
      <c r="AJ233">
        <f>_xlfn.XLOOKUP(DATA_MASTER[[#This Row],[DATE]],WEATHER[DATE],WEATHER[precip])</f>
        <v>0</v>
      </c>
    </row>
    <row r="234" spans="1:36" x14ac:dyDescent="0.35">
      <c r="A234" s="155">
        <v>45390</v>
      </c>
      <c r="B234" s="144" t="s">
        <v>42</v>
      </c>
      <c r="C234" s="144" t="s">
        <v>51</v>
      </c>
      <c r="D234" s="144" t="s">
        <v>63</v>
      </c>
      <c r="E234" s="145">
        <f t="shared" si="74"/>
        <v>0</v>
      </c>
      <c r="F234" s="146">
        <f t="shared" si="57"/>
        <v>0</v>
      </c>
      <c r="G234" s="146">
        <f t="shared" si="58"/>
        <v>1</v>
      </c>
      <c r="H234" s="146">
        <f t="shared" si="59"/>
        <v>0</v>
      </c>
      <c r="I234" s="146">
        <f t="shared" si="60"/>
        <v>0</v>
      </c>
      <c r="J234" s="146">
        <f t="shared" si="61"/>
        <v>0</v>
      </c>
      <c r="K234" s="146">
        <f t="shared" si="62"/>
        <v>0</v>
      </c>
      <c r="L234" s="147">
        <f t="shared" si="75"/>
        <v>0</v>
      </c>
      <c r="M234" s="147">
        <f t="shared" si="63"/>
        <v>0</v>
      </c>
      <c r="N234" s="147">
        <f t="shared" si="64"/>
        <v>0</v>
      </c>
      <c r="O234" s="147">
        <f t="shared" si="65"/>
        <v>1</v>
      </c>
      <c r="P234" s="147">
        <f t="shared" si="66"/>
        <v>0</v>
      </c>
      <c r="Q234" s="147">
        <f t="shared" si="67"/>
        <v>0</v>
      </c>
      <c r="R234" s="147">
        <f t="shared" si="68"/>
        <v>0</v>
      </c>
      <c r="S234" s="147">
        <f t="shared" si="69"/>
        <v>0</v>
      </c>
      <c r="T234" s="147">
        <f t="shared" si="70"/>
        <v>0</v>
      </c>
      <c r="U234" s="147">
        <f t="shared" si="71"/>
        <v>0</v>
      </c>
      <c r="V234" s="147">
        <f t="shared" si="72"/>
        <v>0</v>
      </c>
      <c r="W234" s="129">
        <v>0</v>
      </c>
      <c r="X234" s="144" t="str">
        <f t="shared" si="73"/>
        <v>WEEKDAY</v>
      </c>
      <c r="Y234" s="148">
        <v>1.5166666666666666</v>
      </c>
      <c r="Z234" s="144" t="s">
        <v>55</v>
      </c>
      <c r="AA234" s="149">
        <v>99</v>
      </c>
      <c r="AB234" s="149">
        <v>17.499027999999999</v>
      </c>
      <c r="AC234" s="149">
        <v>65.27472527472527</v>
      </c>
      <c r="AD234" s="156">
        <v>11.537820659340658</v>
      </c>
      <c r="AE234" s="149" t="str">
        <f>IFERROR(_xlfn.XLOOKUP(DATA_MASTER[[#This Row],[DATE]],RODEO[DATE],RODEO[ARTIST]),"")</f>
        <v/>
      </c>
      <c r="AF234" s="172">
        <f>IF(DATA_MASTER[[#This Row],[RODEO_ARTIST]]="",0,1)</f>
        <v>0</v>
      </c>
      <c r="AG234" t="str">
        <f>IFERROR(RIGHT(_xlfn.XLOOKUP(DATA_MASTER[[#This Row],[DATE]],ASTROS[DATE],ASTROS[OPPONENT]),LEN(_xlfn.XLOOKUP(DATA_MASTER[[#This Row],[DATE]],ASTROS[DATE],ASTROS[OPPONENT]))-3),"NO GAME")</f>
        <v>NO GAME</v>
      </c>
      <c r="AH234">
        <f>IF(DATA_MASTER[[#This Row],[ASTROS_GAME]]="NO GAME",0,1)</f>
        <v>0</v>
      </c>
      <c r="AI234">
        <f>_xlfn.XLOOKUP(DATA_MASTER[[#This Row],[DATE]],WEATHER[DATE],WEATHER[tempmax])</f>
        <v>77.099999999999994</v>
      </c>
      <c r="AJ234">
        <f>_xlfn.XLOOKUP(DATA_MASTER[[#This Row],[DATE]],WEATHER[DATE],WEATHER[precip])</f>
        <v>1.2E-2</v>
      </c>
    </row>
    <row r="235" spans="1:36" x14ac:dyDescent="0.35">
      <c r="A235" s="155">
        <v>45390</v>
      </c>
      <c r="B235" s="144" t="s">
        <v>46</v>
      </c>
      <c r="C235" s="144" t="s">
        <v>51</v>
      </c>
      <c r="D235" s="144" t="s">
        <v>63</v>
      </c>
      <c r="E235" s="145">
        <f t="shared" si="74"/>
        <v>1</v>
      </c>
      <c r="F235" s="146">
        <f t="shared" si="57"/>
        <v>0</v>
      </c>
      <c r="G235" s="146">
        <f t="shared" si="58"/>
        <v>1</v>
      </c>
      <c r="H235" s="146">
        <f t="shared" si="59"/>
        <v>0</v>
      </c>
      <c r="I235" s="146">
        <f t="shared" si="60"/>
        <v>0</v>
      </c>
      <c r="J235" s="146">
        <f t="shared" si="61"/>
        <v>0</v>
      </c>
      <c r="K235" s="146">
        <f t="shared" si="62"/>
        <v>0</v>
      </c>
      <c r="L235" s="147">
        <f t="shared" si="75"/>
        <v>0</v>
      </c>
      <c r="M235" s="147">
        <f t="shared" si="63"/>
        <v>0</v>
      </c>
      <c r="N235" s="147">
        <f t="shared" si="64"/>
        <v>0</v>
      </c>
      <c r="O235" s="147">
        <f t="shared" si="65"/>
        <v>1</v>
      </c>
      <c r="P235" s="147">
        <f t="shared" si="66"/>
        <v>0</v>
      </c>
      <c r="Q235" s="147">
        <f t="shared" si="67"/>
        <v>0</v>
      </c>
      <c r="R235" s="147">
        <f t="shared" si="68"/>
        <v>0</v>
      </c>
      <c r="S235" s="147">
        <f t="shared" si="69"/>
        <v>0</v>
      </c>
      <c r="T235" s="147">
        <f t="shared" si="70"/>
        <v>0</v>
      </c>
      <c r="U235" s="147">
        <f t="shared" si="71"/>
        <v>0</v>
      </c>
      <c r="V235" s="147">
        <f t="shared" si="72"/>
        <v>0</v>
      </c>
      <c r="W235" s="129">
        <v>0</v>
      </c>
      <c r="X235" s="144" t="str">
        <f t="shared" si="73"/>
        <v>WEEKDAY</v>
      </c>
      <c r="Y235" s="148">
        <v>3.8166666666666669</v>
      </c>
      <c r="Z235" s="144" t="s">
        <v>55</v>
      </c>
      <c r="AA235" s="149">
        <v>594</v>
      </c>
      <c r="AB235" s="149">
        <v>106.895884</v>
      </c>
      <c r="AC235" s="149">
        <v>155.63318777292577</v>
      </c>
      <c r="AD235" s="156">
        <v>28.007655196506548</v>
      </c>
      <c r="AE235" s="149" t="str">
        <f>IFERROR(_xlfn.XLOOKUP(DATA_MASTER[[#This Row],[DATE]],RODEO[DATE],RODEO[ARTIST]),"")</f>
        <v/>
      </c>
      <c r="AF235" s="172">
        <f>IF(DATA_MASTER[[#This Row],[RODEO_ARTIST]]="",0,1)</f>
        <v>0</v>
      </c>
      <c r="AG235" t="str">
        <f>IFERROR(RIGHT(_xlfn.XLOOKUP(DATA_MASTER[[#This Row],[DATE]],ASTROS[DATE],ASTROS[OPPONENT]),LEN(_xlfn.XLOOKUP(DATA_MASTER[[#This Row],[DATE]],ASTROS[DATE],ASTROS[OPPONENT]))-3),"NO GAME")</f>
        <v>NO GAME</v>
      </c>
      <c r="AH235">
        <f>IF(DATA_MASTER[[#This Row],[ASTROS_GAME]]="NO GAME",0,1)</f>
        <v>0</v>
      </c>
      <c r="AI235">
        <f>_xlfn.XLOOKUP(DATA_MASTER[[#This Row],[DATE]],WEATHER[DATE],WEATHER[tempmax])</f>
        <v>77.099999999999994</v>
      </c>
      <c r="AJ235">
        <f>_xlfn.XLOOKUP(DATA_MASTER[[#This Row],[DATE]],WEATHER[DATE],WEATHER[precip])</f>
        <v>1.2E-2</v>
      </c>
    </row>
    <row r="236" spans="1:36" x14ac:dyDescent="0.35">
      <c r="A236" s="155">
        <v>45392</v>
      </c>
      <c r="B236" s="144" t="s">
        <v>42</v>
      </c>
      <c r="C236" s="144" t="s">
        <v>44</v>
      </c>
      <c r="D236" s="144" t="s">
        <v>63</v>
      </c>
      <c r="E236" s="145">
        <f t="shared" si="74"/>
        <v>0</v>
      </c>
      <c r="F236" s="146">
        <f t="shared" si="57"/>
        <v>0</v>
      </c>
      <c r="G236" s="146">
        <f t="shared" si="58"/>
        <v>0</v>
      </c>
      <c r="H236" s="146">
        <f t="shared" si="59"/>
        <v>1</v>
      </c>
      <c r="I236" s="146">
        <f t="shared" si="60"/>
        <v>0</v>
      </c>
      <c r="J236" s="146">
        <f t="shared" si="61"/>
        <v>0</v>
      </c>
      <c r="K236" s="146">
        <f t="shared" si="62"/>
        <v>0</v>
      </c>
      <c r="L236" s="147">
        <f t="shared" si="75"/>
        <v>0</v>
      </c>
      <c r="M236" s="147">
        <f t="shared" si="63"/>
        <v>0</v>
      </c>
      <c r="N236" s="147">
        <f t="shared" si="64"/>
        <v>0</v>
      </c>
      <c r="O236" s="147">
        <f t="shared" si="65"/>
        <v>1</v>
      </c>
      <c r="P236" s="147">
        <f t="shared" si="66"/>
        <v>0</v>
      </c>
      <c r="Q236" s="147">
        <f t="shared" si="67"/>
        <v>0</v>
      </c>
      <c r="R236" s="147">
        <f t="shared" si="68"/>
        <v>0</v>
      </c>
      <c r="S236" s="147">
        <f t="shared" si="69"/>
        <v>0</v>
      </c>
      <c r="T236" s="147">
        <f t="shared" si="70"/>
        <v>0</v>
      </c>
      <c r="U236" s="147">
        <f t="shared" si="71"/>
        <v>0</v>
      </c>
      <c r="V236" s="147">
        <f t="shared" si="72"/>
        <v>0</v>
      </c>
      <c r="W236" s="129">
        <v>0</v>
      </c>
      <c r="X236" s="144" t="str">
        <f t="shared" si="73"/>
        <v>WEEKDAY</v>
      </c>
      <c r="Y236" s="148">
        <v>3.0833333333333335</v>
      </c>
      <c r="Z236" s="144" t="s">
        <v>55</v>
      </c>
      <c r="AA236" s="149">
        <v>319</v>
      </c>
      <c r="AB236" s="149">
        <v>56.53566</v>
      </c>
      <c r="AC236" s="149">
        <v>103.45945945945945</v>
      </c>
      <c r="AD236" s="156">
        <v>18.335889729729729</v>
      </c>
      <c r="AE236" s="149" t="str">
        <f>IFERROR(_xlfn.XLOOKUP(DATA_MASTER[[#This Row],[DATE]],RODEO[DATE],RODEO[ARTIST]),"")</f>
        <v/>
      </c>
      <c r="AF236" s="172">
        <f>IF(DATA_MASTER[[#This Row],[RODEO_ARTIST]]="",0,1)</f>
        <v>0</v>
      </c>
      <c r="AG236" t="str">
        <f>IFERROR(RIGHT(_xlfn.XLOOKUP(DATA_MASTER[[#This Row],[DATE]],ASTROS[DATE],ASTROS[OPPONENT]),LEN(_xlfn.XLOOKUP(DATA_MASTER[[#This Row],[DATE]],ASTROS[DATE],ASTROS[OPPONENT]))-3),"NO GAME")</f>
        <v>NO GAME</v>
      </c>
      <c r="AH236">
        <f>IF(DATA_MASTER[[#This Row],[ASTROS_GAME]]="NO GAME",0,1)</f>
        <v>0</v>
      </c>
      <c r="AI236">
        <f>_xlfn.XLOOKUP(DATA_MASTER[[#This Row],[DATE]],WEATHER[DATE],WEATHER[tempmax])</f>
        <v>73.400000000000006</v>
      </c>
      <c r="AJ236">
        <f>_xlfn.XLOOKUP(DATA_MASTER[[#This Row],[DATE]],WEATHER[DATE],WEATHER[precip])</f>
        <v>0.78400000000000003</v>
      </c>
    </row>
    <row r="237" spans="1:36" x14ac:dyDescent="0.35">
      <c r="A237" s="155">
        <v>45392</v>
      </c>
      <c r="B237" s="144" t="s">
        <v>46</v>
      </c>
      <c r="C237" s="144" t="s">
        <v>44</v>
      </c>
      <c r="D237" s="144" t="s">
        <v>63</v>
      </c>
      <c r="E237" s="145">
        <f t="shared" si="74"/>
        <v>1</v>
      </c>
      <c r="F237" s="146">
        <f t="shared" si="57"/>
        <v>0</v>
      </c>
      <c r="G237" s="146">
        <f t="shared" si="58"/>
        <v>0</v>
      </c>
      <c r="H237" s="146">
        <f t="shared" si="59"/>
        <v>1</v>
      </c>
      <c r="I237" s="146">
        <f t="shared" si="60"/>
        <v>0</v>
      </c>
      <c r="J237" s="146">
        <f t="shared" si="61"/>
        <v>0</v>
      </c>
      <c r="K237" s="146">
        <f t="shared" si="62"/>
        <v>0</v>
      </c>
      <c r="L237" s="147">
        <f t="shared" si="75"/>
        <v>0</v>
      </c>
      <c r="M237" s="147">
        <f t="shared" si="63"/>
        <v>0</v>
      </c>
      <c r="N237" s="147">
        <f t="shared" si="64"/>
        <v>0</v>
      </c>
      <c r="O237" s="147">
        <f t="shared" si="65"/>
        <v>1</v>
      </c>
      <c r="P237" s="147">
        <f t="shared" si="66"/>
        <v>0</v>
      </c>
      <c r="Q237" s="147">
        <f t="shared" si="67"/>
        <v>0</v>
      </c>
      <c r="R237" s="147">
        <f t="shared" si="68"/>
        <v>0</v>
      </c>
      <c r="S237" s="147">
        <f t="shared" si="69"/>
        <v>0</v>
      </c>
      <c r="T237" s="147">
        <f t="shared" si="70"/>
        <v>0</v>
      </c>
      <c r="U237" s="147">
        <f t="shared" si="71"/>
        <v>0</v>
      </c>
      <c r="V237" s="147">
        <f t="shared" si="72"/>
        <v>0</v>
      </c>
      <c r="W237" s="129">
        <v>0</v>
      </c>
      <c r="X237" s="144" t="str">
        <f t="shared" si="73"/>
        <v>WEEKDAY</v>
      </c>
      <c r="Y237" s="148">
        <v>4.3499999999999996</v>
      </c>
      <c r="Z237" s="144" t="s">
        <v>55</v>
      </c>
      <c r="AA237" s="149">
        <v>856</v>
      </c>
      <c r="AB237" s="149">
        <v>189.01321999999999</v>
      </c>
      <c r="AC237" s="149">
        <v>196.78160919540232</v>
      </c>
      <c r="AD237" s="156">
        <v>43.451314942528739</v>
      </c>
      <c r="AE237" s="149" t="str">
        <f>IFERROR(_xlfn.XLOOKUP(DATA_MASTER[[#This Row],[DATE]],RODEO[DATE],RODEO[ARTIST]),"")</f>
        <v/>
      </c>
      <c r="AF237" s="172">
        <f>IF(DATA_MASTER[[#This Row],[RODEO_ARTIST]]="",0,1)</f>
        <v>0</v>
      </c>
      <c r="AG237" t="str">
        <f>IFERROR(RIGHT(_xlfn.XLOOKUP(DATA_MASTER[[#This Row],[DATE]],ASTROS[DATE],ASTROS[OPPONENT]),LEN(_xlfn.XLOOKUP(DATA_MASTER[[#This Row],[DATE]],ASTROS[DATE],ASTROS[OPPONENT]))-3),"NO GAME")</f>
        <v>NO GAME</v>
      </c>
      <c r="AH237">
        <f>IF(DATA_MASTER[[#This Row],[ASTROS_GAME]]="NO GAME",0,1)</f>
        <v>0</v>
      </c>
      <c r="AI237">
        <f>_xlfn.XLOOKUP(DATA_MASTER[[#This Row],[DATE]],WEATHER[DATE],WEATHER[tempmax])</f>
        <v>73.400000000000006</v>
      </c>
      <c r="AJ237">
        <f>_xlfn.XLOOKUP(DATA_MASTER[[#This Row],[DATE]],WEATHER[DATE],WEATHER[precip])</f>
        <v>0.78400000000000003</v>
      </c>
    </row>
    <row r="238" spans="1:36" x14ac:dyDescent="0.35">
      <c r="A238" s="155">
        <v>45394</v>
      </c>
      <c r="B238" s="144" t="s">
        <v>42</v>
      </c>
      <c r="C238" s="144" t="s">
        <v>48</v>
      </c>
      <c r="D238" s="144" t="s">
        <v>63</v>
      </c>
      <c r="E238" s="145">
        <f t="shared" si="74"/>
        <v>0</v>
      </c>
      <c r="F238" s="146">
        <f t="shared" si="57"/>
        <v>0</v>
      </c>
      <c r="G238" s="146">
        <f t="shared" si="58"/>
        <v>0</v>
      </c>
      <c r="H238" s="146">
        <f t="shared" si="59"/>
        <v>0</v>
      </c>
      <c r="I238" s="146">
        <f t="shared" si="60"/>
        <v>0</v>
      </c>
      <c r="J238" s="146">
        <f t="shared" si="61"/>
        <v>1</v>
      </c>
      <c r="K238" s="146">
        <f t="shared" si="62"/>
        <v>0</v>
      </c>
      <c r="L238" s="147">
        <f t="shared" si="75"/>
        <v>0</v>
      </c>
      <c r="M238" s="147">
        <f t="shared" si="63"/>
        <v>0</v>
      </c>
      <c r="N238" s="147">
        <f t="shared" si="64"/>
        <v>0</v>
      </c>
      <c r="O238" s="147">
        <f t="shared" si="65"/>
        <v>1</v>
      </c>
      <c r="P238" s="147">
        <f t="shared" si="66"/>
        <v>0</v>
      </c>
      <c r="Q238" s="147">
        <f t="shared" si="67"/>
        <v>0</v>
      </c>
      <c r="R238" s="147">
        <f t="shared" si="68"/>
        <v>0</v>
      </c>
      <c r="S238" s="147">
        <f t="shared" si="69"/>
        <v>0</v>
      </c>
      <c r="T238" s="147">
        <f t="shared" si="70"/>
        <v>0</v>
      </c>
      <c r="U238" s="147">
        <f t="shared" si="71"/>
        <v>0</v>
      </c>
      <c r="V238" s="147">
        <f t="shared" si="72"/>
        <v>0</v>
      </c>
      <c r="W238" s="129">
        <v>0</v>
      </c>
      <c r="X238" s="144" t="str">
        <f t="shared" si="73"/>
        <v>WEEKDAY</v>
      </c>
      <c r="Y238" s="148">
        <v>3.15</v>
      </c>
      <c r="Z238" s="144" t="s">
        <v>55</v>
      </c>
      <c r="AA238" s="149">
        <v>369.5</v>
      </c>
      <c r="AB238" s="149">
        <v>72.763332000000005</v>
      </c>
      <c r="AC238" s="149">
        <v>117.3015873015873</v>
      </c>
      <c r="AD238" s="156">
        <v>23.099470476190479</v>
      </c>
      <c r="AE238" s="149" t="str">
        <f>IFERROR(_xlfn.XLOOKUP(DATA_MASTER[[#This Row],[DATE]],RODEO[DATE],RODEO[ARTIST]),"")</f>
        <v/>
      </c>
      <c r="AF238" s="172">
        <f>IF(DATA_MASTER[[#This Row],[RODEO_ARTIST]]="",0,1)</f>
        <v>0</v>
      </c>
      <c r="AG238" t="str">
        <f>IFERROR(RIGHT(_xlfn.XLOOKUP(DATA_MASTER[[#This Row],[DATE]],ASTROS[DATE],ASTROS[OPPONENT]),LEN(_xlfn.XLOOKUP(DATA_MASTER[[#This Row],[DATE]],ASTROS[DATE],ASTROS[OPPONENT]))-3),"NO GAME")</f>
        <v>Texas Rangers</v>
      </c>
      <c r="AH238">
        <f>IF(DATA_MASTER[[#This Row],[ASTROS_GAME]]="NO GAME",0,1)</f>
        <v>1</v>
      </c>
      <c r="AI238">
        <f>_xlfn.XLOOKUP(DATA_MASTER[[#This Row],[DATE]],WEATHER[DATE],WEATHER[tempmax])</f>
        <v>80.599999999999994</v>
      </c>
      <c r="AJ238">
        <f>_xlfn.XLOOKUP(DATA_MASTER[[#This Row],[DATE]],WEATHER[DATE],WEATHER[precip])</f>
        <v>0</v>
      </c>
    </row>
    <row r="239" spans="1:36" x14ac:dyDescent="0.35">
      <c r="A239" s="155">
        <v>45394</v>
      </c>
      <c r="B239" s="144" t="s">
        <v>46</v>
      </c>
      <c r="C239" s="144" t="s">
        <v>48</v>
      </c>
      <c r="D239" s="144" t="s">
        <v>63</v>
      </c>
      <c r="E239" s="145">
        <f t="shared" si="74"/>
        <v>1</v>
      </c>
      <c r="F239" s="146">
        <f t="shared" si="57"/>
        <v>0</v>
      </c>
      <c r="G239" s="146">
        <f t="shared" si="58"/>
        <v>0</v>
      </c>
      <c r="H239" s="146">
        <f t="shared" si="59"/>
        <v>0</v>
      </c>
      <c r="I239" s="146">
        <f t="shared" si="60"/>
        <v>0</v>
      </c>
      <c r="J239" s="146">
        <f t="shared" si="61"/>
        <v>1</v>
      </c>
      <c r="K239" s="146">
        <f t="shared" si="62"/>
        <v>0</v>
      </c>
      <c r="L239" s="147">
        <f t="shared" si="75"/>
        <v>0</v>
      </c>
      <c r="M239" s="147">
        <f t="shared" si="63"/>
        <v>0</v>
      </c>
      <c r="N239" s="147">
        <f t="shared" si="64"/>
        <v>0</v>
      </c>
      <c r="O239" s="147">
        <f t="shared" si="65"/>
        <v>1</v>
      </c>
      <c r="P239" s="147">
        <f t="shared" si="66"/>
        <v>0</v>
      </c>
      <c r="Q239" s="147">
        <f t="shared" si="67"/>
        <v>0</v>
      </c>
      <c r="R239" s="147">
        <f t="shared" si="68"/>
        <v>0</v>
      </c>
      <c r="S239" s="147">
        <f t="shared" si="69"/>
        <v>0</v>
      </c>
      <c r="T239" s="147">
        <f t="shared" si="70"/>
        <v>0</v>
      </c>
      <c r="U239" s="147">
        <f t="shared" si="71"/>
        <v>0</v>
      </c>
      <c r="V239" s="147">
        <f t="shared" si="72"/>
        <v>0</v>
      </c>
      <c r="W239" s="129">
        <v>1</v>
      </c>
      <c r="X239" s="144" t="str">
        <f t="shared" si="73"/>
        <v>WEEKEND</v>
      </c>
      <c r="Y239" s="148">
        <v>5.2333333333333334</v>
      </c>
      <c r="Z239" s="144" t="s">
        <v>55</v>
      </c>
      <c r="AA239" s="149">
        <v>1566.5</v>
      </c>
      <c r="AB239" s="149">
        <v>251.99614399999996</v>
      </c>
      <c r="AC239" s="149">
        <v>299.33121019108279</v>
      </c>
      <c r="AD239" s="156">
        <v>48.152129426751586</v>
      </c>
      <c r="AE239" s="149" t="str">
        <f>IFERROR(_xlfn.XLOOKUP(DATA_MASTER[[#This Row],[DATE]],RODEO[DATE],RODEO[ARTIST]),"")</f>
        <v/>
      </c>
      <c r="AF239" s="172">
        <f>IF(DATA_MASTER[[#This Row],[RODEO_ARTIST]]="",0,1)</f>
        <v>0</v>
      </c>
      <c r="AG239" t="str">
        <f>IFERROR(RIGHT(_xlfn.XLOOKUP(DATA_MASTER[[#This Row],[DATE]],ASTROS[DATE],ASTROS[OPPONENT]),LEN(_xlfn.XLOOKUP(DATA_MASTER[[#This Row],[DATE]],ASTROS[DATE],ASTROS[OPPONENT]))-3),"NO GAME")</f>
        <v>Texas Rangers</v>
      </c>
      <c r="AH239">
        <f>IF(DATA_MASTER[[#This Row],[ASTROS_GAME]]="NO GAME",0,1)</f>
        <v>1</v>
      </c>
      <c r="AI239">
        <f>_xlfn.XLOOKUP(DATA_MASTER[[#This Row],[DATE]],WEATHER[DATE],WEATHER[tempmax])</f>
        <v>80.599999999999994</v>
      </c>
      <c r="AJ239">
        <f>_xlfn.XLOOKUP(DATA_MASTER[[#This Row],[DATE]],WEATHER[DATE],WEATHER[precip])</f>
        <v>0</v>
      </c>
    </row>
    <row r="240" spans="1:36" x14ac:dyDescent="0.35">
      <c r="A240" s="155">
        <v>45395</v>
      </c>
      <c r="B240" s="144" t="s">
        <v>42</v>
      </c>
      <c r="C240" s="144" t="s">
        <v>49</v>
      </c>
      <c r="D240" s="144" t="s">
        <v>63</v>
      </c>
      <c r="E240" s="145">
        <f t="shared" si="74"/>
        <v>0</v>
      </c>
      <c r="F240" s="146">
        <f t="shared" si="57"/>
        <v>0</v>
      </c>
      <c r="G240" s="146">
        <f t="shared" si="58"/>
        <v>0</v>
      </c>
      <c r="H240" s="146">
        <f t="shared" si="59"/>
        <v>0</v>
      </c>
      <c r="I240" s="146">
        <f t="shared" si="60"/>
        <v>0</v>
      </c>
      <c r="J240" s="146">
        <f t="shared" si="61"/>
        <v>0</v>
      </c>
      <c r="K240" s="146">
        <f t="shared" si="62"/>
        <v>1</v>
      </c>
      <c r="L240" s="147">
        <f t="shared" si="75"/>
        <v>0</v>
      </c>
      <c r="M240" s="147">
        <f t="shared" si="63"/>
        <v>0</v>
      </c>
      <c r="N240" s="147">
        <f t="shared" si="64"/>
        <v>0</v>
      </c>
      <c r="O240" s="147">
        <f t="shared" si="65"/>
        <v>1</v>
      </c>
      <c r="P240" s="147">
        <f t="shared" si="66"/>
        <v>0</v>
      </c>
      <c r="Q240" s="147">
        <f t="shared" si="67"/>
        <v>0</v>
      </c>
      <c r="R240" s="147">
        <f t="shared" si="68"/>
        <v>0</v>
      </c>
      <c r="S240" s="147">
        <f t="shared" si="69"/>
        <v>0</v>
      </c>
      <c r="T240" s="147">
        <f t="shared" si="70"/>
        <v>0</v>
      </c>
      <c r="U240" s="147">
        <f t="shared" si="71"/>
        <v>0</v>
      </c>
      <c r="V240" s="147">
        <f t="shared" si="72"/>
        <v>0</v>
      </c>
      <c r="W240" s="129">
        <v>1</v>
      </c>
      <c r="X240" s="144" t="str">
        <f t="shared" si="73"/>
        <v>WEEKEND</v>
      </c>
      <c r="Y240" s="148">
        <v>5</v>
      </c>
      <c r="Z240" s="144" t="s">
        <v>55</v>
      </c>
      <c r="AA240" s="149">
        <v>1278.25</v>
      </c>
      <c r="AB240" s="149">
        <v>219.69695200000001</v>
      </c>
      <c r="AC240" s="149">
        <v>255.65</v>
      </c>
      <c r="AD240" s="156">
        <v>43.939390400000001</v>
      </c>
      <c r="AE240" s="149" t="str">
        <f>IFERROR(_xlfn.XLOOKUP(DATA_MASTER[[#This Row],[DATE]],RODEO[DATE],RODEO[ARTIST]),"")</f>
        <v/>
      </c>
      <c r="AF240" s="172">
        <f>IF(DATA_MASTER[[#This Row],[RODEO_ARTIST]]="",0,1)</f>
        <v>0</v>
      </c>
      <c r="AG240" t="str">
        <f>IFERROR(RIGHT(_xlfn.XLOOKUP(DATA_MASTER[[#This Row],[DATE]],ASTROS[DATE],ASTROS[OPPONENT]),LEN(_xlfn.XLOOKUP(DATA_MASTER[[#This Row],[DATE]],ASTROS[DATE],ASTROS[OPPONENT]))-3),"NO GAME")</f>
        <v>Texas Rangers</v>
      </c>
      <c r="AH240">
        <f>IF(DATA_MASTER[[#This Row],[ASTROS_GAME]]="NO GAME",0,1)</f>
        <v>1</v>
      </c>
      <c r="AI240">
        <f>_xlfn.XLOOKUP(DATA_MASTER[[#This Row],[DATE]],WEATHER[DATE],WEATHER[tempmax])</f>
        <v>78.900000000000006</v>
      </c>
      <c r="AJ240">
        <f>_xlfn.XLOOKUP(DATA_MASTER[[#This Row],[DATE]],WEATHER[DATE],WEATHER[precip])</f>
        <v>0</v>
      </c>
    </row>
    <row r="241" spans="1:36" x14ac:dyDescent="0.35">
      <c r="A241" s="155">
        <v>45395</v>
      </c>
      <c r="B241" s="144" t="s">
        <v>46</v>
      </c>
      <c r="C241" s="144" t="s">
        <v>49</v>
      </c>
      <c r="D241" s="144" t="s">
        <v>63</v>
      </c>
      <c r="E241" s="145">
        <f t="shared" si="74"/>
        <v>1</v>
      </c>
      <c r="F241" s="146">
        <f t="shared" si="57"/>
        <v>0</v>
      </c>
      <c r="G241" s="146">
        <f t="shared" si="58"/>
        <v>0</v>
      </c>
      <c r="H241" s="146">
        <f t="shared" si="59"/>
        <v>0</v>
      </c>
      <c r="I241" s="146">
        <f t="shared" si="60"/>
        <v>0</v>
      </c>
      <c r="J241" s="146">
        <f t="shared" si="61"/>
        <v>0</v>
      </c>
      <c r="K241" s="146">
        <f t="shared" si="62"/>
        <v>1</v>
      </c>
      <c r="L241" s="147">
        <f t="shared" si="75"/>
        <v>0</v>
      </c>
      <c r="M241" s="147">
        <f t="shared" si="63"/>
        <v>0</v>
      </c>
      <c r="N241" s="147">
        <f t="shared" si="64"/>
        <v>0</v>
      </c>
      <c r="O241" s="147">
        <f t="shared" si="65"/>
        <v>1</v>
      </c>
      <c r="P241" s="147">
        <f t="shared" si="66"/>
        <v>0</v>
      </c>
      <c r="Q241" s="147">
        <f t="shared" si="67"/>
        <v>0</v>
      </c>
      <c r="R241" s="147">
        <f t="shared" si="68"/>
        <v>0</v>
      </c>
      <c r="S241" s="147">
        <f t="shared" si="69"/>
        <v>0</v>
      </c>
      <c r="T241" s="147">
        <f t="shared" si="70"/>
        <v>0</v>
      </c>
      <c r="U241" s="147">
        <f t="shared" si="71"/>
        <v>0</v>
      </c>
      <c r="V241" s="147">
        <f t="shared" si="72"/>
        <v>0</v>
      </c>
      <c r="W241" s="129">
        <v>1</v>
      </c>
      <c r="X241" s="144" t="str">
        <f t="shared" si="73"/>
        <v>WEEKEND</v>
      </c>
      <c r="Y241" s="148">
        <v>5</v>
      </c>
      <c r="Z241" s="144" t="s">
        <v>55</v>
      </c>
      <c r="AA241" s="149">
        <v>1278.25</v>
      </c>
      <c r="AB241" s="149">
        <v>219.69695200000001</v>
      </c>
      <c r="AC241" s="149">
        <v>255.65</v>
      </c>
      <c r="AD241" s="156">
        <v>43.939390400000001</v>
      </c>
      <c r="AE241" s="149" t="str">
        <f>IFERROR(_xlfn.XLOOKUP(DATA_MASTER[[#This Row],[DATE]],RODEO[DATE],RODEO[ARTIST]),"")</f>
        <v/>
      </c>
      <c r="AF241" s="172">
        <f>IF(DATA_MASTER[[#This Row],[RODEO_ARTIST]]="",0,1)</f>
        <v>0</v>
      </c>
      <c r="AG241" t="str">
        <f>IFERROR(RIGHT(_xlfn.XLOOKUP(DATA_MASTER[[#This Row],[DATE]],ASTROS[DATE],ASTROS[OPPONENT]),LEN(_xlfn.XLOOKUP(DATA_MASTER[[#This Row],[DATE]],ASTROS[DATE],ASTROS[OPPONENT]))-3),"NO GAME")</f>
        <v>Texas Rangers</v>
      </c>
      <c r="AH241">
        <f>IF(DATA_MASTER[[#This Row],[ASTROS_GAME]]="NO GAME",0,1)</f>
        <v>1</v>
      </c>
      <c r="AI241">
        <f>_xlfn.XLOOKUP(DATA_MASTER[[#This Row],[DATE]],WEATHER[DATE],WEATHER[tempmax])</f>
        <v>78.900000000000006</v>
      </c>
      <c r="AJ241">
        <f>_xlfn.XLOOKUP(DATA_MASTER[[#This Row],[DATE]],WEATHER[DATE],WEATHER[precip])</f>
        <v>0</v>
      </c>
    </row>
    <row r="242" spans="1:36" x14ac:dyDescent="0.35">
      <c r="A242" s="155">
        <v>45396</v>
      </c>
      <c r="B242" s="144" t="s">
        <v>46</v>
      </c>
      <c r="C242" s="144" t="s">
        <v>50</v>
      </c>
      <c r="D242" s="144" t="s">
        <v>63</v>
      </c>
      <c r="E242" s="145">
        <f t="shared" si="74"/>
        <v>1</v>
      </c>
      <c r="F242" s="146">
        <f t="shared" si="57"/>
        <v>1</v>
      </c>
      <c r="G242" s="146">
        <f t="shared" si="58"/>
        <v>0</v>
      </c>
      <c r="H242" s="146">
        <f t="shared" si="59"/>
        <v>0</v>
      </c>
      <c r="I242" s="146">
        <f t="shared" si="60"/>
        <v>0</v>
      </c>
      <c r="J242" s="146">
        <f t="shared" si="61"/>
        <v>0</v>
      </c>
      <c r="K242" s="146">
        <f t="shared" si="62"/>
        <v>0</v>
      </c>
      <c r="L242" s="147">
        <f t="shared" si="75"/>
        <v>0</v>
      </c>
      <c r="M242" s="147">
        <f t="shared" si="63"/>
        <v>0</v>
      </c>
      <c r="N242" s="147">
        <f t="shared" si="64"/>
        <v>0</v>
      </c>
      <c r="O242" s="147">
        <f t="shared" si="65"/>
        <v>1</v>
      </c>
      <c r="P242" s="147">
        <f t="shared" si="66"/>
        <v>0</v>
      </c>
      <c r="Q242" s="147">
        <f t="shared" si="67"/>
        <v>0</v>
      </c>
      <c r="R242" s="147">
        <f t="shared" si="68"/>
        <v>0</v>
      </c>
      <c r="S242" s="147">
        <f t="shared" si="69"/>
        <v>0</v>
      </c>
      <c r="T242" s="147">
        <f t="shared" si="70"/>
        <v>0</v>
      </c>
      <c r="U242" s="147">
        <f t="shared" si="71"/>
        <v>0</v>
      </c>
      <c r="V242" s="147">
        <f t="shared" si="72"/>
        <v>0</v>
      </c>
      <c r="W242" s="129">
        <v>1</v>
      </c>
      <c r="X242" s="144" t="str">
        <f t="shared" si="73"/>
        <v>WEEKEND</v>
      </c>
      <c r="Y242" s="148">
        <v>6.5333333333333332</v>
      </c>
      <c r="Z242" s="144" t="s">
        <v>45</v>
      </c>
      <c r="AA242" s="149">
        <v>2054.5</v>
      </c>
      <c r="AB242" s="149">
        <v>341.546808</v>
      </c>
      <c r="AC242" s="149">
        <v>314.46428571428572</v>
      </c>
      <c r="AD242" s="156">
        <v>52.277572653061227</v>
      </c>
      <c r="AE242" s="149" t="str">
        <f>IFERROR(_xlfn.XLOOKUP(DATA_MASTER[[#This Row],[DATE]],RODEO[DATE],RODEO[ARTIST]),"")</f>
        <v/>
      </c>
      <c r="AF242" s="172">
        <f>IF(DATA_MASTER[[#This Row],[RODEO_ARTIST]]="",0,1)</f>
        <v>0</v>
      </c>
      <c r="AG242" t="str">
        <f>IFERROR(RIGHT(_xlfn.XLOOKUP(DATA_MASTER[[#This Row],[DATE]],ASTROS[DATE],ASTROS[OPPONENT]),LEN(_xlfn.XLOOKUP(DATA_MASTER[[#This Row],[DATE]],ASTROS[DATE],ASTROS[OPPONENT]))-3),"NO GAME")</f>
        <v>Texas Rangers</v>
      </c>
      <c r="AH242">
        <f>IF(DATA_MASTER[[#This Row],[ASTROS_GAME]]="NO GAME",0,1)</f>
        <v>1</v>
      </c>
      <c r="AI242">
        <f>_xlfn.XLOOKUP(DATA_MASTER[[#This Row],[DATE]],WEATHER[DATE],WEATHER[tempmax])</f>
        <v>78.900000000000006</v>
      </c>
      <c r="AJ242">
        <f>_xlfn.XLOOKUP(DATA_MASTER[[#This Row],[DATE]],WEATHER[DATE],WEATHER[precip])</f>
        <v>0</v>
      </c>
    </row>
    <row r="243" spans="1:36" x14ac:dyDescent="0.35">
      <c r="A243" s="155">
        <v>45398</v>
      </c>
      <c r="B243" s="144" t="s">
        <v>42</v>
      </c>
      <c r="C243" s="144" t="s">
        <v>52</v>
      </c>
      <c r="D243" s="144" t="s">
        <v>63</v>
      </c>
      <c r="E243" s="145">
        <f t="shared" si="74"/>
        <v>0</v>
      </c>
      <c r="F243" s="146">
        <f t="shared" si="57"/>
        <v>0</v>
      </c>
      <c r="G243" s="146">
        <f t="shared" si="58"/>
        <v>0</v>
      </c>
      <c r="H243" s="146">
        <f t="shared" si="59"/>
        <v>0</v>
      </c>
      <c r="I243" s="146">
        <f t="shared" si="60"/>
        <v>0</v>
      </c>
      <c r="J243" s="146">
        <f t="shared" si="61"/>
        <v>0</v>
      </c>
      <c r="K243" s="146">
        <f t="shared" si="62"/>
        <v>0</v>
      </c>
      <c r="L243" s="147">
        <f t="shared" si="75"/>
        <v>0</v>
      </c>
      <c r="M243" s="147">
        <f t="shared" si="63"/>
        <v>0</v>
      </c>
      <c r="N243" s="147">
        <f t="shared" si="64"/>
        <v>0</v>
      </c>
      <c r="O243" s="147">
        <f t="shared" si="65"/>
        <v>1</v>
      </c>
      <c r="P243" s="147">
        <f t="shared" si="66"/>
        <v>0</v>
      </c>
      <c r="Q243" s="147">
        <f t="shared" si="67"/>
        <v>0</v>
      </c>
      <c r="R243" s="147">
        <f t="shared" si="68"/>
        <v>0</v>
      </c>
      <c r="S243" s="147">
        <f t="shared" si="69"/>
        <v>0</v>
      </c>
      <c r="T243" s="147">
        <f t="shared" si="70"/>
        <v>0</v>
      </c>
      <c r="U243" s="147">
        <f t="shared" si="71"/>
        <v>0</v>
      </c>
      <c r="V243" s="147">
        <f t="shared" si="72"/>
        <v>0</v>
      </c>
      <c r="W243" s="129">
        <v>0</v>
      </c>
      <c r="X243" s="144" t="str">
        <f t="shared" si="73"/>
        <v>WEEKDAY</v>
      </c>
      <c r="Y243" s="148">
        <v>5.3083333333333336</v>
      </c>
      <c r="Z243" s="144" t="s">
        <v>55</v>
      </c>
      <c r="AA243" s="149">
        <v>677</v>
      </c>
      <c r="AB243" s="149">
        <v>131.962042</v>
      </c>
      <c r="AC243" s="149">
        <v>127.53532182103611</v>
      </c>
      <c r="AD243" s="156">
        <v>24.859411365777078</v>
      </c>
      <c r="AE243" s="149" t="str">
        <f>IFERROR(_xlfn.XLOOKUP(DATA_MASTER[[#This Row],[DATE]],RODEO[DATE],RODEO[ARTIST]),"")</f>
        <v/>
      </c>
      <c r="AF243" s="172">
        <f>IF(DATA_MASTER[[#This Row],[RODEO_ARTIST]]="",0,1)</f>
        <v>0</v>
      </c>
      <c r="AG243" t="str">
        <f>IFERROR(RIGHT(_xlfn.XLOOKUP(DATA_MASTER[[#This Row],[DATE]],ASTROS[DATE],ASTROS[OPPONENT]),LEN(_xlfn.XLOOKUP(DATA_MASTER[[#This Row],[DATE]],ASTROS[DATE],ASTROS[OPPONENT]))-3),"NO GAME")</f>
        <v>Atlanta Braves</v>
      </c>
      <c r="AH243">
        <f>IF(DATA_MASTER[[#This Row],[ASTROS_GAME]]="NO GAME",0,1)</f>
        <v>1</v>
      </c>
      <c r="AI243">
        <f>_xlfn.XLOOKUP(DATA_MASTER[[#This Row],[DATE]],WEATHER[DATE],WEATHER[tempmax])</f>
        <v>78.900000000000006</v>
      </c>
      <c r="AJ243">
        <f>_xlfn.XLOOKUP(DATA_MASTER[[#This Row],[DATE]],WEATHER[DATE],WEATHER[precip])</f>
        <v>0</v>
      </c>
    </row>
    <row r="244" spans="1:36" x14ac:dyDescent="0.35">
      <c r="A244" s="155">
        <v>45398</v>
      </c>
      <c r="B244" s="144" t="s">
        <v>46</v>
      </c>
      <c r="C244" s="144" t="s">
        <v>52</v>
      </c>
      <c r="D244" s="144" t="s">
        <v>63</v>
      </c>
      <c r="E244" s="145">
        <f t="shared" si="74"/>
        <v>1</v>
      </c>
      <c r="F244" s="146">
        <f t="shared" si="57"/>
        <v>0</v>
      </c>
      <c r="G244" s="146">
        <f t="shared" si="58"/>
        <v>0</v>
      </c>
      <c r="H244" s="146">
        <f t="shared" si="59"/>
        <v>0</v>
      </c>
      <c r="I244" s="146">
        <f t="shared" si="60"/>
        <v>0</v>
      </c>
      <c r="J244" s="146">
        <f t="shared" si="61"/>
        <v>0</v>
      </c>
      <c r="K244" s="146">
        <f t="shared" si="62"/>
        <v>0</v>
      </c>
      <c r="L244" s="147">
        <f t="shared" si="75"/>
        <v>0</v>
      </c>
      <c r="M244" s="147">
        <f t="shared" si="63"/>
        <v>0</v>
      </c>
      <c r="N244" s="147">
        <f t="shared" si="64"/>
        <v>0</v>
      </c>
      <c r="O244" s="147">
        <f t="shared" si="65"/>
        <v>1</v>
      </c>
      <c r="P244" s="147">
        <f t="shared" si="66"/>
        <v>0</v>
      </c>
      <c r="Q244" s="147">
        <f t="shared" si="67"/>
        <v>0</v>
      </c>
      <c r="R244" s="147">
        <f t="shared" si="68"/>
        <v>0</v>
      </c>
      <c r="S244" s="147">
        <f t="shared" si="69"/>
        <v>0</v>
      </c>
      <c r="T244" s="147">
        <f t="shared" si="70"/>
        <v>0</v>
      </c>
      <c r="U244" s="147">
        <f t="shared" si="71"/>
        <v>0</v>
      </c>
      <c r="V244" s="147">
        <f t="shared" si="72"/>
        <v>0</v>
      </c>
      <c r="W244" s="129">
        <v>0</v>
      </c>
      <c r="X244" s="144" t="str">
        <f t="shared" si="73"/>
        <v>WEEKDAY</v>
      </c>
      <c r="Y244" s="148">
        <v>5.3083333333333336</v>
      </c>
      <c r="Z244" s="144" t="s">
        <v>55</v>
      </c>
      <c r="AA244" s="149">
        <v>677</v>
      </c>
      <c r="AB244" s="149">
        <v>131.962042</v>
      </c>
      <c r="AC244" s="149">
        <v>127.53532182103611</v>
      </c>
      <c r="AD244" s="156">
        <v>24.859411365777078</v>
      </c>
      <c r="AE244" s="149" t="str">
        <f>IFERROR(_xlfn.XLOOKUP(DATA_MASTER[[#This Row],[DATE]],RODEO[DATE],RODEO[ARTIST]),"")</f>
        <v/>
      </c>
      <c r="AF244" s="172">
        <f>IF(DATA_MASTER[[#This Row],[RODEO_ARTIST]]="",0,1)</f>
        <v>0</v>
      </c>
      <c r="AG244" t="str">
        <f>IFERROR(RIGHT(_xlfn.XLOOKUP(DATA_MASTER[[#This Row],[DATE]],ASTROS[DATE],ASTROS[OPPONENT]),LEN(_xlfn.XLOOKUP(DATA_MASTER[[#This Row],[DATE]],ASTROS[DATE],ASTROS[OPPONENT]))-3),"NO GAME")</f>
        <v>Atlanta Braves</v>
      </c>
      <c r="AH244">
        <f>IF(DATA_MASTER[[#This Row],[ASTROS_GAME]]="NO GAME",0,1)</f>
        <v>1</v>
      </c>
      <c r="AI244">
        <f>_xlfn.XLOOKUP(DATA_MASTER[[#This Row],[DATE]],WEATHER[DATE],WEATHER[tempmax])</f>
        <v>78.900000000000006</v>
      </c>
      <c r="AJ244">
        <f>_xlfn.XLOOKUP(DATA_MASTER[[#This Row],[DATE]],WEATHER[DATE],WEATHER[precip])</f>
        <v>0</v>
      </c>
    </row>
    <row r="245" spans="1:36" x14ac:dyDescent="0.35">
      <c r="A245" s="155">
        <v>45399</v>
      </c>
      <c r="B245" s="144" t="s">
        <v>42</v>
      </c>
      <c r="C245" s="144" t="s">
        <v>44</v>
      </c>
      <c r="D245" s="144" t="s">
        <v>63</v>
      </c>
      <c r="E245" s="145">
        <f t="shared" si="74"/>
        <v>0</v>
      </c>
      <c r="F245" s="146">
        <f t="shared" si="57"/>
        <v>0</v>
      </c>
      <c r="G245" s="146">
        <f t="shared" si="58"/>
        <v>0</v>
      </c>
      <c r="H245" s="146">
        <f t="shared" si="59"/>
        <v>1</v>
      </c>
      <c r="I245" s="146">
        <f t="shared" si="60"/>
        <v>0</v>
      </c>
      <c r="J245" s="146">
        <f t="shared" si="61"/>
        <v>0</v>
      </c>
      <c r="K245" s="146">
        <f t="shared" si="62"/>
        <v>0</v>
      </c>
      <c r="L245" s="147">
        <f t="shared" si="75"/>
        <v>0</v>
      </c>
      <c r="M245" s="147">
        <f t="shared" si="63"/>
        <v>0</v>
      </c>
      <c r="N245" s="147">
        <f t="shared" si="64"/>
        <v>0</v>
      </c>
      <c r="O245" s="147">
        <f t="shared" si="65"/>
        <v>1</v>
      </c>
      <c r="P245" s="147">
        <f t="shared" si="66"/>
        <v>0</v>
      </c>
      <c r="Q245" s="147">
        <f t="shared" si="67"/>
        <v>0</v>
      </c>
      <c r="R245" s="147">
        <f t="shared" si="68"/>
        <v>0</v>
      </c>
      <c r="S245" s="147">
        <f t="shared" si="69"/>
        <v>0</v>
      </c>
      <c r="T245" s="147">
        <f t="shared" si="70"/>
        <v>0</v>
      </c>
      <c r="U245" s="147">
        <f t="shared" si="71"/>
        <v>0</v>
      </c>
      <c r="V245" s="147">
        <f t="shared" si="72"/>
        <v>0</v>
      </c>
      <c r="W245" s="129">
        <v>0</v>
      </c>
      <c r="X245" s="144" t="str">
        <f t="shared" si="73"/>
        <v>WEEKDAY</v>
      </c>
      <c r="Y245" s="148">
        <v>3.4333333333333331</v>
      </c>
      <c r="Z245" s="144" t="s">
        <v>55</v>
      </c>
      <c r="AA245" s="149">
        <v>421</v>
      </c>
      <c r="AB245" s="149">
        <v>69.276480000000006</v>
      </c>
      <c r="AC245" s="149">
        <v>122.62135922330098</v>
      </c>
      <c r="AD245" s="156">
        <v>20.177615533980585</v>
      </c>
      <c r="AE245" s="149" t="str">
        <f>IFERROR(_xlfn.XLOOKUP(DATA_MASTER[[#This Row],[DATE]],RODEO[DATE],RODEO[ARTIST]),"")</f>
        <v/>
      </c>
      <c r="AF245" s="172">
        <f>IF(DATA_MASTER[[#This Row],[RODEO_ARTIST]]="",0,1)</f>
        <v>0</v>
      </c>
      <c r="AG245" t="str">
        <f>IFERROR(RIGHT(_xlfn.XLOOKUP(DATA_MASTER[[#This Row],[DATE]],ASTROS[DATE],ASTROS[OPPONENT]),LEN(_xlfn.XLOOKUP(DATA_MASTER[[#This Row],[DATE]],ASTROS[DATE],ASTROS[OPPONENT]))-3),"NO GAME")</f>
        <v>Atlanta Braves</v>
      </c>
      <c r="AH245">
        <f>IF(DATA_MASTER[[#This Row],[ASTROS_GAME]]="NO GAME",0,1)</f>
        <v>1</v>
      </c>
      <c r="AI245">
        <f>_xlfn.XLOOKUP(DATA_MASTER[[#This Row],[DATE]],WEATHER[DATE],WEATHER[tempmax])</f>
        <v>80.599999999999994</v>
      </c>
      <c r="AJ245">
        <f>_xlfn.XLOOKUP(DATA_MASTER[[#This Row],[DATE]],WEATHER[DATE],WEATHER[precip])</f>
        <v>0</v>
      </c>
    </row>
    <row r="246" spans="1:36" x14ac:dyDescent="0.35">
      <c r="A246" s="155">
        <v>45399</v>
      </c>
      <c r="B246" s="144" t="s">
        <v>46</v>
      </c>
      <c r="C246" s="144" t="s">
        <v>44</v>
      </c>
      <c r="D246" s="144" t="s">
        <v>63</v>
      </c>
      <c r="E246" s="145">
        <f t="shared" si="74"/>
        <v>1</v>
      </c>
      <c r="F246" s="146">
        <f t="shared" si="57"/>
        <v>0</v>
      </c>
      <c r="G246" s="146">
        <f t="shared" si="58"/>
        <v>0</v>
      </c>
      <c r="H246" s="146">
        <f t="shared" si="59"/>
        <v>1</v>
      </c>
      <c r="I246" s="146">
        <f t="shared" si="60"/>
        <v>0</v>
      </c>
      <c r="J246" s="146">
        <f t="shared" si="61"/>
        <v>0</v>
      </c>
      <c r="K246" s="146">
        <f t="shared" si="62"/>
        <v>0</v>
      </c>
      <c r="L246" s="147">
        <f t="shared" si="75"/>
        <v>0</v>
      </c>
      <c r="M246" s="147">
        <f t="shared" si="63"/>
        <v>0</v>
      </c>
      <c r="N246" s="147">
        <f t="shared" si="64"/>
        <v>0</v>
      </c>
      <c r="O246" s="147">
        <f t="shared" si="65"/>
        <v>1</v>
      </c>
      <c r="P246" s="147">
        <f t="shared" si="66"/>
        <v>0</v>
      </c>
      <c r="Q246" s="147">
        <f t="shared" si="67"/>
        <v>0</v>
      </c>
      <c r="R246" s="147">
        <f t="shared" si="68"/>
        <v>0</v>
      </c>
      <c r="S246" s="147">
        <f t="shared" si="69"/>
        <v>0</v>
      </c>
      <c r="T246" s="147">
        <f t="shared" si="70"/>
        <v>0</v>
      </c>
      <c r="U246" s="147">
        <f t="shared" si="71"/>
        <v>0</v>
      </c>
      <c r="V246" s="147">
        <f t="shared" si="72"/>
        <v>0</v>
      </c>
      <c r="W246" s="129">
        <v>0</v>
      </c>
      <c r="X246" s="144" t="str">
        <f t="shared" si="73"/>
        <v>WEEKDAY</v>
      </c>
      <c r="Y246" s="148">
        <v>3.95</v>
      </c>
      <c r="Z246" s="144" t="s">
        <v>55</v>
      </c>
      <c r="AA246" s="149">
        <v>801.5</v>
      </c>
      <c r="AB246" s="149">
        <v>145.55123599999999</v>
      </c>
      <c r="AC246" s="149">
        <v>202.91139240506328</v>
      </c>
      <c r="AD246" s="156">
        <v>36.848414177215183</v>
      </c>
      <c r="AE246" s="149" t="str">
        <f>IFERROR(_xlfn.XLOOKUP(DATA_MASTER[[#This Row],[DATE]],RODEO[DATE],RODEO[ARTIST]),"")</f>
        <v/>
      </c>
      <c r="AF246" s="172">
        <f>IF(DATA_MASTER[[#This Row],[RODEO_ARTIST]]="",0,1)</f>
        <v>0</v>
      </c>
      <c r="AG246" t="str">
        <f>IFERROR(RIGHT(_xlfn.XLOOKUP(DATA_MASTER[[#This Row],[DATE]],ASTROS[DATE],ASTROS[OPPONENT]),LEN(_xlfn.XLOOKUP(DATA_MASTER[[#This Row],[DATE]],ASTROS[DATE],ASTROS[OPPONENT]))-3),"NO GAME")</f>
        <v>Atlanta Braves</v>
      </c>
      <c r="AH246">
        <f>IF(DATA_MASTER[[#This Row],[ASTROS_GAME]]="NO GAME",0,1)</f>
        <v>1</v>
      </c>
      <c r="AI246">
        <f>_xlfn.XLOOKUP(DATA_MASTER[[#This Row],[DATE]],WEATHER[DATE],WEATHER[tempmax])</f>
        <v>80.599999999999994</v>
      </c>
      <c r="AJ246">
        <f>_xlfn.XLOOKUP(DATA_MASTER[[#This Row],[DATE]],WEATHER[DATE],WEATHER[precip])</f>
        <v>0</v>
      </c>
    </row>
    <row r="247" spans="1:36" x14ac:dyDescent="0.35">
      <c r="A247" s="155">
        <v>45400</v>
      </c>
      <c r="B247" s="144" t="s">
        <v>42</v>
      </c>
      <c r="C247" s="144" t="s">
        <v>47</v>
      </c>
      <c r="D247" s="144" t="s">
        <v>63</v>
      </c>
      <c r="E247" s="145">
        <f t="shared" si="74"/>
        <v>0</v>
      </c>
      <c r="F247" s="146">
        <f t="shared" si="57"/>
        <v>0</v>
      </c>
      <c r="G247" s="146">
        <f t="shared" si="58"/>
        <v>0</v>
      </c>
      <c r="H247" s="146">
        <f t="shared" si="59"/>
        <v>0</v>
      </c>
      <c r="I247" s="146">
        <f t="shared" si="60"/>
        <v>1</v>
      </c>
      <c r="J247" s="146">
        <f t="shared" si="61"/>
        <v>0</v>
      </c>
      <c r="K247" s="146">
        <f t="shared" si="62"/>
        <v>0</v>
      </c>
      <c r="L247" s="147">
        <f t="shared" si="75"/>
        <v>0</v>
      </c>
      <c r="M247" s="147">
        <f t="shared" si="63"/>
        <v>0</v>
      </c>
      <c r="N247" s="147">
        <f t="shared" si="64"/>
        <v>0</v>
      </c>
      <c r="O247" s="147">
        <f t="shared" si="65"/>
        <v>1</v>
      </c>
      <c r="P247" s="147">
        <f t="shared" si="66"/>
        <v>0</v>
      </c>
      <c r="Q247" s="147">
        <f t="shared" si="67"/>
        <v>0</v>
      </c>
      <c r="R247" s="147">
        <f t="shared" si="68"/>
        <v>0</v>
      </c>
      <c r="S247" s="147">
        <f t="shared" si="69"/>
        <v>0</v>
      </c>
      <c r="T247" s="147">
        <f t="shared" si="70"/>
        <v>0</v>
      </c>
      <c r="U247" s="147">
        <f t="shared" si="71"/>
        <v>0</v>
      </c>
      <c r="V247" s="147">
        <f t="shared" si="72"/>
        <v>0</v>
      </c>
      <c r="W247" s="129">
        <v>0</v>
      </c>
      <c r="X247" s="144" t="str">
        <f t="shared" si="73"/>
        <v>WEEKDAY</v>
      </c>
      <c r="Y247" s="148">
        <v>4.4083333333333332</v>
      </c>
      <c r="Z247" s="144" t="s">
        <v>55</v>
      </c>
      <c r="AA247" s="149">
        <v>602.5</v>
      </c>
      <c r="AB247" s="149">
        <v>100.37970200000001</v>
      </c>
      <c r="AC247" s="149">
        <v>136.67296786389414</v>
      </c>
      <c r="AD247" s="156">
        <v>22.770442797731572</v>
      </c>
      <c r="AE247" s="149" t="str">
        <f>IFERROR(_xlfn.XLOOKUP(DATA_MASTER[[#This Row],[DATE]],RODEO[DATE],RODEO[ARTIST]),"")</f>
        <v/>
      </c>
      <c r="AF247" s="172">
        <f>IF(DATA_MASTER[[#This Row],[RODEO_ARTIST]]="",0,1)</f>
        <v>0</v>
      </c>
      <c r="AG247" t="str">
        <f>IFERROR(RIGHT(_xlfn.XLOOKUP(DATA_MASTER[[#This Row],[DATE]],ASTROS[DATE],ASTROS[OPPONENT]),LEN(_xlfn.XLOOKUP(DATA_MASTER[[#This Row],[DATE]],ASTROS[DATE],ASTROS[OPPONENT]))-3),"NO GAME")</f>
        <v>NO GAME</v>
      </c>
      <c r="AH247">
        <f>IF(DATA_MASTER[[#This Row],[ASTROS_GAME]]="NO GAME",0,1)</f>
        <v>0</v>
      </c>
      <c r="AI247">
        <f>_xlfn.XLOOKUP(DATA_MASTER[[#This Row],[DATE]],WEATHER[DATE],WEATHER[tempmax])</f>
        <v>82.5</v>
      </c>
      <c r="AJ247">
        <f>_xlfn.XLOOKUP(DATA_MASTER[[#This Row],[DATE]],WEATHER[DATE],WEATHER[precip])</f>
        <v>0</v>
      </c>
    </row>
    <row r="248" spans="1:36" x14ac:dyDescent="0.35">
      <c r="A248" s="155">
        <v>45400</v>
      </c>
      <c r="B248" s="144" t="s">
        <v>46</v>
      </c>
      <c r="C248" s="144" t="s">
        <v>47</v>
      </c>
      <c r="D248" s="144" t="s">
        <v>63</v>
      </c>
      <c r="E248" s="145">
        <f t="shared" si="74"/>
        <v>1</v>
      </c>
      <c r="F248" s="146">
        <f t="shared" si="57"/>
        <v>0</v>
      </c>
      <c r="G248" s="146">
        <f t="shared" si="58"/>
        <v>0</v>
      </c>
      <c r="H248" s="146">
        <f t="shared" si="59"/>
        <v>0</v>
      </c>
      <c r="I248" s="146">
        <f t="shared" si="60"/>
        <v>1</v>
      </c>
      <c r="J248" s="146">
        <f t="shared" si="61"/>
        <v>0</v>
      </c>
      <c r="K248" s="146">
        <f t="shared" si="62"/>
        <v>0</v>
      </c>
      <c r="L248" s="147">
        <f t="shared" si="75"/>
        <v>0</v>
      </c>
      <c r="M248" s="147">
        <f t="shared" si="63"/>
        <v>0</v>
      </c>
      <c r="N248" s="147">
        <f t="shared" si="64"/>
        <v>0</v>
      </c>
      <c r="O248" s="147">
        <f t="shared" si="65"/>
        <v>1</v>
      </c>
      <c r="P248" s="147">
        <f t="shared" si="66"/>
        <v>0</v>
      </c>
      <c r="Q248" s="147">
        <f t="shared" si="67"/>
        <v>0</v>
      </c>
      <c r="R248" s="147">
        <f t="shared" si="68"/>
        <v>0</v>
      </c>
      <c r="S248" s="147">
        <f t="shared" si="69"/>
        <v>0</v>
      </c>
      <c r="T248" s="147">
        <f t="shared" si="70"/>
        <v>0</v>
      </c>
      <c r="U248" s="147">
        <f t="shared" si="71"/>
        <v>0</v>
      </c>
      <c r="V248" s="147">
        <f t="shared" si="72"/>
        <v>0</v>
      </c>
      <c r="W248" s="129">
        <v>0</v>
      </c>
      <c r="X248" s="144" t="str">
        <f t="shared" si="73"/>
        <v>WEEKDAY</v>
      </c>
      <c r="Y248" s="148">
        <v>4.4083333333333332</v>
      </c>
      <c r="Z248" s="144" t="s">
        <v>55</v>
      </c>
      <c r="AA248" s="149">
        <v>602.5</v>
      </c>
      <c r="AB248" s="149">
        <v>100.37970200000001</v>
      </c>
      <c r="AC248" s="149">
        <v>136.67296786389414</v>
      </c>
      <c r="AD248" s="156">
        <v>22.770442797731572</v>
      </c>
      <c r="AE248" s="149" t="str">
        <f>IFERROR(_xlfn.XLOOKUP(DATA_MASTER[[#This Row],[DATE]],RODEO[DATE],RODEO[ARTIST]),"")</f>
        <v/>
      </c>
      <c r="AF248" s="172">
        <f>IF(DATA_MASTER[[#This Row],[RODEO_ARTIST]]="",0,1)</f>
        <v>0</v>
      </c>
      <c r="AG248" t="str">
        <f>IFERROR(RIGHT(_xlfn.XLOOKUP(DATA_MASTER[[#This Row],[DATE]],ASTROS[DATE],ASTROS[OPPONENT]),LEN(_xlfn.XLOOKUP(DATA_MASTER[[#This Row],[DATE]],ASTROS[DATE],ASTROS[OPPONENT]))-3),"NO GAME")</f>
        <v>NO GAME</v>
      </c>
      <c r="AH248">
        <f>IF(DATA_MASTER[[#This Row],[ASTROS_GAME]]="NO GAME",0,1)</f>
        <v>0</v>
      </c>
      <c r="AI248">
        <f>_xlfn.XLOOKUP(DATA_MASTER[[#This Row],[DATE]],WEATHER[DATE],WEATHER[tempmax])</f>
        <v>82.5</v>
      </c>
      <c r="AJ248">
        <f>_xlfn.XLOOKUP(DATA_MASTER[[#This Row],[DATE]],WEATHER[DATE],WEATHER[precip])</f>
        <v>0</v>
      </c>
    </row>
    <row r="249" spans="1:36" x14ac:dyDescent="0.35">
      <c r="A249" s="155">
        <v>45401</v>
      </c>
      <c r="B249" s="144" t="s">
        <v>46</v>
      </c>
      <c r="C249" s="144" t="s">
        <v>48</v>
      </c>
      <c r="D249" s="144" t="s">
        <v>63</v>
      </c>
      <c r="E249" s="145">
        <f t="shared" si="74"/>
        <v>1</v>
      </c>
      <c r="F249" s="146">
        <f t="shared" si="57"/>
        <v>0</v>
      </c>
      <c r="G249" s="146">
        <f t="shared" si="58"/>
        <v>0</v>
      </c>
      <c r="H249" s="146">
        <f t="shared" si="59"/>
        <v>0</v>
      </c>
      <c r="I249" s="146">
        <f t="shared" si="60"/>
        <v>0</v>
      </c>
      <c r="J249" s="146">
        <f t="shared" si="61"/>
        <v>1</v>
      </c>
      <c r="K249" s="146">
        <f t="shared" si="62"/>
        <v>0</v>
      </c>
      <c r="L249" s="147">
        <f t="shared" si="75"/>
        <v>0</v>
      </c>
      <c r="M249" s="147">
        <f t="shared" si="63"/>
        <v>0</v>
      </c>
      <c r="N249" s="147">
        <f t="shared" si="64"/>
        <v>0</v>
      </c>
      <c r="O249" s="147">
        <f t="shared" si="65"/>
        <v>1</v>
      </c>
      <c r="P249" s="147">
        <f t="shared" si="66"/>
        <v>0</v>
      </c>
      <c r="Q249" s="147">
        <f t="shared" si="67"/>
        <v>0</v>
      </c>
      <c r="R249" s="147">
        <f t="shared" si="68"/>
        <v>0</v>
      </c>
      <c r="S249" s="147">
        <f t="shared" si="69"/>
        <v>0</v>
      </c>
      <c r="T249" s="147">
        <f t="shared" si="70"/>
        <v>0</v>
      </c>
      <c r="U249" s="147">
        <f t="shared" si="71"/>
        <v>0</v>
      </c>
      <c r="V249" s="147">
        <f t="shared" si="72"/>
        <v>0</v>
      </c>
      <c r="W249" s="129">
        <v>1</v>
      </c>
      <c r="X249" s="144" t="str">
        <f t="shared" si="73"/>
        <v>WEEKEND</v>
      </c>
      <c r="Y249" s="148">
        <v>6.4666666666666668</v>
      </c>
      <c r="Z249" s="144" t="s">
        <v>45</v>
      </c>
      <c r="AA249" s="149">
        <v>1313.5</v>
      </c>
      <c r="AB249" s="149">
        <v>216.12048000000001</v>
      </c>
      <c r="AC249" s="149">
        <v>203.11855670103091</v>
      </c>
      <c r="AD249" s="156">
        <v>33.420692783505153</v>
      </c>
      <c r="AE249" s="149" t="str">
        <f>IFERROR(_xlfn.XLOOKUP(DATA_MASTER[[#This Row],[DATE]],RODEO[DATE],RODEO[ARTIST]),"")</f>
        <v/>
      </c>
      <c r="AF249" s="172">
        <f>IF(DATA_MASTER[[#This Row],[RODEO_ARTIST]]="",0,1)</f>
        <v>0</v>
      </c>
      <c r="AG249" t="str">
        <f>IFERROR(RIGHT(_xlfn.XLOOKUP(DATA_MASTER[[#This Row],[DATE]],ASTROS[DATE],ASTROS[OPPONENT]),LEN(_xlfn.XLOOKUP(DATA_MASTER[[#This Row],[DATE]],ASTROS[DATE],ASTROS[OPPONENT]))-3),"NO GAME")</f>
        <v>NO GAME</v>
      </c>
      <c r="AH249">
        <f>IF(DATA_MASTER[[#This Row],[ASTROS_GAME]]="NO GAME",0,1)</f>
        <v>0</v>
      </c>
      <c r="AI249">
        <f>_xlfn.XLOOKUP(DATA_MASTER[[#This Row],[DATE]],WEATHER[DATE],WEATHER[tempmax])</f>
        <v>84.2</v>
      </c>
      <c r="AJ249">
        <f>_xlfn.XLOOKUP(DATA_MASTER[[#This Row],[DATE]],WEATHER[DATE],WEATHER[precip])</f>
        <v>0</v>
      </c>
    </row>
    <row r="250" spans="1:36" x14ac:dyDescent="0.35">
      <c r="A250" s="155">
        <v>45402</v>
      </c>
      <c r="B250" s="144" t="s">
        <v>42</v>
      </c>
      <c r="C250" s="144" t="s">
        <v>49</v>
      </c>
      <c r="D250" s="144" t="s">
        <v>63</v>
      </c>
      <c r="E250" s="145">
        <f t="shared" si="74"/>
        <v>0</v>
      </c>
      <c r="F250" s="146">
        <f t="shared" si="57"/>
        <v>0</v>
      </c>
      <c r="G250" s="146">
        <f t="shared" si="58"/>
        <v>0</v>
      </c>
      <c r="H250" s="146">
        <f t="shared" si="59"/>
        <v>0</v>
      </c>
      <c r="I250" s="146">
        <f t="shared" si="60"/>
        <v>0</v>
      </c>
      <c r="J250" s="146">
        <f t="shared" si="61"/>
        <v>0</v>
      </c>
      <c r="K250" s="146">
        <f t="shared" si="62"/>
        <v>1</v>
      </c>
      <c r="L250" s="147">
        <f t="shared" si="75"/>
        <v>0</v>
      </c>
      <c r="M250" s="147">
        <f t="shared" si="63"/>
        <v>0</v>
      </c>
      <c r="N250" s="147">
        <f t="shared" si="64"/>
        <v>0</v>
      </c>
      <c r="O250" s="147">
        <f t="shared" si="65"/>
        <v>1</v>
      </c>
      <c r="P250" s="147">
        <f t="shared" si="66"/>
        <v>0</v>
      </c>
      <c r="Q250" s="147">
        <f t="shared" si="67"/>
        <v>0</v>
      </c>
      <c r="R250" s="147">
        <f t="shared" si="68"/>
        <v>0</v>
      </c>
      <c r="S250" s="147">
        <f t="shared" si="69"/>
        <v>0</v>
      </c>
      <c r="T250" s="147">
        <f t="shared" si="70"/>
        <v>0</v>
      </c>
      <c r="U250" s="147">
        <f t="shared" si="71"/>
        <v>0</v>
      </c>
      <c r="V250" s="147">
        <f t="shared" si="72"/>
        <v>0</v>
      </c>
      <c r="W250" s="129">
        <v>1</v>
      </c>
      <c r="X250" s="144" t="str">
        <f t="shared" si="73"/>
        <v>WEEKEND</v>
      </c>
      <c r="Y250" s="148">
        <v>4.3916666666666666</v>
      </c>
      <c r="Z250" s="144" t="s">
        <v>55</v>
      </c>
      <c r="AA250" s="149">
        <v>1112</v>
      </c>
      <c r="AB250" s="149">
        <v>203.769158</v>
      </c>
      <c r="AC250" s="149">
        <v>253.2068311195446</v>
      </c>
      <c r="AD250" s="156">
        <v>46.399049259962048</v>
      </c>
      <c r="AE250" s="149" t="str">
        <f>IFERROR(_xlfn.XLOOKUP(DATA_MASTER[[#This Row],[DATE]],RODEO[DATE],RODEO[ARTIST]),"")</f>
        <v/>
      </c>
      <c r="AF250" s="172">
        <f>IF(DATA_MASTER[[#This Row],[RODEO_ARTIST]]="",0,1)</f>
        <v>0</v>
      </c>
      <c r="AG250" t="str">
        <f>IFERROR(RIGHT(_xlfn.XLOOKUP(DATA_MASTER[[#This Row],[DATE]],ASTROS[DATE],ASTROS[OPPONENT]),LEN(_xlfn.XLOOKUP(DATA_MASTER[[#This Row],[DATE]],ASTROS[DATE],ASTROS[OPPONENT]))-3),"NO GAME")</f>
        <v>NO GAME</v>
      </c>
      <c r="AH250">
        <f>IF(DATA_MASTER[[#This Row],[ASTROS_GAME]]="NO GAME",0,1)</f>
        <v>0</v>
      </c>
      <c r="AI250">
        <f>_xlfn.XLOOKUP(DATA_MASTER[[#This Row],[DATE]],WEATHER[DATE],WEATHER[tempmax])</f>
        <v>80.7</v>
      </c>
      <c r="AJ250">
        <f>_xlfn.XLOOKUP(DATA_MASTER[[#This Row],[DATE]],WEATHER[DATE],WEATHER[precip])</f>
        <v>0</v>
      </c>
    </row>
    <row r="251" spans="1:36" x14ac:dyDescent="0.35">
      <c r="A251" s="155">
        <v>45402</v>
      </c>
      <c r="B251" s="144" t="s">
        <v>46</v>
      </c>
      <c r="C251" s="144" t="s">
        <v>49</v>
      </c>
      <c r="D251" s="144" t="s">
        <v>63</v>
      </c>
      <c r="E251" s="145">
        <f t="shared" si="74"/>
        <v>1</v>
      </c>
      <c r="F251" s="146">
        <f t="shared" si="57"/>
        <v>0</v>
      </c>
      <c r="G251" s="146">
        <f t="shared" si="58"/>
        <v>0</v>
      </c>
      <c r="H251" s="146">
        <f t="shared" si="59"/>
        <v>0</v>
      </c>
      <c r="I251" s="146">
        <f t="shared" si="60"/>
        <v>0</v>
      </c>
      <c r="J251" s="146">
        <f t="shared" si="61"/>
        <v>0</v>
      </c>
      <c r="K251" s="146">
        <f t="shared" si="62"/>
        <v>1</v>
      </c>
      <c r="L251" s="147">
        <f t="shared" si="75"/>
        <v>0</v>
      </c>
      <c r="M251" s="147">
        <f t="shared" si="63"/>
        <v>0</v>
      </c>
      <c r="N251" s="147">
        <f t="shared" si="64"/>
        <v>0</v>
      </c>
      <c r="O251" s="147">
        <f t="shared" si="65"/>
        <v>1</v>
      </c>
      <c r="P251" s="147">
        <f t="shared" si="66"/>
        <v>0</v>
      </c>
      <c r="Q251" s="147">
        <f t="shared" si="67"/>
        <v>0</v>
      </c>
      <c r="R251" s="147">
        <f t="shared" si="68"/>
        <v>0</v>
      </c>
      <c r="S251" s="147">
        <f t="shared" si="69"/>
        <v>0</v>
      </c>
      <c r="T251" s="147">
        <f t="shared" si="70"/>
        <v>0</v>
      </c>
      <c r="U251" s="147">
        <f t="shared" si="71"/>
        <v>0</v>
      </c>
      <c r="V251" s="147">
        <f t="shared" si="72"/>
        <v>0</v>
      </c>
      <c r="W251" s="129">
        <v>1</v>
      </c>
      <c r="X251" s="144" t="str">
        <f t="shared" si="73"/>
        <v>WEEKEND</v>
      </c>
      <c r="Y251" s="148">
        <v>5.3916666666666666</v>
      </c>
      <c r="Z251" s="144" t="s">
        <v>55</v>
      </c>
      <c r="AA251" s="149">
        <v>1112</v>
      </c>
      <c r="AB251" s="149">
        <v>205.899158</v>
      </c>
      <c r="AC251" s="149">
        <v>206.24420401854715</v>
      </c>
      <c r="AD251" s="156">
        <v>38.188406429675425</v>
      </c>
      <c r="AE251" s="149" t="str">
        <f>IFERROR(_xlfn.XLOOKUP(DATA_MASTER[[#This Row],[DATE]],RODEO[DATE],RODEO[ARTIST]),"")</f>
        <v/>
      </c>
      <c r="AF251" s="172">
        <f>IF(DATA_MASTER[[#This Row],[RODEO_ARTIST]]="",0,1)</f>
        <v>0</v>
      </c>
      <c r="AG251" t="str">
        <f>IFERROR(RIGHT(_xlfn.XLOOKUP(DATA_MASTER[[#This Row],[DATE]],ASTROS[DATE],ASTROS[OPPONENT]),LEN(_xlfn.XLOOKUP(DATA_MASTER[[#This Row],[DATE]],ASTROS[DATE],ASTROS[OPPONENT]))-3),"NO GAME")</f>
        <v>NO GAME</v>
      </c>
      <c r="AH251">
        <f>IF(DATA_MASTER[[#This Row],[ASTROS_GAME]]="NO GAME",0,1)</f>
        <v>0</v>
      </c>
      <c r="AI251">
        <f>_xlfn.XLOOKUP(DATA_MASTER[[#This Row],[DATE]],WEATHER[DATE],WEATHER[tempmax])</f>
        <v>80.7</v>
      </c>
      <c r="AJ251">
        <f>_xlfn.XLOOKUP(DATA_MASTER[[#This Row],[DATE]],WEATHER[DATE],WEATHER[precip])</f>
        <v>0</v>
      </c>
    </row>
    <row r="252" spans="1:36" x14ac:dyDescent="0.35">
      <c r="A252" s="155">
        <v>45404</v>
      </c>
      <c r="B252" s="144" t="s">
        <v>42</v>
      </c>
      <c r="C252" s="144" t="s">
        <v>51</v>
      </c>
      <c r="D252" s="144" t="s">
        <v>63</v>
      </c>
      <c r="E252" s="145">
        <f t="shared" si="74"/>
        <v>0</v>
      </c>
      <c r="F252" s="146">
        <f t="shared" si="57"/>
        <v>0</v>
      </c>
      <c r="G252" s="146">
        <f t="shared" si="58"/>
        <v>1</v>
      </c>
      <c r="H252" s="146">
        <f t="shared" si="59"/>
        <v>0</v>
      </c>
      <c r="I252" s="146">
        <f t="shared" si="60"/>
        <v>0</v>
      </c>
      <c r="J252" s="146">
        <f t="shared" si="61"/>
        <v>0</v>
      </c>
      <c r="K252" s="146">
        <f t="shared" si="62"/>
        <v>0</v>
      </c>
      <c r="L252" s="147">
        <f t="shared" si="75"/>
        <v>0</v>
      </c>
      <c r="M252" s="147">
        <f t="shared" si="63"/>
        <v>0</v>
      </c>
      <c r="N252" s="147">
        <f t="shared" si="64"/>
        <v>0</v>
      </c>
      <c r="O252" s="147">
        <f t="shared" si="65"/>
        <v>1</v>
      </c>
      <c r="P252" s="147">
        <f t="shared" si="66"/>
        <v>0</v>
      </c>
      <c r="Q252" s="147">
        <f t="shared" si="67"/>
        <v>0</v>
      </c>
      <c r="R252" s="147">
        <f t="shared" si="68"/>
        <v>0</v>
      </c>
      <c r="S252" s="147">
        <f t="shared" si="69"/>
        <v>0</v>
      </c>
      <c r="T252" s="147">
        <f t="shared" si="70"/>
        <v>0</v>
      </c>
      <c r="U252" s="147">
        <f t="shared" si="71"/>
        <v>0</v>
      </c>
      <c r="V252" s="147">
        <f t="shared" si="72"/>
        <v>0</v>
      </c>
      <c r="W252" s="129">
        <v>0</v>
      </c>
      <c r="X252" s="144" t="str">
        <f t="shared" si="73"/>
        <v>WEEKDAY</v>
      </c>
      <c r="Y252" s="148">
        <v>2.1833333333333331</v>
      </c>
      <c r="Z252" s="144" t="s">
        <v>45</v>
      </c>
      <c r="AA252" s="149">
        <v>240</v>
      </c>
      <c r="AB252" s="149">
        <v>37.632892000000005</v>
      </c>
      <c r="AC252" s="149">
        <v>109.92366412213741</v>
      </c>
      <c r="AD252" s="156">
        <v>17.236439083969469</v>
      </c>
      <c r="AE252" s="149" t="str">
        <f>IFERROR(_xlfn.XLOOKUP(DATA_MASTER[[#This Row],[DATE]],RODEO[DATE],RODEO[ARTIST]),"")</f>
        <v/>
      </c>
      <c r="AF252" s="172">
        <f>IF(DATA_MASTER[[#This Row],[RODEO_ARTIST]]="",0,1)</f>
        <v>0</v>
      </c>
      <c r="AG252" t="str">
        <f>IFERROR(RIGHT(_xlfn.XLOOKUP(DATA_MASTER[[#This Row],[DATE]],ASTROS[DATE],ASTROS[OPPONENT]),LEN(_xlfn.XLOOKUP(DATA_MASTER[[#This Row],[DATE]],ASTROS[DATE],ASTROS[OPPONENT]))-3),"NO GAME")</f>
        <v>NO GAME</v>
      </c>
      <c r="AH252">
        <f>IF(DATA_MASTER[[#This Row],[ASTROS_GAME]]="NO GAME",0,1)</f>
        <v>0</v>
      </c>
      <c r="AI252">
        <f>_xlfn.XLOOKUP(DATA_MASTER[[#This Row],[DATE]],WEATHER[DATE],WEATHER[tempmax])</f>
        <v>69.900000000000006</v>
      </c>
      <c r="AJ252">
        <f>_xlfn.XLOOKUP(DATA_MASTER[[#This Row],[DATE]],WEATHER[DATE],WEATHER[precip])</f>
        <v>0</v>
      </c>
    </row>
    <row r="253" spans="1:36" x14ac:dyDescent="0.35">
      <c r="A253" s="155">
        <v>45408</v>
      </c>
      <c r="B253" s="144" t="s">
        <v>46</v>
      </c>
      <c r="C253" s="144" t="s">
        <v>48</v>
      </c>
      <c r="D253" s="144" t="s">
        <v>63</v>
      </c>
      <c r="E253" s="145">
        <f t="shared" si="74"/>
        <v>1</v>
      </c>
      <c r="F253" s="146">
        <f t="shared" si="57"/>
        <v>0</v>
      </c>
      <c r="G253" s="146">
        <f t="shared" si="58"/>
        <v>0</v>
      </c>
      <c r="H253" s="146">
        <f t="shared" si="59"/>
        <v>0</v>
      </c>
      <c r="I253" s="146">
        <f t="shared" si="60"/>
        <v>0</v>
      </c>
      <c r="J253" s="146">
        <f t="shared" si="61"/>
        <v>1</v>
      </c>
      <c r="K253" s="146">
        <f t="shared" si="62"/>
        <v>0</v>
      </c>
      <c r="L253" s="147">
        <f t="shared" si="75"/>
        <v>0</v>
      </c>
      <c r="M253" s="147">
        <f t="shared" si="63"/>
        <v>0</v>
      </c>
      <c r="N253" s="147">
        <f t="shared" si="64"/>
        <v>0</v>
      </c>
      <c r="O253" s="147">
        <f t="shared" si="65"/>
        <v>1</v>
      </c>
      <c r="P253" s="147">
        <f t="shared" si="66"/>
        <v>0</v>
      </c>
      <c r="Q253" s="147">
        <f t="shared" si="67"/>
        <v>0</v>
      </c>
      <c r="R253" s="147">
        <f t="shared" si="68"/>
        <v>0</v>
      </c>
      <c r="S253" s="147">
        <f t="shared" si="69"/>
        <v>0</v>
      </c>
      <c r="T253" s="147">
        <f t="shared" si="70"/>
        <v>0</v>
      </c>
      <c r="U253" s="147">
        <f t="shared" si="71"/>
        <v>0</v>
      </c>
      <c r="V253" s="147">
        <f t="shared" si="72"/>
        <v>0</v>
      </c>
      <c r="W253" s="129">
        <v>1</v>
      </c>
      <c r="X253" s="144" t="str">
        <f t="shared" si="73"/>
        <v>WEEKEND</v>
      </c>
      <c r="Y253" s="148">
        <v>7.166666666666667</v>
      </c>
      <c r="Z253" s="144" t="s">
        <v>45</v>
      </c>
      <c r="AA253" s="149">
        <v>1526</v>
      </c>
      <c r="AB253" s="149">
        <v>284.76803999999998</v>
      </c>
      <c r="AC253" s="149">
        <v>212.93023255813952</v>
      </c>
      <c r="AD253" s="156">
        <v>39.735075348837206</v>
      </c>
      <c r="AE253" s="149" t="str">
        <f>IFERROR(_xlfn.XLOOKUP(DATA_MASTER[[#This Row],[DATE]],RODEO[DATE],RODEO[ARTIST]),"")</f>
        <v/>
      </c>
      <c r="AF253" s="172">
        <f>IF(DATA_MASTER[[#This Row],[RODEO_ARTIST]]="",0,1)</f>
        <v>0</v>
      </c>
      <c r="AG253" t="str">
        <f>IFERROR(RIGHT(_xlfn.XLOOKUP(DATA_MASTER[[#This Row],[DATE]],ASTROS[DATE],ASTROS[OPPONENT]),LEN(_xlfn.XLOOKUP(DATA_MASTER[[#This Row],[DATE]],ASTROS[DATE],ASTROS[OPPONENT]))-3),"NO GAME")</f>
        <v>NO GAME</v>
      </c>
      <c r="AH253">
        <f>IF(DATA_MASTER[[#This Row],[ASTROS_GAME]]="NO GAME",0,1)</f>
        <v>0</v>
      </c>
      <c r="AI253">
        <f>_xlfn.XLOOKUP(DATA_MASTER[[#This Row],[DATE]],WEATHER[DATE],WEATHER[tempmax])</f>
        <v>80.599999999999994</v>
      </c>
      <c r="AJ253">
        <f>_xlfn.XLOOKUP(DATA_MASTER[[#This Row],[DATE]],WEATHER[DATE],WEATHER[precip])</f>
        <v>0</v>
      </c>
    </row>
    <row r="254" spans="1:36" x14ac:dyDescent="0.35">
      <c r="A254" s="155">
        <v>45409</v>
      </c>
      <c r="B254" s="144" t="s">
        <v>42</v>
      </c>
      <c r="C254" s="144" t="s">
        <v>49</v>
      </c>
      <c r="D254" s="144" t="s">
        <v>63</v>
      </c>
      <c r="E254" s="145">
        <f t="shared" si="74"/>
        <v>0</v>
      </c>
      <c r="F254" s="146">
        <f t="shared" si="57"/>
        <v>0</v>
      </c>
      <c r="G254" s="146">
        <f t="shared" si="58"/>
        <v>0</v>
      </c>
      <c r="H254" s="146">
        <f t="shared" si="59"/>
        <v>0</v>
      </c>
      <c r="I254" s="146">
        <f t="shared" si="60"/>
        <v>0</v>
      </c>
      <c r="J254" s="146">
        <f t="shared" si="61"/>
        <v>0</v>
      </c>
      <c r="K254" s="146">
        <f t="shared" si="62"/>
        <v>1</v>
      </c>
      <c r="L254" s="147">
        <f t="shared" si="75"/>
        <v>0</v>
      </c>
      <c r="M254" s="147">
        <f t="shared" si="63"/>
        <v>0</v>
      </c>
      <c r="N254" s="147">
        <f t="shared" si="64"/>
        <v>0</v>
      </c>
      <c r="O254" s="147">
        <f t="shared" si="65"/>
        <v>1</v>
      </c>
      <c r="P254" s="147">
        <f t="shared" si="66"/>
        <v>0</v>
      </c>
      <c r="Q254" s="147">
        <f t="shared" si="67"/>
        <v>0</v>
      </c>
      <c r="R254" s="147">
        <f t="shared" si="68"/>
        <v>0</v>
      </c>
      <c r="S254" s="147">
        <f t="shared" si="69"/>
        <v>0</v>
      </c>
      <c r="T254" s="147">
        <f t="shared" si="70"/>
        <v>0</v>
      </c>
      <c r="U254" s="147">
        <f t="shared" si="71"/>
        <v>0</v>
      </c>
      <c r="V254" s="147">
        <f t="shared" si="72"/>
        <v>0</v>
      </c>
      <c r="W254" s="129">
        <v>1</v>
      </c>
      <c r="X254" s="144" t="str">
        <f t="shared" si="73"/>
        <v>WEEKEND</v>
      </c>
      <c r="Y254" s="148">
        <v>5.1166666666666663</v>
      </c>
      <c r="Z254" s="144" t="s">
        <v>55</v>
      </c>
      <c r="AA254" s="149">
        <v>1427</v>
      </c>
      <c r="AB254" s="149">
        <v>234.53430800000001</v>
      </c>
      <c r="AC254" s="149">
        <v>278.89250814332252</v>
      </c>
      <c r="AD254" s="156">
        <v>45.837324039087953</v>
      </c>
      <c r="AE254" s="149" t="str">
        <f>IFERROR(_xlfn.XLOOKUP(DATA_MASTER[[#This Row],[DATE]],RODEO[DATE],RODEO[ARTIST]),"")</f>
        <v/>
      </c>
      <c r="AF254" s="172">
        <f>IF(DATA_MASTER[[#This Row],[RODEO_ARTIST]]="",0,1)</f>
        <v>0</v>
      </c>
      <c r="AG254" t="str">
        <f>IFERROR(RIGHT(_xlfn.XLOOKUP(DATA_MASTER[[#This Row],[DATE]],ASTROS[DATE],ASTROS[OPPONENT]),LEN(_xlfn.XLOOKUP(DATA_MASTER[[#This Row],[DATE]],ASTROS[DATE],ASTROS[OPPONENT]))-3),"NO GAME")</f>
        <v>NO GAME</v>
      </c>
      <c r="AH254">
        <f>IF(DATA_MASTER[[#This Row],[ASTROS_GAME]]="NO GAME",0,1)</f>
        <v>0</v>
      </c>
      <c r="AI254">
        <f>_xlfn.XLOOKUP(DATA_MASTER[[#This Row],[DATE]],WEATHER[DATE],WEATHER[tempmax])</f>
        <v>80.599999999999994</v>
      </c>
      <c r="AJ254">
        <f>_xlfn.XLOOKUP(DATA_MASTER[[#This Row],[DATE]],WEATHER[DATE],WEATHER[precip])</f>
        <v>0</v>
      </c>
    </row>
    <row r="255" spans="1:36" x14ac:dyDescent="0.35">
      <c r="A255" s="155">
        <v>45409</v>
      </c>
      <c r="B255" s="144" t="s">
        <v>46</v>
      </c>
      <c r="C255" s="144" t="s">
        <v>49</v>
      </c>
      <c r="D255" s="144" t="s">
        <v>63</v>
      </c>
      <c r="E255" s="145">
        <f t="shared" si="74"/>
        <v>1</v>
      </c>
      <c r="F255" s="146">
        <f t="shared" si="57"/>
        <v>0</v>
      </c>
      <c r="G255" s="146">
        <f t="shared" si="58"/>
        <v>0</v>
      </c>
      <c r="H255" s="146">
        <f t="shared" si="59"/>
        <v>0</v>
      </c>
      <c r="I255" s="146">
        <f t="shared" si="60"/>
        <v>0</v>
      </c>
      <c r="J255" s="146">
        <f t="shared" si="61"/>
        <v>0</v>
      </c>
      <c r="K255" s="146">
        <f t="shared" si="62"/>
        <v>1</v>
      </c>
      <c r="L255" s="147">
        <f t="shared" si="75"/>
        <v>0</v>
      </c>
      <c r="M255" s="147">
        <f t="shared" si="63"/>
        <v>0</v>
      </c>
      <c r="N255" s="147">
        <f t="shared" si="64"/>
        <v>0</v>
      </c>
      <c r="O255" s="147">
        <f t="shared" si="65"/>
        <v>1</v>
      </c>
      <c r="P255" s="147">
        <f t="shared" si="66"/>
        <v>0</v>
      </c>
      <c r="Q255" s="147">
        <f t="shared" si="67"/>
        <v>0</v>
      </c>
      <c r="R255" s="147">
        <f t="shared" si="68"/>
        <v>0</v>
      </c>
      <c r="S255" s="147">
        <f t="shared" si="69"/>
        <v>0</v>
      </c>
      <c r="T255" s="147">
        <f t="shared" si="70"/>
        <v>0</v>
      </c>
      <c r="U255" s="147">
        <f t="shared" si="71"/>
        <v>0</v>
      </c>
      <c r="V255" s="147">
        <f t="shared" si="72"/>
        <v>0</v>
      </c>
      <c r="W255" s="129">
        <v>1</v>
      </c>
      <c r="X255" s="144" t="str">
        <f t="shared" si="73"/>
        <v>WEEKEND</v>
      </c>
      <c r="Y255" s="148">
        <v>5.1166666666666663</v>
      </c>
      <c r="Z255" s="144" t="s">
        <v>55</v>
      </c>
      <c r="AA255" s="149">
        <v>1427</v>
      </c>
      <c r="AB255" s="149">
        <v>234.53430800000001</v>
      </c>
      <c r="AC255" s="149">
        <v>278.89250814332252</v>
      </c>
      <c r="AD255" s="156">
        <v>45.837324039087953</v>
      </c>
      <c r="AE255" s="149" t="str">
        <f>IFERROR(_xlfn.XLOOKUP(DATA_MASTER[[#This Row],[DATE]],RODEO[DATE],RODEO[ARTIST]),"")</f>
        <v/>
      </c>
      <c r="AF255" s="172">
        <f>IF(DATA_MASTER[[#This Row],[RODEO_ARTIST]]="",0,1)</f>
        <v>0</v>
      </c>
      <c r="AG255" t="str">
        <f>IFERROR(RIGHT(_xlfn.XLOOKUP(DATA_MASTER[[#This Row],[DATE]],ASTROS[DATE],ASTROS[OPPONENT]),LEN(_xlfn.XLOOKUP(DATA_MASTER[[#This Row],[DATE]],ASTROS[DATE],ASTROS[OPPONENT]))-3),"NO GAME")</f>
        <v>NO GAME</v>
      </c>
      <c r="AH255">
        <f>IF(DATA_MASTER[[#This Row],[ASTROS_GAME]]="NO GAME",0,1)</f>
        <v>0</v>
      </c>
      <c r="AI255">
        <f>_xlfn.XLOOKUP(DATA_MASTER[[#This Row],[DATE]],WEATHER[DATE],WEATHER[tempmax])</f>
        <v>80.599999999999994</v>
      </c>
      <c r="AJ255">
        <f>_xlfn.XLOOKUP(DATA_MASTER[[#This Row],[DATE]],WEATHER[DATE],WEATHER[precip])</f>
        <v>0</v>
      </c>
    </row>
    <row r="256" spans="1:36" x14ac:dyDescent="0.35">
      <c r="A256" s="155">
        <v>45410</v>
      </c>
      <c r="B256" s="144" t="s">
        <v>46</v>
      </c>
      <c r="C256" s="144" t="s">
        <v>50</v>
      </c>
      <c r="D256" s="144" t="s">
        <v>63</v>
      </c>
      <c r="E256" s="145">
        <f t="shared" si="74"/>
        <v>1</v>
      </c>
      <c r="F256" s="146">
        <f t="shared" si="57"/>
        <v>1</v>
      </c>
      <c r="G256" s="146">
        <f t="shared" si="58"/>
        <v>0</v>
      </c>
      <c r="H256" s="146">
        <f t="shared" si="59"/>
        <v>0</v>
      </c>
      <c r="I256" s="146">
        <f t="shared" si="60"/>
        <v>0</v>
      </c>
      <c r="J256" s="146">
        <f t="shared" si="61"/>
        <v>0</v>
      </c>
      <c r="K256" s="146">
        <f t="shared" si="62"/>
        <v>0</v>
      </c>
      <c r="L256" s="147">
        <f t="shared" si="75"/>
        <v>0</v>
      </c>
      <c r="M256" s="147">
        <f t="shared" si="63"/>
        <v>0</v>
      </c>
      <c r="N256" s="147">
        <f t="shared" si="64"/>
        <v>0</v>
      </c>
      <c r="O256" s="147">
        <f t="shared" si="65"/>
        <v>1</v>
      </c>
      <c r="P256" s="147">
        <f t="shared" si="66"/>
        <v>0</v>
      </c>
      <c r="Q256" s="147">
        <f t="shared" si="67"/>
        <v>0</v>
      </c>
      <c r="R256" s="147">
        <f t="shared" si="68"/>
        <v>0</v>
      </c>
      <c r="S256" s="147">
        <f t="shared" si="69"/>
        <v>0</v>
      </c>
      <c r="T256" s="147">
        <f t="shared" si="70"/>
        <v>0</v>
      </c>
      <c r="U256" s="147">
        <f t="shared" si="71"/>
        <v>0</v>
      </c>
      <c r="V256" s="147">
        <f t="shared" si="72"/>
        <v>0</v>
      </c>
      <c r="W256" s="129">
        <v>1</v>
      </c>
      <c r="X256" s="144" t="str">
        <f t="shared" si="73"/>
        <v>WEEKEND</v>
      </c>
      <c r="Y256" s="148">
        <v>5.4666666666666668</v>
      </c>
      <c r="Z256" s="144" t="s">
        <v>45</v>
      </c>
      <c r="AA256" s="149">
        <v>1798.5</v>
      </c>
      <c r="AB256" s="149">
        <v>309.659424</v>
      </c>
      <c r="AC256" s="149">
        <v>328.9939024390244</v>
      </c>
      <c r="AD256" s="156">
        <v>56.645016585365852</v>
      </c>
      <c r="AE256" s="149" t="str">
        <f>IFERROR(_xlfn.XLOOKUP(DATA_MASTER[[#This Row],[DATE]],RODEO[DATE],RODEO[ARTIST]),"")</f>
        <v/>
      </c>
      <c r="AF256" s="172">
        <f>IF(DATA_MASTER[[#This Row],[RODEO_ARTIST]]="",0,1)</f>
        <v>0</v>
      </c>
      <c r="AG256" t="str">
        <f>IFERROR(RIGHT(_xlfn.XLOOKUP(DATA_MASTER[[#This Row],[DATE]],ASTROS[DATE],ASTROS[OPPONENT]),LEN(_xlfn.XLOOKUP(DATA_MASTER[[#This Row],[DATE]],ASTROS[DATE],ASTROS[OPPONENT]))-3),"NO GAME")</f>
        <v>NO GAME</v>
      </c>
      <c r="AH256">
        <f>IF(DATA_MASTER[[#This Row],[ASTROS_GAME]]="NO GAME",0,1)</f>
        <v>0</v>
      </c>
      <c r="AI256">
        <f>_xlfn.XLOOKUP(DATA_MASTER[[#This Row],[DATE]],WEATHER[DATE],WEATHER[tempmax])</f>
        <v>80.7</v>
      </c>
      <c r="AJ256">
        <f>_xlfn.XLOOKUP(DATA_MASTER[[#This Row],[DATE]],WEATHER[DATE],WEATHER[precip])</f>
        <v>1E-3</v>
      </c>
    </row>
    <row r="257" spans="1:36" x14ac:dyDescent="0.35">
      <c r="A257" s="155">
        <v>45411</v>
      </c>
      <c r="B257" s="144" t="s">
        <v>42</v>
      </c>
      <c r="C257" s="144" t="s">
        <v>51</v>
      </c>
      <c r="D257" s="144" t="s">
        <v>63</v>
      </c>
      <c r="E257" s="145">
        <f t="shared" si="74"/>
        <v>0</v>
      </c>
      <c r="F257" s="146">
        <f t="shared" si="57"/>
        <v>0</v>
      </c>
      <c r="G257" s="146">
        <f t="shared" si="58"/>
        <v>1</v>
      </c>
      <c r="H257" s="146">
        <f t="shared" si="59"/>
        <v>0</v>
      </c>
      <c r="I257" s="146">
        <f t="shared" si="60"/>
        <v>0</v>
      </c>
      <c r="J257" s="146">
        <f t="shared" si="61"/>
        <v>0</v>
      </c>
      <c r="K257" s="146">
        <f t="shared" si="62"/>
        <v>0</v>
      </c>
      <c r="L257" s="147">
        <f t="shared" si="75"/>
        <v>0</v>
      </c>
      <c r="M257" s="147">
        <f t="shared" si="63"/>
        <v>0</v>
      </c>
      <c r="N257" s="147">
        <f t="shared" si="64"/>
        <v>0</v>
      </c>
      <c r="O257" s="147">
        <f t="shared" si="65"/>
        <v>1</v>
      </c>
      <c r="P257" s="147">
        <f t="shared" si="66"/>
        <v>0</v>
      </c>
      <c r="Q257" s="147">
        <f t="shared" si="67"/>
        <v>0</v>
      </c>
      <c r="R257" s="147">
        <f t="shared" si="68"/>
        <v>0</v>
      </c>
      <c r="S257" s="147">
        <f t="shared" si="69"/>
        <v>0</v>
      </c>
      <c r="T257" s="147">
        <f t="shared" si="70"/>
        <v>0</v>
      </c>
      <c r="U257" s="147">
        <f t="shared" si="71"/>
        <v>0</v>
      </c>
      <c r="V257" s="147">
        <f t="shared" si="72"/>
        <v>0</v>
      </c>
      <c r="W257" s="129">
        <v>0</v>
      </c>
      <c r="X257" s="144" t="str">
        <f t="shared" si="73"/>
        <v>WEEKDAY</v>
      </c>
      <c r="Y257" s="148">
        <v>4.0166666666666666</v>
      </c>
      <c r="Z257" s="144" t="s">
        <v>55</v>
      </c>
      <c r="AA257" s="149">
        <v>538</v>
      </c>
      <c r="AB257" s="149">
        <v>104.67538</v>
      </c>
      <c r="AC257" s="149">
        <v>133.94190871369295</v>
      </c>
      <c r="AD257" s="156">
        <v>26.060260580912864</v>
      </c>
      <c r="AE257" s="149" t="str">
        <f>IFERROR(_xlfn.XLOOKUP(DATA_MASTER[[#This Row],[DATE]],RODEO[DATE],RODEO[ARTIST]),"")</f>
        <v/>
      </c>
      <c r="AF257" s="172">
        <f>IF(DATA_MASTER[[#This Row],[RODEO_ARTIST]]="",0,1)</f>
        <v>0</v>
      </c>
      <c r="AG257" t="str">
        <f>IFERROR(RIGHT(_xlfn.XLOOKUP(DATA_MASTER[[#This Row],[DATE]],ASTROS[DATE],ASTROS[OPPONENT]),LEN(_xlfn.XLOOKUP(DATA_MASTER[[#This Row],[DATE]],ASTROS[DATE],ASTROS[OPPONENT]))-3),"NO GAME")</f>
        <v>NO GAME</v>
      </c>
      <c r="AH257">
        <f>IF(DATA_MASTER[[#This Row],[ASTROS_GAME]]="NO GAME",0,1)</f>
        <v>0</v>
      </c>
      <c r="AI257">
        <f>_xlfn.XLOOKUP(DATA_MASTER[[#This Row],[DATE]],WEATHER[DATE],WEATHER[tempmax])</f>
        <v>78.900000000000006</v>
      </c>
      <c r="AJ257">
        <f>_xlfn.XLOOKUP(DATA_MASTER[[#This Row],[DATE]],WEATHER[DATE],WEATHER[precip])</f>
        <v>4.2999999999999997E-2</v>
      </c>
    </row>
    <row r="258" spans="1:36" x14ac:dyDescent="0.35">
      <c r="A258" s="155">
        <v>45411</v>
      </c>
      <c r="B258" s="144" t="s">
        <v>46</v>
      </c>
      <c r="C258" s="144" t="s">
        <v>51</v>
      </c>
      <c r="D258" s="144" t="s">
        <v>63</v>
      </c>
      <c r="E258" s="145">
        <f t="shared" si="74"/>
        <v>1</v>
      </c>
      <c r="F258" s="146">
        <f t="shared" ref="F258:F312" si="76">IF(C258="SUN",1,0)</f>
        <v>0</v>
      </c>
      <c r="G258" s="146">
        <f t="shared" ref="G258:G312" si="77">IF($C258="MON",1,0)</f>
        <v>1</v>
      </c>
      <c r="H258" s="146">
        <f t="shared" ref="H258:H312" si="78">IF($C258="WED",1,0)</f>
        <v>0</v>
      </c>
      <c r="I258" s="146">
        <f t="shared" ref="I258:I312" si="79">IF($C258="THU",1,0)</f>
        <v>0</v>
      </c>
      <c r="J258" s="146">
        <f t="shared" ref="J258:J312" si="80">IF($C258="FRI",1,0)</f>
        <v>0</v>
      </c>
      <c r="K258" s="146">
        <f t="shared" ref="K258:K312" si="81">IF($C258="SAT",1,0)</f>
        <v>0</v>
      </c>
      <c r="L258" s="147">
        <f t="shared" si="75"/>
        <v>0</v>
      </c>
      <c r="M258" s="147">
        <f t="shared" ref="M258:M312" si="82">IF($D258="February",1,0)</f>
        <v>0</v>
      </c>
      <c r="N258" s="147">
        <f t="shared" ref="N258:N312" si="83">IF($D258="March",1,0)</f>
        <v>0</v>
      </c>
      <c r="O258" s="147">
        <f t="shared" ref="O258:O312" si="84">IF($D258="April",1,0)</f>
        <v>1</v>
      </c>
      <c r="P258" s="147">
        <f t="shared" ref="P258:P312" si="85">IF($D258="May",1,0)</f>
        <v>0</v>
      </c>
      <c r="Q258" s="147">
        <f t="shared" ref="Q258:Q312" si="86">IF($D258="June",1,0)</f>
        <v>0</v>
      </c>
      <c r="R258" s="147">
        <f t="shared" ref="R258:R312" si="87">IF($D258="August",1,0)</f>
        <v>0</v>
      </c>
      <c r="S258" s="147">
        <f t="shared" ref="S258:S312" si="88">IF($D258="September",1,0)</f>
        <v>0</v>
      </c>
      <c r="T258" s="147">
        <f t="shared" ref="T258:T312" si="89">IF($D258="October",1,0)</f>
        <v>0</v>
      </c>
      <c r="U258" s="147">
        <f t="shared" ref="U258:U312" si="90">IF($D258="November",1,0)</f>
        <v>0</v>
      </c>
      <c r="V258" s="147">
        <f t="shared" ref="V258:V312" si="91">IF($D258="December",1,0)</f>
        <v>0</v>
      </c>
      <c r="W258" s="129">
        <v>0</v>
      </c>
      <c r="X258" s="144" t="str">
        <f t="shared" ref="X258:X312" si="92">IF(W258=0,"WEEKDAY","WEEKEND")</f>
        <v>WEEKDAY</v>
      </c>
      <c r="Y258" s="148">
        <v>4.166666666666667</v>
      </c>
      <c r="Z258" s="144" t="s">
        <v>55</v>
      </c>
      <c r="AA258" s="149">
        <v>766.5</v>
      </c>
      <c r="AB258" s="149">
        <v>117.92331999999999</v>
      </c>
      <c r="AC258" s="149">
        <v>183.95999999999998</v>
      </c>
      <c r="AD258" s="156">
        <v>28.301596799999995</v>
      </c>
      <c r="AE258" s="149" t="str">
        <f>IFERROR(_xlfn.XLOOKUP(DATA_MASTER[[#This Row],[DATE]],RODEO[DATE],RODEO[ARTIST]),"")</f>
        <v/>
      </c>
      <c r="AF258" s="172">
        <f>IF(DATA_MASTER[[#This Row],[RODEO_ARTIST]]="",0,1)</f>
        <v>0</v>
      </c>
      <c r="AG258" t="str">
        <f>IFERROR(RIGHT(_xlfn.XLOOKUP(DATA_MASTER[[#This Row],[DATE]],ASTROS[DATE],ASTROS[OPPONENT]),LEN(_xlfn.XLOOKUP(DATA_MASTER[[#This Row],[DATE]],ASTROS[DATE],ASTROS[OPPONENT]))-3),"NO GAME")</f>
        <v>NO GAME</v>
      </c>
      <c r="AH258">
        <f>IF(DATA_MASTER[[#This Row],[ASTROS_GAME]]="NO GAME",0,1)</f>
        <v>0</v>
      </c>
      <c r="AI258">
        <f>_xlfn.XLOOKUP(DATA_MASTER[[#This Row],[DATE]],WEATHER[DATE],WEATHER[tempmax])</f>
        <v>78.900000000000006</v>
      </c>
      <c r="AJ258">
        <f>_xlfn.XLOOKUP(DATA_MASTER[[#This Row],[DATE]],WEATHER[DATE],WEATHER[precip])</f>
        <v>4.2999999999999997E-2</v>
      </c>
    </row>
    <row r="259" spans="1:36" x14ac:dyDescent="0.35">
      <c r="A259" s="155">
        <v>45413</v>
      </c>
      <c r="B259" s="144" t="s">
        <v>42</v>
      </c>
      <c r="C259" s="144" t="s">
        <v>44</v>
      </c>
      <c r="D259" s="144" t="s">
        <v>64</v>
      </c>
      <c r="E259" s="145">
        <f t="shared" ref="E259:E312" si="93">IF($B259="PM",1,0)</f>
        <v>0</v>
      </c>
      <c r="F259" s="146">
        <f t="shared" si="76"/>
        <v>0</v>
      </c>
      <c r="G259" s="146">
        <f t="shared" si="77"/>
        <v>0</v>
      </c>
      <c r="H259" s="146">
        <f t="shared" si="78"/>
        <v>1</v>
      </c>
      <c r="I259" s="146">
        <f t="shared" si="79"/>
        <v>0</v>
      </c>
      <c r="J259" s="146">
        <f t="shared" si="80"/>
        <v>0</v>
      </c>
      <c r="K259" s="146">
        <f t="shared" si="81"/>
        <v>0</v>
      </c>
      <c r="L259" s="147">
        <f t="shared" ref="L259:L312" si="94">IF(D259="January",1,0)</f>
        <v>0</v>
      </c>
      <c r="M259" s="147">
        <f t="shared" si="82"/>
        <v>0</v>
      </c>
      <c r="N259" s="147">
        <f t="shared" si="83"/>
        <v>0</v>
      </c>
      <c r="O259" s="147">
        <f t="shared" si="84"/>
        <v>0</v>
      </c>
      <c r="P259" s="147">
        <f t="shared" si="85"/>
        <v>1</v>
      </c>
      <c r="Q259" s="147">
        <f t="shared" si="86"/>
        <v>0</v>
      </c>
      <c r="R259" s="147">
        <f t="shared" si="87"/>
        <v>0</v>
      </c>
      <c r="S259" s="147">
        <f t="shared" si="88"/>
        <v>0</v>
      </c>
      <c r="T259" s="147">
        <f t="shared" si="89"/>
        <v>0</v>
      </c>
      <c r="U259" s="147">
        <f t="shared" si="90"/>
        <v>0</v>
      </c>
      <c r="V259" s="147">
        <f t="shared" si="91"/>
        <v>0</v>
      </c>
      <c r="W259" s="129">
        <v>0</v>
      </c>
      <c r="X259" s="144" t="str">
        <f t="shared" si="92"/>
        <v>WEEKDAY</v>
      </c>
      <c r="Y259" s="148">
        <v>4.0999999999999996</v>
      </c>
      <c r="Z259" s="144" t="s">
        <v>55</v>
      </c>
      <c r="AA259" s="149">
        <v>724</v>
      </c>
      <c r="AB259" s="149">
        <v>121.366584</v>
      </c>
      <c r="AC259" s="149">
        <v>176.58536585365854</v>
      </c>
      <c r="AD259" s="156">
        <v>29.60160585365854</v>
      </c>
      <c r="AE259" s="149" t="str">
        <f>IFERROR(_xlfn.XLOOKUP(DATA_MASTER[[#This Row],[DATE]],RODEO[DATE],RODEO[ARTIST]),"")</f>
        <v/>
      </c>
      <c r="AF259" s="172">
        <f>IF(DATA_MASTER[[#This Row],[RODEO_ARTIST]]="",0,1)</f>
        <v>0</v>
      </c>
      <c r="AG259" t="str">
        <f>IFERROR(RIGHT(_xlfn.XLOOKUP(DATA_MASTER[[#This Row],[DATE]],ASTROS[DATE],ASTROS[OPPONENT]),LEN(_xlfn.XLOOKUP(DATA_MASTER[[#This Row],[DATE]],ASTROS[DATE],ASTROS[OPPONENT]))-3),"NO GAME")</f>
        <v>Cleveland Guardians</v>
      </c>
      <c r="AH259">
        <f>IF(DATA_MASTER[[#This Row],[ASTROS_GAME]]="NO GAME",0,1)</f>
        <v>1</v>
      </c>
      <c r="AI259">
        <f>_xlfn.XLOOKUP(DATA_MASTER[[#This Row],[DATE]],WEATHER[DATE],WEATHER[tempmax])</f>
        <v>80.7</v>
      </c>
      <c r="AJ259">
        <f>_xlfn.XLOOKUP(DATA_MASTER[[#This Row],[DATE]],WEATHER[DATE],WEATHER[precip])</f>
        <v>0</v>
      </c>
    </row>
    <row r="260" spans="1:36" x14ac:dyDescent="0.35">
      <c r="A260" s="155">
        <v>45413</v>
      </c>
      <c r="B260" s="144" t="s">
        <v>46</v>
      </c>
      <c r="C260" s="144" t="s">
        <v>44</v>
      </c>
      <c r="D260" s="144" t="s">
        <v>64</v>
      </c>
      <c r="E260" s="145">
        <f t="shared" si="93"/>
        <v>1</v>
      </c>
      <c r="F260" s="146">
        <f t="shared" si="76"/>
        <v>0</v>
      </c>
      <c r="G260" s="146">
        <f t="shared" si="77"/>
        <v>0</v>
      </c>
      <c r="H260" s="146">
        <f t="shared" si="78"/>
        <v>1</v>
      </c>
      <c r="I260" s="146">
        <f t="shared" si="79"/>
        <v>0</v>
      </c>
      <c r="J260" s="146">
        <f t="shared" si="80"/>
        <v>0</v>
      </c>
      <c r="K260" s="146">
        <f t="shared" si="81"/>
        <v>0</v>
      </c>
      <c r="L260" s="147">
        <f t="shared" si="94"/>
        <v>0</v>
      </c>
      <c r="M260" s="147">
        <f t="shared" si="82"/>
        <v>0</v>
      </c>
      <c r="N260" s="147">
        <f t="shared" si="83"/>
        <v>0</v>
      </c>
      <c r="O260" s="147">
        <f t="shared" si="84"/>
        <v>0</v>
      </c>
      <c r="P260" s="147">
        <f t="shared" si="85"/>
        <v>1</v>
      </c>
      <c r="Q260" s="147">
        <f t="shared" si="86"/>
        <v>0</v>
      </c>
      <c r="R260" s="147">
        <f t="shared" si="87"/>
        <v>0</v>
      </c>
      <c r="S260" s="147">
        <f t="shared" si="88"/>
        <v>0</v>
      </c>
      <c r="T260" s="147">
        <f t="shared" si="89"/>
        <v>0</v>
      </c>
      <c r="U260" s="147">
        <f t="shared" si="90"/>
        <v>0</v>
      </c>
      <c r="V260" s="147">
        <f t="shared" si="91"/>
        <v>0</v>
      </c>
      <c r="W260" s="129">
        <v>0</v>
      </c>
      <c r="X260" s="144" t="str">
        <f t="shared" si="92"/>
        <v>WEEKDAY</v>
      </c>
      <c r="Y260" s="148">
        <v>4.4666666666666668</v>
      </c>
      <c r="Z260" s="144" t="s">
        <v>55</v>
      </c>
      <c r="AA260" s="149">
        <v>968.5</v>
      </c>
      <c r="AB260" s="149">
        <v>155.88106400000001</v>
      </c>
      <c r="AC260" s="149">
        <v>216.82835820895522</v>
      </c>
      <c r="AD260" s="156">
        <v>34.898745671641791</v>
      </c>
      <c r="AE260" s="149" t="str">
        <f>IFERROR(_xlfn.XLOOKUP(DATA_MASTER[[#This Row],[DATE]],RODEO[DATE],RODEO[ARTIST]),"")</f>
        <v/>
      </c>
      <c r="AF260" s="172">
        <f>IF(DATA_MASTER[[#This Row],[RODEO_ARTIST]]="",0,1)</f>
        <v>0</v>
      </c>
      <c r="AG260" t="str">
        <f>IFERROR(RIGHT(_xlfn.XLOOKUP(DATA_MASTER[[#This Row],[DATE]],ASTROS[DATE],ASTROS[OPPONENT]),LEN(_xlfn.XLOOKUP(DATA_MASTER[[#This Row],[DATE]],ASTROS[DATE],ASTROS[OPPONENT]))-3),"NO GAME")</f>
        <v>Cleveland Guardians</v>
      </c>
      <c r="AH260">
        <f>IF(DATA_MASTER[[#This Row],[ASTROS_GAME]]="NO GAME",0,1)</f>
        <v>1</v>
      </c>
      <c r="AI260">
        <f>_xlfn.XLOOKUP(DATA_MASTER[[#This Row],[DATE]],WEATHER[DATE],WEATHER[tempmax])</f>
        <v>80.7</v>
      </c>
      <c r="AJ260">
        <f>_xlfn.XLOOKUP(DATA_MASTER[[#This Row],[DATE]],WEATHER[DATE],WEATHER[precip])</f>
        <v>0</v>
      </c>
    </row>
    <row r="261" spans="1:36" x14ac:dyDescent="0.35">
      <c r="A261" s="155">
        <v>45415</v>
      </c>
      <c r="B261" s="144" t="s">
        <v>46</v>
      </c>
      <c r="C261" s="144" t="s">
        <v>48</v>
      </c>
      <c r="D261" s="144" t="s">
        <v>64</v>
      </c>
      <c r="E261" s="145">
        <f t="shared" si="93"/>
        <v>1</v>
      </c>
      <c r="F261" s="146">
        <f t="shared" si="76"/>
        <v>0</v>
      </c>
      <c r="G261" s="146">
        <f t="shared" si="77"/>
        <v>0</v>
      </c>
      <c r="H261" s="146">
        <f t="shared" si="78"/>
        <v>0</v>
      </c>
      <c r="I261" s="146">
        <f t="shared" si="79"/>
        <v>0</v>
      </c>
      <c r="J261" s="146">
        <f t="shared" si="80"/>
        <v>1</v>
      </c>
      <c r="K261" s="146">
        <f t="shared" si="81"/>
        <v>0</v>
      </c>
      <c r="L261" s="147">
        <f t="shared" si="94"/>
        <v>0</v>
      </c>
      <c r="M261" s="147">
        <f t="shared" si="82"/>
        <v>0</v>
      </c>
      <c r="N261" s="147">
        <f t="shared" si="83"/>
        <v>0</v>
      </c>
      <c r="O261" s="147">
        <f t="shared" si="84"/>
        <v>0</v>
      </c>
      <c r="P261" s="147">
        <f t="shared" si="85"/>
        <v>1</v>
      </c>
      <c r="Q261" s="147">
        <f t="shared" si="86"/>
        <v>0</v>
      </c>
      <c r="R261" s="147">
        <f t="shared" si="87"/>
        <v>0</v>
      </c>
      <c r="S261" s="147">
        <f t="shared" si="88"/>
        <v>0</v>
      </c>
      <c r="T261" s="147">
        <f t="shared" si="89"/>
        <v>0</v>
      </c>
      <c r="U261" s="147">
        <f t="shared" si="90"/>
        <v>0</v>
      </c>
      <c r="V261" s="147">
        <f t="shared" si="91"/>
        <v>0</v>
      </c>
      <c r="W261" s="129">
        <v>1</v>
      </c>
      <c r="X261" s="144" t="str">
        <f t="shared" si="92"/>
        <v>WEEKEND</v>
      </c>
      <c r="Y261" s="148">
        <v>7.55</v>
      </c>
      <c r="Z261" s="144" t="s">
        <v>45</v>
      </c>
      <c r="AA261" s="149">
        <v>1715.5</v>
      </c>
      <c r="AB261" s="149">
        <v>262.33873999999997</v>
      </c>
      <c r="AC261" s="149">
        <v>227.21854304635761</v>
      </c>
      <c r="AD261" s="156">
        <v>34.746852980132445</v>
      </c>
      <c r="AE261" s="149" t="str">
        <f>IFERROR(_xlfn.XLOOKUP(DATA_MASTER[[#This Row],[DATE]],RODEO[DATE],RODEO[ARTIST]),"")</f>
        <v/>
      </c>
      <c r="AF261" s="172">
        <f>IF(DATA_MASTER[[#This Row],[RODEO_ARTIST]]="",0,1)</f>
        <v>0</v>
      </c>
      <c r="AG261" t="str">
        <f>IFERROR(RIGHT(_xlfn.XLOOKUP(DATA_MASTER[[#This Row],[DATE]],ASTROS[DATE],ASTROS[OPPONENT]),LEN(_xlfn.XLOOKUP(DATA_MASTER[[#This Row],[DATE]],ASTROS[DATE],ASTROS[OPPONENT]))-3),"NO GAME")</f>
        <v>Seattle Mariners</v>
      </c>
      <c r="AH261">
        <f>IF(DATA_MASTER[[#This Row],[ASTROS_GAME]]="NO GAME",0,1)</f>
        <v>1</v>
      </c>
      <c r="AI261">
        <f>_xlfn.XLOOKUP(DATA_MASTER[[#This Row],[DATE]],WEATHER[DATE],WEATHER[tempmax])</f>
        <v>78.900000000000006</v>
      </c>
      <c r="AJ261">
        <f>_xlfn.XLOOKUP(DATA_MASTER[[#This Row],[DATE]],WEATHER[DATE],WEATHER[precip])</f>
        <v>1.2999999999999999E-2</v>
      </c>
    </row>
    <row r="262" spans="1:36" x14ac:dyDescent="0.35">
      <c r="A262" s="155">
        <v>45416</v>
      </c>
      <c r="B262" s="144" t="s">
        <v>42</v>
      </c>
      <c r="C262" s="144" t="s">
        <v>49</v>
      </c>
      <c r="D262" s="144" t="s">
        <v>64</v>
      </c>
      <c r="E262" s="145">
        <f t="shared" si="93"/>
        <v>0</v>
      </c>
      <c r="F262" s="146">
        <f t="shared" si="76"/>
        <v>0</v>
      </c>
      <c r="G262" s="146">
        <f t="shared" si="77"/>
        <v>0</v>
      </c>
      <c r="H262" s="146">
        <f t="shared" si="78"/>
        <v>0</v>
      </c>
      <c r="I262" s="146">
        <f t="shared" si="79"/>
        <v>0</v>
      </c>
      <c r="J262" s="146">
        <f t="shared" si="80"/>
        <v>0</v>
      </c>
      <c r="K262" s="146">
        <f t="shared" si="81"/>
        <v>1</v>
      </c>
      <c r="L262" s="147">
        <f t="shared" si="94"/>
        <v>0</v>
      </c>
      <c r="M262" s="147">
        <f t="shared" si="82"/>
        <v>0</v>
      </c>
      <c r="N262" s="147">
        <f t="shared" si="83"/>
        <v>0</v>
      </c>
      <c r="O262" s="147">
        <f t="shared" si="84"/>
        <v>0</v>
      </c>
      <c r="P262" s="147">
        <f t="shared" si="85"/>
        <v>1</v>
      </c>
      <c r="Q262" s="147">
        <f t="shared" si="86"/>
        <v>0</v>
      </c>
      <c r="R262" s="147">
        <f t="shared" si="87"/>
        <v>0</v>
      </c>
      <c r="S262" s="147">
        <f t="shared" si="88"/>
        <v>0</v>
      </c>
      <c r="T262" s="147">
        <f t="shared" si="89"/>
        <v>0</v>
      </c>
      <c r="U262" s="147">
        <f t="shared" si="90"/>
        <v>0</v>
      </c>
      <c r="V262" s="147">
        <f t="shared" si="91"/>
        <v>0</v>
      </c>
      <c r="W262" s="129">
        <v>1</v>
      </c>
      <c r="X262" s="144" t="str">
        <f t="shared" si="92"/>
        <v>WEEKEND</v>
      </c>
      <c r="Y262" s="148">
        <v>5.1416666666666666</v>
      </c>
      <c r="Z262" s="144" t="s">
        <v>55</v>
      </c>
      <c r="AA262" s="149">
        <v>1198.335</v>
      </c>
      <c r="AB262" s="149">
        <v>194.77481399999999</v>
      </c>
      <c r="AC262" s="149">
        <v>233.06353322528363</v>
      </c>
      <c r="AD262" s="156">
        <v>37.88164940032415</v>
      </c>
      <c r="AE262" s="149" t="str">
        <f>IFERROR(_xlfn.XLOOKUP(DATA_MASTER[[#This Row],[DATE]],RODEO[DATE],RODEO[ARTIST]),"")</f>
        <v/>
      </c>
      <c r="AF262" s="172">
        <f>IF(DATA_MASTER[[#This Row],[RODEO_ARTIST]]="",0,1)</f>
        <v>0</v>
      </c>
      <c r="AG262" t="str">
        <f>IFERROR(RIGHT(_xlfn.XLOOKUP(DATA_MASTER[[#This Row],[DATE]],ASTROS[DATE],ASTROS[OPPONENT]),LEN(_xlfn.XLOOKUP(DATA_MASTER[[#This Row],[DATE]],ASTROS[DATE],ASTROS[OPPONENT]))-3),"NO GAME")</f>
        <v>Seattle Mariners</v>
      </c>
      <c r="AH262">
        <f>IF(DATA_MASTER[[#This Row],[ASTROS_GAME]]="NO GAME",0,1)</f>
        <v>1</v>
      </c>
      <c r="AI262">
        <f>_xlfn.XLOOKUP(DATA_MASTER[[#This Row],[DATE]],WEATHER[DATE],WEATHER[tempmax])</f>
        <v>82.5</v>
      </c>
      <c r="AJ262">
        <f>_xlfn.XLOOKUP(DATA_MASTER[[#This Row],[DATE]],WEATHER[DATE],WEATHER[precip])</f>
        <v>0</v>
      </c>
    </row>
    <row r="263" spans="1:36" x14ac:dyDescent="0.35">
      <c r="A263" s="155">
        <v>45416</v>
      </c>
      <c r="B263" s="144" t="s">
        <v>46</v>
      </c>
      <c r="C263" s="144" t="s">
        <v>49</v>
      </c>
      <c r="D263" s="144" t="s">
        <v>64</v>
      </c>
      <c r="E263" s="145">
        <f t="shared" si="93"/>
        <v>1</v>
      </c>
      <c r="F263" s="146">
        <f t="shared" si="76"/>
        <v>0</v>
      </c>
      <c r="G263" s="146">
        <f t="shared" si="77"/>
        <v>0</v>
      </c>
      <c r="H263" s="146">
        <f t="shared" si="78"/>
        <v>0</v>
      </c>
      <c r="I263" s="146">
        <f t="shared" si="79"/>
        <v>0</v>
      </c>
      <c r="J263" s="146">
        <f t="shared" si="80"/>
        <v>0</v>
      </c>
      <c r="K263" s="146">
        <f t="shared" si="81"/>
        <v>1</v>
      </c>
      <c r="L263" s="147">
        <f t="shared" si="94"/>
        <v>0</v>
      </c>
      <c r="M263" s="147">
        <f t="shared" si="82"/>
        <v>0</v>
      </c>
      <c r="N263" s="147">
        <f t="shared" si="83"/>
        <v>0</v>
      </c>
      <c r="O263" s="147">
        <f t="shared" si="84"/>
        <v>0</v>
      </c>
      <c r="P263" s="147">
        <f t="shared" si="85"/>
        <v>1</v>
      </c>
      <c r="Q263" s="147">
        <f t="shared" si="86"/>
        <v>0</v>
      </c>
      <c r="R263" s="147">
        <f t="shared" si="87"/>
        <v>0</v>
      </c>
      <c r="S263" s="147">
        <f t="shared" si="88"/>
        <v>0</v>
      </c>
      <c r="T263" s="147">
        <f t="shared" si="89"/>
        <v>0</v>
      </c>
      <c r="U263" s="147">
        <f t="shared" si="90"/>
        <v>0</v>
      </c>
      <c r="V263" s="147">
        <f t="shared" si="91"/>
        <v>0</v>
      </c>
      <c r="W263" s="129">
        <v>1</v>
      </c>
      <c r="X263" s="144" t="str">
        <f t="shared" si="92"/>
        <v>WEEKEND</v>
      </c>
      <c r="Y263" s="148">
        <v>5.1416666666666666</v>
      </c>
      <c r="Z263" s="144" t="s">
        <v>55</v>
      </c>
      <c r="AA263" s="149">
        <v>1198.335</v>
      </c>
      <c r="AB263" s="149">
        <v>194.77481399999999</v>
      </c>
      <c r="AC263" s="149">
        <v>233.06353322528363</v>
      </c>
      <c r="AD263" s="156">
        <v>37.88164940032415</v>
      </c>
      <c r="AE263" s="149" t="str">
        <f>IFERROR(_xlfn.XLOOKUP(DATA_MASTER[[#This Row],[DATE]],RODEO[DATE],RODEO[ARTIST]),"")</f>
        <v/>
      </c>
      <c r="AF263" s="172">
        <f>IF(DATA_MASTER[[#This Row],[RODEO_ARTIST]]="",0,1)</f>
        <v>0</v>
      </c>
      <c r="AG263" t="str">
        <f>IFERROR(RIGHT(_xlfn.XLOOKUP(DATA_MASTER[[#This Row],[DATE]],ASTROS[DATE],ASTROS[OPPONENT]),LEN(_xlfn.XLOOKUP(DATA_MASTER[[#This Row],[DATE]],ASTROS[DATE],ASTROS[OPPONENT]))-3),"NO GAME")</f>
        <v>Seattle Mariners</v>
      </c>
      <c r="AH263">
        <f>IF(DATA_MASTER[[#This Row],[ASTROS_GAME]]="NO GAME",0,1)</f>
        <v>1</v>
      </c>
      <c r="AI263">
        <f>_xlfn.XLOOKUP(DATA_MASTER[[#This Row],[DATE]],WEATHER[DATE],WEATHER[tempmax])</f>
        <v>82.5</v>
      </c>
      <c r="AJ263">
        <f>_xlfn.XLOOKUP(DATA_MASTER[[#This Row],[DATE]],WEATHER[DATE],WEATHER[precip])</f>
        <v>0</v>
      </c>
    </row>
    <row r="264" spans="1:36" x14ac:dyDescent="0.35">
      <c r="A264" s="155">
        <v>45417</v>
      </c>
      <c r="B264" s="144" t="s">
        <v>46</v>
      </c>
      <c r="C264" s="144" t="s">
        <v>50</v>
      </c>
      <c r="D264" s="144" t="s">
        <v>64</v>
      </c>
      <c r="E264" s="145">
        <f t="shared" si="93"/>
        <v>1</v>
      </c>
      <c r="F264" s="146">
        <f t="shared" si="76"/>
        <v>1</v>
      </c>
      <c r="G264" s="146">
        <f t="shared" si="77"/>
        <v>0</v>
      </c>
      <c r="H264" s="146">
        <f t="shared" si="78"/>
        <v>0</v>
      </c>
      <c r="I264" s="146">
        <f t="shared" si="79"/>
        <v>0</v>
      </c>
      <c r="J264" s="146">
        <f t="shared" si="80"/>
        <v>0</v>
      </c>
      <c r="K264" s="146">
        <f t="shared" si="81"/>
        <v>0</v>
      </c>
      <c r="L264" s="147">
        <f t="shared" si="94"/>
        <v>0</v>
      </c>
      <c r="M264" s="147">
        <f t="shared" si="82"/>
        <v>0</v>
      </c>
      <c r="N264" s="147">
        <f t="shared" si="83"/>
        <v>0</v>
      </c>
      <c r="O264" s="147">
        <f t="shared" si="84"/>
        <v>0</v>
      </c>
      <c r="P264" s="147">
        <f t="shared" si="85"/>
        <v>1</v>
      </c>
      <c r="Q264" s="147">
        <f t="shared" si="86"/>
        <v>0</v>
      </c>
      <c r="R264" s="147">
        <f t="shared" si="87"/>
        <v>0</v>
      </c>
      <c r="S264" s="147">
        <f t="shared" si="88"/>
        <v>0</v>
      </c>
      <c r="T264" s="147">
        <f t="shared" si="89"/>
        <v>0</v>
      </c>
      <c r="U264" s="147">
        <f t="shared" si="90"/>
        <v>0</v>
      </c>
      <c r="V264" s="147">
        <f t="shared" si="91"/>
        <v>0</v>
      </c>
      <c r="W264" s="129">
        <v>1</v>
      </c>
      <c r="X264" s="144" t="str">
        <f t="shared" si="92"/>
        <v>WEEKEND</v>
      </c>
      <c r="Y264" s="148">
        <v>6.166666666666667</v>
      </c>
      <c r="Z264" s="144" t="s">
        <v>45</v>
      </c>
      <c r="AA264" s="149">
        <v>1314.5</v>
      </c>
      <c r="AB264" s="149">
        <v>330.93636000000004</v>
      </c>
      <c r="AC264" s="149">
        <v>213.16216216216216</v>
      </c>
      <c r="AD264" s="156">
        <v>53.665355675675677</v>
      </c>
      <c r="AE264" s="149" t="str">
        <f>IFERROR(_xlfn.XLOOKUP(DATA_MASTER[[#This Row],[DATE]],RODEO[DATE],RODEO[ARTIST]),"")</f>
        <v/>
      </c>
      <c r="AF264" s="172">
        <f>IF(DATA_MASTER[[#This Row],[RODEO_ARTIST]]="",0,1)</f>
        <v>0</v>
      </c>
      <c r="AG264" t="str">
        <f>IFERROR(RIGHT(_xlfn.XLOOKUP(DATA_MASTER[[#This Row],[DATE]],ASTROS[DATE],ASTROS[OPPONENT]),LEN(_xlfn.XLOOKUP(DATA_MASTER[[#This Row],[DATE]],ASTROS[DATE],ASTROS[OPPONENT]))-3),"NO GAME")</f>
        <v>Seattle Mariners</v>
      </c>
      <c r="AH264">
        <f>IF(DATA_MASTER[[#This Row],[ASTROS_GAME]]="NO GAME",0,1)</f>
        <v>1</v>
      </c>
      <c r="AI264">
        <f>_xlfn.XLOOKUP(DATA_MASTER[[#This Row],[DATE]],WEATHER[DATE],WEATHER[tempmax])</f>
        <v>77.099999999999994</v>
      </c>
      <c r="AJ264">
        <f>_xlfn.XLOOKUP(DATA_MASTER[[#This Row],[DATE]],WEATHER[DATE],WEATHER[precip])</f>
        <v>1.2E-2</v>
      </c>
    </row>
    <row r="265" spans="1:36" x14ac:dyDescent="0.35">
      <c r="A265" s="155">
        <v>45418</v>
      </c>
      <c r="B265" s="144" t="s">
        <v>46</v>
      </c>
      <c r="C265" s="144" t="s">
        <v>51</v>
      </c>
      <c r="D265" s="144" t="s">
        <v>64</v>
      </c>
      <c r="E265" s="145">
        <f t="shared" si="93"/>
        <v>1</v>
      </c>
      <c r="F265" s="146">
        <f t="shared" si="76"/>
        <v>0</v>
      </c>
      <c r="G265" s="146">
        <f t="shared" si="77"/>
        <v>1</v>
      </c>
      <c r="H265" s="146">
        <f t="shared" si="78"/>
        <v>0</v>
      </c>
      <c r="I265" s="146">
        <f t="shared" si="79"/>
        <v>0</v>
      </c>
      <c r="J265" s="146">
        <f t="shared" si="80"/>
        <v>0</v>
      </c>
      <c r="K265" s="146">
        <f t="shared" si="81"/>
        <v>0</v>
      </c>
      <c r="L265" s="147">
        <f t="shared" si="94"/>
        <v>0</v>
      </c>
      <c r="M265" s="147">
        <f t="shared" si="82"/>
        <v>0</v>
      </c>
      <c r="N265" s="147">
        <f t="shared" si="83"/>
        <v>0</v>
      </c>
      <c r="O265" s="147">
        <f t="shared" si="84"/>
        <v>0</v>
      </c>
      <c r="P265" s="147">
        <f t="shared" si="85"/>
        <v>1</v>
      </c>
      <c r="Q265" s="147">
        <f t="shared" si="86"/>
        <v>0</v>
      </c>
      <c r="R265" s="147">
        <f t="shared" si="87"/>
        <v>0</v>
      </c>
      <c r="S265" s="147">
        <f t="shared" si="88"/>
        <v>0</v>
      </c>
      <c r="T265" s="147">
        <f t="shared" si="89"/>
        <v>0</v>
      </c>
      <c r="U265" s="147">
        <f t="shared" si="90"/>
        <v>0</v>
      </c>
      <c r="V265" s="147">
        <f t="shared" si="91"/>
        <v>0</v>
      </c>
      <c r="W265" s="129">
        <v>0</v>
      </c>
      <c r="X265" s="144" t="str">
        <f t="shared" si="92"/>
        <v>WEEKDAY</v>
      </c>
      <c r="Y265" s="148">
        <v>4.7833333333333332</v>
      </c>
      <c r="Z265" s="144" t="s">
        <v>45</v>
      </c>
      <c r="AA265" s="149">
        <v>1397.5</v>
      </c>
      <c r="AB265" s="149">
        <v>219.89998</v>
      </c>
      <c r="AC265" s="149">
        <v>292.16027874564463</v>
      </c>
      <c r="AD265" s="156">
        <v>45.9721212543554</v>
      </c>
      <c r="AE265" s="149" t="str">
        <f>IFERROR(_xlfn.XLOOKUP(DATA_MASTER[[#This Row],[DATE]],RODEO[DATE],RODEO[ARTIST]),"")</f>
        <v/>
      </c>
      <c r="AF265" s="172">
        <f>IF(DATA_MASTER[[#This Row],[RODEO_ARTIST]]="",0,1)</f>
        <v>0</v>
      </c>
      <c r="AG265" t="str">
        <f>IFERROR(RIGHT(_xlfn.XLOOKUP(DATA_MASTER[[#This Row],[DATE]],ASTROS[DATE],ASTROS[OPPONENT]),LEN(_xlfn.XLOOKUP(DATA_MASTER[[#This Row],[DATE]],ASTROS[DATE],ASTROS[OPPONENT]))-3),"NO GAME")</f>
        <v>NO GAME</v>
      </c>
      <c r="AH265">
        <f>IF(DATA_MASTER[[#This Row],[ASTROS_GAME]]="NO GAME",0,1)</f>
        <v>0</v>
      </c>
      <c r="AI265">
        <f>_xlfn.XLOOKUP(DATA_MASTER[[#This Row],[DATE]],WEATHER[DATE],WEATHER[tempmax])</f>
        <v>82.5</v>
      </c>
      <c r="AJ265">
        <f>_xlfn.XLOOKUP(DATA_MASTER[[#This Row],[DATE]],WEATHER[DATE],WEATHER[precip])</f>
        <v>0</v>
      </c>
    </row>
    <row r="266" spans="1:36" x14ac:dyDescent="0.35">
      <c r="A266" s="155">
        <v>45420</v>
      </c>
      <c r="B266" s="144" t="s">
        <v>46</v>
      </c>
      <c r="C266" s="144" t="s">
        <v>44</v>
      </c>
      <c r="D266" s="144" t="s">
        <v>64</v>
      </c>
      <c r="E266" s="145">
        <f t="shared" si="93"/>
        <v>1</v>
      </c>
      <c r="F266" s="146">
        <f t="shared" si="76"/>
        <v>0</v>
      </c>
      <c r="G266" s="146">
        <f t="shared" si="77"/>
        <v>0</v>
      </c>
      <c r="H266" s="146">
        <f t="shared" si="78"/>
        <v>1</v>
      </c>
      <c r="I266" s="146">
        <f t="shared" si="79"/>
        <v>0</v>
      </c>
      <c r="J266" s="146">
        <f t="shared" si="80"/>
        <v>0</v>
      </c>
      <c r="K266" s="146">
        <f t="shared" si="81"/>
        <v>0</v>
      </c>
      <c r="L266" s="147">
        <f t="shared" si="94"/>
        <v>0</v>
      </c>
      <c r="M266" s="147">
        <f t="shared" si="82"/>
        <v>0</v>
      </c>
      <c r="N266" s="147">
        <f t="shared" si="83"/>
        <v>0</v>
      </c>
      <c r="O266" s="147">
        <f t="shared" si="84"/>
        <v>0</v>
      </c>
      <c r="P266" s="147">
        <f t="shared" si="85"/>
        <v>1</v>
      </c>
      <c r="Q266" s="147">
        <f t="shared" si="86"/>
        <v>0</v>
      </c>
      <c r="R266" s="147">
        <f t="shared" si="87"/>
        <v>0</v>
      </c>
      <c r="S266" s="147">
        <f t="shared" si="88"/>
        <v>0</v>
      </c>
      <c r="T266" s="147">
        <f t="shared" si="89"/>
        <v>0</v>
      </c>
      <c r="U266" s="147">
        <f t="shared" si="90"/>
        <v>0</v>
      </c>
      <c r="V266" s="147">
        <f t="shared" si="91"/>
        <v>0</v>
      </c>
      <c r="W266" s="129">
        <v>0</v>
      </c>
      <c r="X266" s="144" t="str">
        <f t="shared" si="92"/>
        <v>WEEKDAY</v>
      </c>
      <c r="Y266" s="148">
        <v>4</v>
      </c>
      <c r="Z266" s="144" t="s">
        <v>45</v>
      </c>
      <c r="AA266" s="149">
        <v>570.5</v>
      </c>
      <c r="AB266" s="149">
        <v>98.66968</v>
      </c>
      <c r="AC266" s="149">
        <v>142.625</v>
      </c>
      <c r="AD266" s="156">
        <v>24.66742</v>
      </c>
      <c r="AE266" s="149" t="str">
        <f>IFERROR(_xlfn.XLOOKUP(DATA_MASTER[[#This Row],[DATE]],RODEO[DATE],RODEO[ARTIST]),"")</f>
        <v/>
      </c>
      <c r="AF266" s="172">
        <f>IF(DATA_MASTER[[#This Row],[RODEO_ARTIST]]="",0,1)</f>
        <v>0</v>
      </c>
      <c r="AG266" t="str">
        <f>IFERROR(RIGHT(_xlfn.XLOOKUP(DATA_MASTER[[#This Row],[DATE]],ASTROS[DATE],ASTROS[OPPONENT]),LEN(_xlfn.XLOOKUP(DATA_MASTER[[#This Row],[DATE]],ASTROS[DATE],ASTROS[OPPONENT]))-3),"NO GAME")</f>
        <v>NO GAME</v>
      </c>
      <c r="AH266">
        <f>IF(DATA_MASTER[[#This Row],[ASTROS_GAME]]="NO GAME",0,1)</f>
        <v>0</v>
      </c>
      <c r="AI266">
        <f>_xlfn.XLOOKUP(DATA_MASTER[[#This Row],[DATE]],WEATHER[DATE],WEATHER[tempmax])</f>
        <v>86</v>
      </c>
      <c r="AJ266">
        <f>_xlfn.XLOOKUP(DATA_MASTER[[#This Row],[DATE]],WEATHER[DATE],WEATHER[precip])</f>
        <v>0</v>
      </c>
    </row>
    <row r="267" spans="1:36" x14ac:dyDescent="0.35">
      <c r="A267" s="155">
        <v>45422</v>
      </c>
      <c r="B267" s="144" t="s">
        <v>46</v>
      </c>
      <c r="C267" s="144" t="s">
        <v>48</v>
      </c>
      <c r="D267" s="144" t="s">
        <v>64</v>
      </c>
      <c r="E267" s="145">
        <f t="shared" si="93"/>
        <v>1</v>
      </c>
      <c r="F267" s="146">
        <f t="shared" si="76"/>
        <v>0</v>
      </c>
      <c r="G267" s="146">
        <f t="shared" si="77"/>
        <v>0</v>
      </c>
      <c r="H267" s="146">
        <f t="shared" si="78"/>
        <v>0</v>
      </c>
      <c r="I267" s="146">
        <f t="shared" si="79"/>
        <v>0</v>
      </c>
      <c r="J267" s="146">
        <f t="shared" si="80"/>
        <v>1</v>
      </c>
      <c r="K267" s="146">
        <f t="shared" si="81"/>
        <v>0</v>
      </c>
      <c r="L267" s="147">
        <f t="shared" si="94"/>
        <v>0</v>
      </c>
      <c r="M267" s="147">
        <f t="shared" si="82"/>
        <v>0</v>
      </c>
      <c r="N267" s="147">
        <f t="shared" si="83"/>
        <v>0</v>
      </c>
      <c r="O267" s="147">
        <f t="shared" si="84"/>
        <v>0</v>
      </c>
      <c r="P267" s="147">
        <f t="shared" si="85"/>
        <v>1</v>
      </c>
      <c r="Q267" s="147">
        <f t="shared" si="86"/>
        <v>0</v>
      </c>
      <c r="R267" s="147">
        <f t="shared" si="87"/>
        <v>0</v>
      </c>
      <c r="S267" s="147">
        <f t="shared" si="88"/>
        <v>0</v>
      </c>
      <c r="T267" s="147">
        <f t="shared" si="89"/>
        <v>0</v>
      </c>
      <c r="U267" s="147">
        <f t="shared" si="90"/>
        <v>0</v>
      </c>
      <c r="V267" s="147">
        <f t="shared" si="91"/>
        <v>0</v>
      </c>
      <c r="W267" s="129">
        <v>1</v>
      </c>
      <c r="X267" s="144" t="str">
        <f t="shared" si="92"/>
        <v>WEEKEND</v>
      </c>
      <c r="Y267" s="148">
        <v>7.333333333333333</v>
      </c>
      <c r="Z267" s="144" t="s">
        <v>45</v>
      </c>
      <c r="AA267" s="149">
        <v>1527.5</v>
      </c>
      <c r="AB267" s="149">
        <v>220.57392000000004</v>
      </c>
      <c r="AC267" s="149">
        <v>208.29545454545456</v>
      </c>
      <c r="AD267" s="156">
        <v>30.078261818181826</v>
      </c>
      <c r="AE267" s="149" t="str">
        <f>IFERROR(_xlfn.XLOOKUP(DATA_MASTER[[#This Row],[DATE]],RODEO[DATE],RODEO[ARTIST]),"")</f>
        <v/>
      </c>
      <c r="AF267" s="172">
        <f>IF(DATA_MASTER[[#This Row],[RODEO_ARTIST]]="",0,1)</f>
        <v>0</v>
      </c>
      <c r="AG267" t="str">
        <f>IFERROR(RIGHT(_xlfn.XLOOKUP(DATA_MASTER[[#This Row],[DATE]],ASTROS[DATE],ASTROS[OPPONENT]),LEN(_xlfn.XLOOKUP(DATA_MASTER[[#This Row],[DATE]],ASTROS[DATE],ASTROS[OPPONENT]))-3),"NO GAME")</f>
        <v>NO GAME</v>
      </c>
      <c r="AH267">
        <f>IF(DATA_MASTER[[#This Row],[ASTROS_GAME]]="NO GAME",0,1)</f>
        <v>0</v>
      </c>
      <c r="AI267">
        <f>_xlfn.XLOOKUP(DATA_MASTER[[#This Row],[DATE]],WEATHER[DATE],WEATHER[tempmax])</f>
        <v>86.1</v>
      </c>
      <c r="AJ267">
        <f>_xlfn.XLOOKUP(DATA_MASTER[[#This Row],[DATE]],WEATHER[DATE],WEATHER[precip])</f>
        <v>0</v>
      </c>
    </row>
    <row r="268" spans="1:36" x14ac:dyDescent="0.35">
      <c r="A268" s="155">
        <v>45423</v>
      </c>
      <c r="B268" s="144" t="s">
        <v>42</v>
      </c>
      <c r="C268" s="144" t="s">
        <v>49</v>
      </c>
      <c r="D268" s="144" t="s">
        <v>64</v>
      </c>
      <c r="E268" s="145">
        <f t="shared" si="93"/>
        <v>0</v>
      </c>
      <c r="F268" s="146">
        <f t="shared" si="76"/>
        <v>0</v>
      </c>
      <c r="G268" s="146">
        <f t="shared" si="77"/>
        <v>0</v>
      </c>
      <c r="H268" s="146">
        <f t="shared" si="78"/>
        <v>0</v>
      </c>
      <c r="I268" s="146">
        <f t="shared" si="79"/>
        <v>0</v>
      </c>
      <c r="J268" s="146">
        <f t="shared" si="80"/>
        <v>0</v>
      </c>
      <c r="K268" s="146">
        <f t="shared" si="81"/>
        <v>1</v>
      </c>
      <c r="L268" s="147">
        <f t="shared" si="94"/>
        <v>0</v>
      </c>
      <c r="M268" s="147">
        <f t="shared" si="82"/>
        <v>0</v>
      </c>
      <c r="N268" s="147">
        <f t="shared" si="83"/>
        <v>0</v>
      </c>
      <c r="O268" s="147">
        <f t="shared" si="84"/>
        <v>0</v>
      </c>
      <c r="P268" s="147">
        <f t="shared" si="85"/>
        <v>1</v>
      </c>
      <c r="Q268" s="147">
        <f t="shared" si="86"/>
        <v>0</v>
      </c>
      <c r="R268" s="147">
        <f t="shared" si="87"/>
        <v>0</v>
      </c>
      <c r="S268" s="147">
        <f t="shared" si="88"/>
        <v>0</v>
      </c>
      <c r="T268" s="147">
        <f t="shared" si="89"/>
        <v>0</v>
      </c>
      <c r="U268" s="147">
        <f t="shared" si="90"/>
        <v>0</v>
      </c>
      <c r="V268" s="147">
        <f t="shared" si="91"/>
        <v>0</v>
      </c>
      <c r="W268" s="129">
        <v>1</v>
      </c>
      <c r="X268" s="144" t="str">
        <f t="shared" si="92"/>
        <v>WEEKEND</v>
      </c>
      <c r="Y268" s="148">
        <v>5.4</v>
      </c>
      <c r="Z268" s="144" t="s">
        <v>55</v>
      </c>
      <c r="AA268" s="149">
        <v>1165</v>
      </c>
      <c r="AB268" s="149">
        <v>180.02605600000001</v>
      </c>
      <c r="AC268" s="149">
        <v>215.74074074074073</v>
      </c>
      <c r="AD268" s="156">
        <v>33.338158518518519</v>
      </c>
      <c r="AE268" s="149" t="str">
        <f>IFERROR(_xlfn.XLOOKUP(DATA_MASTER[[#This Row],[DATE]],RODEO[DATE],RODEO[ARTIST]),"")</f>
        <v/>
      </c>
      <c r="AF268" s="172">
        <f>IF(DATA_MASTER[[#This Row],[RODEO_ARTIST]]="",0,1)</f>
        <v>0</v>
      </c>
      <c r="AG268" t="str">
        <f>IFERROR(RIGHT(_xlfn.XLOOKUP(DATA_MASTER[[#This Row],[DATE]],ASTROS[DATE],ASTROS[OPPONENT]),LEN(_xlfn.XLOOKUP(DATA_MASTER[[#This Row],[DATE]],ASTROS[DATE],ASTROS[OPPONENT]))-3),"NO GAME")</f>
        <v>NO GAME</v>
      </c>
      <c r="AH268">
        <f>IF(DATA_MASTER[[#This Row],[ASTROS_GAME]]="NO GAME",0,1)</f>
        <v>0</v>
      </c>
      <c r="AI268">
        <f>_xlfn.XLOOKUP(DATA_MASTER[[#This Row],[DATE]],WEATHER[DATE],WEATHER[tempmax])</f>
        <v>78.900000000000006</v>
      </c>
      <c r="AJ268">
        <f>_xlfn.XLOOKUP(DATA_MASTER[[#This Row],[DATE]],WEATHER[DATE],WEATHER[precip])</f>
        <v>0</v>
      </c>
    </row>
    <row r="269" spans="1:36" x14ac:dyDescent="0.35">
      <c r="A269" s="155">
        <v>45423</v>
      </c>
      <c r="B269" s="144" t="s">
        <v>46</v>
      </c>
      <c r="C269" s="144" t="s">
        <v>49</v>
      </c>
      <c r="D269" s="144" t="s">
        <v>64</v>
      </c>
      <c r="E269" s="145">
        <f t="shared" si="93"/>
        <v>1</v>
      </c>
      <c r="F269" s="146">
        <f t="shared" si="76"/>
        <v>0</v>
      </c>
      <c r="G269" s="146">
        <f t="shared" si="77"/>
        <v>0</v>
      </c>
      <c r="H269" s="146">
        <f t="shared" si="78"/>
        <v>0</v>
      </c>
      <c r="I269" s="146">
        <f t="shared" si="79"/>
        <v>0</v>
      </c>
      <c r="J269" s="146">
        <f t="shared" si="80"/>
        <v>0</v>
      </c>
      <c r="K269" s="146">
        <f t="shared" si="81"/>
        <v>1</v>
      </c>
      <c r="L269" s="147">
        <f t="shared" si="94"/>
        <v>0</v>
      </c>
      <c r="M269" s="147">
        <f t="shared" si="82"/>
        <v>0</v>
      </c>
      <c r="N269" s="147">
        <f t="shared" si="83"/>
        <v>0</v>
      </c>
      <c r="O269" s="147">
        <f t="shared" si="84"/>
        <v>0</v>
      </c>
      <c r="P269" s="147">
        <f t="shared" si="85"/>
        <v>1</v>
      </c>
      <c r="Q269" s="147">
        <f t="shared" si="86"/>
        <v>0</v>
      </c>
      <c r="R269" s="147">
        <f t="shared" si="87"/>
        <v>0</v>
      </c>
      <c r="S269" s="147">
        <f t="shared" si="88"/>
        <v>0</v>
      </c>
      <c r="T269" s="147">
        <f t="shared" si="89"/>
        <v>0</v>
      </c>
      <c r="U269" s="147">
        <f t="shared" si="90"/>
        <v>0</v>
      </c>
      <c r="V269" s="147">
        <f t="shared" si="91"/>
        <v>0</v>
      </c>
      <c r="W269" s="129">
        <v>1</v>
      </c>
      <c r="X269" s="144" t="str">
        <f t="shared" si="92"/>
        <v>WEEKEND</v>
      </c>
      <c r="Y269" s="148">
        <v>5.4</v>
      </c>
      <c r="Z269" s="144" t="s">
        <v>55</v>
      </c>
      <c r="AA269" s="149">
        <v>1165</v>
      </c>
      <c r="AB269" s="149">
        <v>180.02605600000001</v>
      </c>
      <c r="AC269" s="149">
        <v>215.74074074074073</v>
      </c>
      <c r="AD269" s="156">
        <v>33.338158518518519</v>
      </c>
      <c r="AE269" s="149" t="str">
        <f>IFERROR(_xlfn.XLOOKUP(DATA_MASTER[[#This Row],[DATE]],RODEO[DATE],RODEO[ARTIST]),"")</f>
        <v/>
      </c>
      <c r="AF269" s="172">
        <f>IF(DATA_MASTER[[#This Row],[RODEO_ARTIST]]="",0,1)</f>
        <v>0</v>
      </c>
      <c r="AG269" t="str">
        <f>IFERROR(RIGHT(_xlfn.XLOOKUP(DATA_MASTER[[#This Row],[DATE]],ASTROS[DATE],ASTROS[OPPONENT]),LEN(_xlfn.XLOOKUP(DATA_MASTER[[#This Row],[DATE]],ASTROS[DATE],ASTROS[OPPONENT]))-3),"NO GAME")</f>
        <v>NO GAME</v>
      </c>
      <c r="AH269">
        <f>IF(DATA_MASTER[[#This Row],[ASTROS_GAME]]="NO GAME",0,1)</f>
        <v>0</v>
      </c>
      <c r="AI269">
        <f>_xlfn.XLOOKUP(DATA_MASTER[[#This Row],[DATE]],WEATHER[DATE],WEATHER[tempmax])</f>
        <v>78.900000000000006</v>
      </c>
      <c r="AJ269">
        <f>_xlfn.XLOOKUP(DATA_MASTER[[#This Row],[DATE]],WEATHER[DATE],WEATHER[precip])</f>
        <v>0</v>
      </c>
    </row>
    <row r="270" spans="1:36" x14ac:dyDescent="0.35">
      <c r="A270" s="155">
        <v>45424</v>
      </c>
      <c r="B270" s="144" t="s">
        <v>46</v>
      </c>
      <c r="C270" s="144" t="s">
        <v>50</v>
      </c>
      <c r="D270" s="144" t="s">
        <v>64</v>
      </c>
      <c r="E270" s="145">
        <f t="shared" si="93"/>
        <v>1</v>
      </c>
      <c r="F270" s="146">
        <f t="shared" si="76"/>
        <v>1</v>
      </c>
      <c r="G270" s="146">
        <f t="shared" si="77"/>
        <v>0</v>
      </c>
      <c r="H270" s="146">
        <f t="shared" si="78"/>
        <v>0</v>
      </c>
      <c r="I270" s="146">
        <f t="shared" si="79"/>
        <v>0</v>
      </c>
      <c r="J270" s="146">
        <f t="shared" si="80"/>
        <v>0</v>
      </c>
      <c r="K270" s="146">
        <f t="shared" si="81"/>
        <v>0</v>
      </c>
      <c r="L270" s="147">
        <f t="shared" si="94"/>
        <v>0</v>
      </c>
      <c r="M270" s="147">
        <f t="shared" si="82"/>
        <v>0</v>
      </c>
      <c r="N270" s="147">
        <f t="shared" si="83"/>
        <v>0</v>
      </c>
      <c r="O270" s="147">
        <f t="shared" si="84"/>
        <v>0</v>
      </c>
      <c r="P270" s="147">
        <f t="shared" si="85"/>
        <v>1</v>
      </c>
      <c r="Q270" s="147">
        <f t="shared" si="86"/>
        <v>0</v>
      </c>
      <c r="R270" s="147">
        <f t="shared" si="87"/>
        <v>0</v>
      </c>
      <c r="S270" s="147">
        <f t="shared" si="88"/>
        <v>0</v>
      </c>
      <c r="T270" s="147">
        <f t="shared" si="89"/>
        <v>0</v>
      </c>
      <c r="U270" s="147">
        <f t="shared" si="90"/>
        <v>0</v>
      </c>
      <c r="V270" s="147">
        <f t="shared" si="91"/>
        <v>0</v>
      </c>
      <c r="W270" s="129">
        <v>1</v>
      </c>
      <c r="X270" s="144" t="str">
        <f t="shared" si="92"/>
        <v>WEEKEND</v>
      </c>
      <c r="Y270" s="148">
        <v>7</v>
      </c>
      <c r="Z270" s="144" t="s">
        <v>45</v>
      </c>
      <c r="AA270" s="149">
        <v>2631.5</v>
      </c>
      <c r="AB270" s="149">
        <v>441.84240000000005</v>
      </c>
      <c r="AC270" s="149">
        <v>375.92857142857144</v>
      </c>
      <c r="AD270" s="156">
        <v>63.120342857142866</v>
      </c>
      <c r="AE270" s="149" t="str">
        <f>IFERROR(_xlfn.XLOOKUP(DATA_MASTER[[#This Row],[DATE]],RODEO[DATE],RODEO[ARTIST]),"")</f>
        <v/>
      </c>
      <c r="AF270" s="172">
        <f>IF(DATA_MASTER[[#This Row],[RODEO_ARTIST]]="",0,1)</f>
        <v>0</v>
      </c>
      <c r="AG270" t="str">
        <f>IFERROR(RIGHT(_xlfn.XLOOKUP(DATA_MASTER[[#This Row],[DATE]],ASTROS[DATE],ASTROS[OPPONENT]),LEN(_xlfn.XLOOKUP(DATA_MASTER[[#This Row],[DATE]],ASTROS[DATE],ASTROS[OPPONENT]))-3),"NO GAME")</f>
        <v>NO GAME</v>
      </c>
      <c r="AH270">
        <f>IF(DATA_MASTER[[#This Row],[ASTROS_GAME]]="NO GAME",0,1)</f>
        <v>0</v>
      </c>
      <c r="AI270">
        <f>_xlfn.XLOOKUP(DATA_MASTER[[#This Row],[DATE]],WEATHER[DATE],WEATHER[tempmax])</f>
        <v>82.5</v>
      </c>
      <c r="AJ270">
        <f>_xlfn.XLOOKUP(DATA_MASTER[[#This Row],[DATE]],WEATHER[DATE],WEATHER[precip])</f>
        <v>1.4999999999999999E-2</v>
      </c>
    </row>
    <row r="271" spans="1:36" x14ac:dyDescent="0.35">
      <c r="A271" s="155">
        <v>45425</v>
      </c>
      <c r="B271" s="144" t="s">
        <v>42</v>
      </c>
      <c r="C271" s="144" t="s">
        <v>51</v>
      </c>
      <c r="D271" s="144" t="s">
        <v>64</v>
      </c>
      <c r="E271" s="145">
        <f t="shared" si="93"/>
        <v>0</v>
      </c>
      <c r="F271" s="146">
        <f t="shared" si="76"/>
        <v>0</v>
      </c>
      <c r="G271" s="146">
        <f t="shared" si="77"/>
        <v>1</v>
      </c>
      <c r="H271" s="146">
        <f t="shared" si="78"/>
        <v>0</v>
      </c>
      <c r="I271" s="146">
        <f t="shared" si="79"/>
        <v>0</v>
      </c>
      <c r="J271" s="146">
        <f t="shared" si="80"/>
        <v>0</v>
      </c>
      <c r="K271" s="146">
        <f t="shared" si="81"/>
        <v>0</v>
      </c>
      <c r="L271" s="147">
        <f t="shared" si="94"/>
        <v>0</v>
      </c>
      <c r="M271" s="147">
        <f t="shared" si="82"/>
        <v>0</v>
      </c>
      <c r="N271" s="147">
        <f t="shared" si="83"/>
        <v>0</v>
      </c>
      <c r="O271" s="147">
        <f t="shared" si="84"/>
        <v>0</v>
      </c>
      <c r="P271" s="147">
        <f t="shared" si="85"/>
        <v>1</v>
      </c>
      <c r="Q271" s="147">
        <f t="shared" si="86"/>
        <v>0</v>
      </c>
      <c r="R271" s="147">
        <f t="shared" si="87"/>
        <v>0</v>
      </c>
      <c r="S271" s="147">
        <f t="shared" si="88"/>
        <v>0</v>
      </c>
      <c r="T271" s="147">
        <f t="shared" si="89"/>
        <v>0</v>
      </c>
      <c r="U271" s="147">
        <f t="shared" si="90"/>
        <v>0</v>
      </c>
      <c r="V271" s="147">
        <f t="shared" si="91"/>
        <v>0</v>
      </c>
      <c r="W271" s="129">
        <v>0</v>
      </c>
      <c r="X271" s="144" t="str">
        <f t="shared" si="92"/>
        <v>WEEKDAY</v>
      </c>
      <c r="Y271" s="148">
        <v>0</v>
      </c>
      <c r="Z271" s="144" t="s">
        <v>45</v>
      </c>
      <c r="AA271" s="149">
        <v>390.5</v>
      </c>
      <c r="AB271" s="149">
        <v>68.12</v>
      </c>
      <c r="AC271" s="149">
        <v>0</v>
      </c>
      <c r="AD271" s="156">
        <v>0</v>
      </c>
      <c r="AE271" s="149" t="str">
        <f>IFERROR(_xlfn.XLOOKUP(DATA_MASTER[[#This Row],[DATE]],RODEO[DATE],RODEO[ARTIST]),"")</f>
        <v/>
      </c>
      <c r="AF271" s="172">
        <f>IF(DATA_MASTER[[#This Row],[RODEO_ARTIST]]="",0,1)</f>
        <v>0</v>
      </c>
      <c r="AG271" t="str">
        <f>IFERROR(RIGHT(_xlfn.XLOOKUP(DATA_MASTER[[#This Row],[DATE]],ASTROS[DATE],ASTROS[OPPONENT]),LEN(_xlfn.XLOOKUP(DATA_MASTER[[#This Row],[DATE]],ASTROS[DATE],ASTROS[OPPONENT]))-3),"NO GAME")</f>
        <v>Oakland Athletics</v>
      </c>
      <c r="AH271">
        <f>IF(DATA_MASTER[[#This Row],[ASTROS_GAME]]="NO GAME",0,1)</f>
        <v>1</v>
      </c>
      <c r="AI271">
        <f>_xlfn.XLOOKUP(DATA_MASTER[[#This Row],[DATE]],WEATHER[DATE],WEATHER[tempmax])</f>
        <v>87.7</v>
      </c>
      <c r="AJ271">
        <f>_xlfn.XLOOKUP(DATA_MASTER[[#This Row],[DATE]],WEATHER[DATE],WEATHER[precip])</f>
        <v>5.3999999999999999E-2</v>
      </c>
    </row>
    <row r="272" spans="1:36" x14ac:dyDescent="0.35">
      <c r="A272" s="155">
        <v>45427</v>
      </c>
      <c r="B272" s="144" t="s">
        <v>46</v>
      </c>
      <c r="C272" s="144" t="s">
        <v>44</v>
      </c>
      <c r="D272" s="144" t="s">
        <v>64</v>
      </c>
      <c r="E272" s="145">
        <f t="shared" si="93"/>
        <v>1</v>
      </c>
      <c r="F272" s="146">
        <f t="shared" si="76"/>
        <v>0</v>
      </c>
      <c r="G272" s="146">
        <f t="shared" si="77"/>
        <v>0</v>
      </c>
      <c r="H272" s="146">
        <f t="shared" si="78"/>
        <v>1</v>
      </c>
      <c r="I272" s="146">
        <f t="shared" si="79"/>
        <v>0</v>
      </c>
      <c r="J272" s="146">
        <f t="shared" si="80"/>
        <v>0</v>
      </c>
      <c r="K272" s="146">
        <f t="shared" si="81"/>
        <v>0</v>
      </c>
      <c r="L272" s="147">
        <f t="shared" si="94"/>
        <v>0</v>
      </c>
      <c r="M272" s="147">
        <f t="shared" si="82"/>
        <v>0</v>
      </c>
      <c r="N272" s="147">
        <f t="shared" si="83"/>
        <v>0</v>
      </c>
      <c r="O272" s="147">
        <f t="shared" si="84"/>
        <v>0</v>
      </c>
      <c r="P272" s="147">
        <f t="shared" si="85"/>
        <v>1</v>
      </c>
      <c r="Q272" s="147">
        <f t="shared" si="86"/>
        <v>0</v>
      </c>
      <c r="R272" s="147">
        <f t="shared" si="87"/>
        <v>0</v>
      </c>
      <c r="S272" s="147">
        <f t="shared" si="88"/>
        <v>0</v>
      </c>
      <c r="T272" s="147">
        <f t="shared" si="89"/>
        <v>0</v>
      </c>
      <c r="U272" s="147">
        <f t="shared" si="90"/>
        <v>0</v>
      </c>
      <c r="V272" s="147">
        <f t="shared" si="91"/>
        <v>0</v>
      </c>
      <c r="W272" s="129">
        <v>0</v>
      </c>
      <c r="X272" s="144" t="str">
        <f t="shared" si="92"/>
        <v>WEEKDAY</v>
      </c>
      <c r="Y272" s="148">
        <v>4.3666666666666663</v>
      </c>
      <c r="Z272" s="144" t="s">
        <v>45</v>
      </c>
      <c r="AA272" s="149">
        <v>904</v>
      </c>
      <c r="AB272" s="149">
        <v>151.49395200000001</v>
      </c>
      <c r="AC272" s="149">
        <v>207.02290076335879</v>
      </c>
      <c r="AD272" s="156">
        <v>34.693271450381687</v>
      </c>
      <c r="AE272" s="149" t="str">
        <f>IFERROR(_xlfn.XLOOKUP(DATA_MASTER[[#This Row],[DATE]],RODEO[DATE],RODEO[ARTIST]),"")</f>
        <v/>
      </c>
      <c r="AF272" s="172">
        <f>IF(DATA_MASTER[[#This Row],[RODEO_ARTIST]]="",0,1)</f>
        <v>0</v>
      </c>
      <c r="AG272" t="str">
        <f>IFERROR(RIGHT(_xlfn.XLOOKUP(DATA_MASTER[[#This Row],[DATE]],ASTROS[DATE],ASTROS[OPPONENT]),LEN(_xlfn.XLOOKUP(DATA_MASTER[[#This Row],[DATE]],ASTROS[DATE],ASTROS[OPPONENT]))-3),"NO GAME")</f>
        <v>Oakland Athletics</v>
      </c>
      <c r="AH272">
        <f>IF(DATA_MASTER[[#This Row],[ASTROS_GAME]]="NO GAME",0,1)</f>
        <v>1</v>
      </c>
      <c r="AI272">
        <f>_xlfn.XLOOKUP(DATA_MASTER[[#This Row],[DATE]],WEATHER[DATE],WEATHER[tempmax])</f>
        <v>91.4</v>
      </c>
      <c r="AJ272">
        <f>_xlfn.XLOOKUP(DATA_MASTER[[#This Row],[DATE]],WEATHER[DATE],WEATHER[precip])</f>
        <v>0</v>
      </c>
    </row>
    <row r="273" spans="1:36" x14ac:dyDescent="0.35">
      <c r="A273" s="155">
        <v>45428</v>
      </c>
      <c r="B273" s="144" t="s">
        <v>46</v>
      </c>
      <c r="C273" s="144" t="s">
        <v>47</v>
      </c>
      <c r="D273" s="144" t="s">
        <v>64</v>
      </c>
      <c r="E273" s="145">
        <f t="shared" si="93"/>
        <v>1</v>
      </c>
      <c r="F273" s="146">
        <f t="shared" si="76"/>
        <v>0</v>
      </c>
      <c r="G273" s="146">
        <f t="shared" si="77"/>
        <v>0</v>
      </c>
      <c r="H273" s="146">
        <f t="shared" si="78"/>
        <v>0</v>
      </c>
      <c r="I273" s="146">
        <f t="shared" si="79"/>
        <v>1</v>
      </c>
      <c r="J273" s="146">
        <f t="shared" si="80"/>
        <v>0</v>
      </c>
      <c r="K273" s="146">
        <f t="shared" si="81"/>
        <v>0</v>
      </c>
      <c r="L273" s="147">
        <f t="shared" si="94"/>
        <v>0</v>
      </c>
      <c r="M273" s="147">
        <f t="shared" si="82"/>
        <v>0</v>
      </c>
      <c r="N273" s="147">
        <f t="shared" si="83"/>
        <v>0</v>
      </c>
      <c r="O273" s="147">
        <f t="shared" si="84"/>
        <v>0</v>
      </c>
      <c r="P273" s="147">
        <f t="shared" si="85"/>
        <v>1</v>
      </c>
      <c r="Q273" s="147">
        <f t="shared" si="86"/>
        <v>0</v>
      </c>
      <c r="R273" s="147">
        <f t="shared" si="87"/>
        <v>0</v>
      </c>
      <c r="S273" s="147">
        <f t="shared" si="88"/>
        <v>0</v>
      </c>
      <c r="T273" s="147">
        <f t="shared" si="89"/>
        <v>0</v>
      </c>
      <c r="U273" s="147">
        <f t="shared" si="90"/>
        <v>0</v>
      </c>
      <c r="V273" s="147">
        <f t="shared" si="91"/>
        <v>0</v>
      </c>
      <c r="W273" s="129">
        <v>0</v>
      </c>
      <c r="X273" s="144" t="str">
        <f t="shared" si="92"/>
        <v>WEEKDAY</v>
      </c>
      <c r="Y273" s="148">
        <v>5</v>
      </c>
      <c r="Z273" s="144" t="s">
        <v>45</v>
      </c>
      <c r="AA273" s="149">
        <v>1066.5</v>
      </c>
      <c r="AB273" s="149">
        <v>158.003232</v>
      </c>
      <c r="AC273" s="149">
        <v>213.3</v>
      </c>
      <c r="AD273" s="156">
        <v>31.600646399999999</v>
      </c>
      <c r="AE273" s="149" t="str">
        <f>IFERROR(_xlfn.XLOOKUP(DATA_MASTER[[#This Row],[DATE]],RODEO[DATE],RODEO[ARTIST]),"")</f>
        <v/>
      </c>
      <c r="AF273" s="172">
        <f>IF(DATA_MASTER[[#This Row],[RODEO_ARTIST]]="",0,1)</f>
        <v>0</v>
      </c>
      <c r="AG273" t="str">
        <f>IFERROR(RIGHT(_xlfn.XLOOKUP(DATA_MASTER[[#This Row],[DATE]],ASTROS[DATE],ASTROS[OPPONENT]),LEN(_xlfn.XLOOKUP(DATA_MASTER[[#This Row],[DATE]],ASTROS[DATE],ASTROS[OPPONENT]))-3),"NO GAME")</f>
        <v>Oakland Athletics</v>
      </c>
      <c r="AH273">
        <f>IF(DATA_MASTER[[#This Row],[ASTROS_GAME]]="NO GAME",0,1)</f>
        <v>1</v>
      </c>
      <c r="AI273">
        <f>_xlfn.XLOOKUP(DATA_MASTER[[#This Row],[DATE]],WEATHER[DATE],WEATHER[tempmax])</f>
        <v>80.7</v>
      </c>
      <c r="AJ273">
        <f>_xlfn.XLOOKUP(DATA_MASTER[[#This Row],[DATE]],WEATHER[DATE],WEATHER[precip])</f>
        <v>4.9000000000000002E-2</v>
      </c>
    </row>
    <row r="274" spans="1:36" x14ac:dyDescent="0.35">
      <c r="A274" s="155">
        <v>45430</v>
      </c>
      <c r="B274" s="144" t="s">
        <v>42</v>
      </c>
      <c r="C274" s="144" t="s">
        <v>49</v>
      </c>
      <c r="D274" s="144" t="s">
        <v>64</v>
      </c>
      <c r="E274" s="145">
        <f t="shared" si="93"/>
        <v>0</v>
      </c>
      <c r="F274" s="146">
        <f t="shared" si="76"/>
        <v>0</v>
      </c>
      <c r="G274" s="146">
        <f t="shared" si="77"/>
        <v>0</v>
      </c>
      <c r="H274" s="146">
        <f t="shared" si="78"/>
        <v>0</v>
      </c>
      <c r="I274" s="146">
        <f t="shared" si="79"/>
        <v>0</v>
      </c>
      <c r="J274" s="146">
        <f t="shared" si="80"/>
        <v>0</v>
      </c>
      <c r="K274" s="146">
        <f t="shared" si="81"/>
        <v>1</v>
      </c>
      <c r="L274" s="147">
        <f t="shared" si="94"/>
        <v>0</v>
      </c>
      <c r="M274" s="147">
        <f t="shared" si="82"/>
        <v>0</v>
      </c>
      <c r="N274" s="147">
        <f t="shared" si="83"/>
        <v>0</v>
      </c>
      <c r="O274" s="147">
        <f t="shared" si="84"/>
        <v>0</v>
      </c>
      <c r="P274" s="147">
        <f t="shared" si="85"/>
        <v>1</v>
      </c>
      <c r="Q274" s="147">
        <f t="shared" si="86"/>
        <v>0</v>
      </c>
      <c r="R274" s="147">
        <f t="shared" si="87"/>
        <v>0</v>
      </c>
      <c r="S274" s="147">
        <f t="shared" si="88"/>
        <v>0</v>
      </c>
      <c r="T274" s="147">
        <f t="shared" si="89"/>
        <v>0</v>
      </c>
      <c r="U274" s="147">
        <f t="shared" si="90"/>
        <v>0</v>
      </c>
      <c r="V274" s="147">
        <f t="shared" si="91"/>
        <v>0</v>
      </c>
      <c r="W274" s="129">
        <v>0</v>
      </c>
      <c r="X274" s="144" t="str">
        <f t="shared" si="92"/>
        <v>WEEKDAY</v>
      </c>
      <c r="Y274" s="148">
        <v>0</v>
      </c>
      <c r="Z274" s="144" t="s">
        <v>45</v>
      </c>
      <c r="AA274" s="149">
        <v>1385.5</v>
      </c>
      <c r="AB274" s="149">
        <v>158.691464</v>
      </c>
      <c r="AC274" s="149">
        <v>0</v>
      </c>
      <c r="AD274" s="156">
        <v>0</v>
      </c>
      <c r="AE274" s="149" t="str">
        <f>IFERROR(_xlfn.XLOOKUP(DATA_MASTER[[#This Row],[DATE]],RODEO[DATE],RODEO[ARTIST]),"")</f>
        <v/>
      </c>
      <c r="AF274" s="172">
        <f>IF(DATA_MASTER[[#This Row],[RODEO_ARTIST]]="",0,1)</f>
        <v>0</v>
      </c>
      <c r="AG274" t="str">
        <f>IFERROR(RIGHT(_xlfn.XLOOKUP(DATA_MASTER[[#This Row],[DATE]],ASTROS[DATE],ASTROS[OPPONENT]),LEN(_xlfn.XLOOKUP(DATA_MASTER[[#This Row],[DATE]],ASTROS[DATE],ASTROS[OPPONENT]))-3),"NO GAME")</f>
        <v>Milwaukee Brewers</v>
      </c>
      <c r="AH274">
        <f>IF(DATA_MASTER[[#This Row],[ASTROS_GAME]]="NO GAME",0,1)</f>
        <v>1</v>
      </c>
      <c r="AI274">
        <f>_xlfn.XLOOKUP(DATA_MASTER[[#This Row],[DATE]],WEATHER[DATE],WEATHER[tempmax])</f>
        <v>89.6</v>
      </c>
      <c r="AJ274">
        <f>_xlfn.XLOOKUP(DATA_MASTER[[#This Row],[DATE]],WEATHER[DATE],WEATHER[precip])</f>
        <v>0</v>
      </c>
    </row>
    <row r="275" spans="1:36" x14ac:dyDescent="0.35">
      <c r="A275" s="155">
        <v>45430</v>
      </c>
      <c r="B275" s="144" t="s">
        <v>46</v>
      </c>
      <c r="C275" s="144" t="s">
        <v>49</v>
      </c>
      <c r="D275" s="144" t="s">
        <v>64</v>
      </c>
      <c r="E275" s="145">
        <f t="shared" si="93"/>
        <v>1</v>
      </c>
      <c r="F275" s="146">
        <f t="shared" si="76"/>
        <v>0</v>
      </c>
      <c r="G275" s="146">
        <f t="shared" si="77"/>
        <v>0</v>
      </c>
      <c r="H275" s="146">
        <f t="shared" si="78"/>
        <v>0</v>
      </c>
      <c r="I275" s="146">
        <f t="shared" si="79"/>
        <v>0</v>
      </c>
      <c r="J275" s="146">
        <f t="shared" si="80"/>
        <v>0</v>
      </c>
      <c r="K275" s="146">
        <f t="shared" si="81"/>
        <v>1</v>
      </c>
      <c r="L275" s="147">
        <f t="shared" si="94"/>
        <v>0</v>
      </c>
      <c r="M275" s="147">
        <f t="shared" si="82"/>
        <v>0</v>
      </c>
      <c r="N275" s="147">
        <f t="shared" si="83"/>
        <v>0</v>
      </c>
      <c r="O275" s="147">
        <f t="shared" si="84"/>
        <v>0</v>
      </c>
      <c r="P275" s="147">
        <f t="shared" si="85"/>
        <v>1</v>
      </c>
      <c r="Q275" s="147">
        <f t="shared" si="86"/>
        <v>0</v>
      </c>
      <c r="R275" s="147">
        <f t="shared" si="87"/>
        <v>0</v>
      </c>
      <c r="S275" s="147">
        <f t="shared" si="88"/>
        <v>0</v>
      </c>
      <c r="T275" s="147">
        <f t="shared" si="89"/>
        <v>0</v>
      </c>
      <c r="U275" s="147">
        <f t="shared" si="90"/>
        <v>0</v>
      </c>
      <c r="V275" s="147">
        <f t="shared" si="91"/>
        <v>0</v>
      </c>
      <c r="W275" s="129">
        <v>1</v>
      </c>
      <c r="X275" s="144" t="str">
        <f t="shared" si="92"/>
        <v>WEEKEND</v>
      </c>
      <c r="Y275" s="148">
        <v>5.2833333333333332</v>
      </c>
      <c r="Z275" s="144" t="s">
        <v>45</v>
      </c>
      <c r="AA275" s="149">
        <v>1555</v>
      </c>
      <c r="AB275" s="149">
        <v>280.04757199999995</v>
      </c>
      <c r="AC275" s="149">
        <v>294.32176656151421</v>
      </c>
      <c r="AD275" s="156">
        <v>53.005849589905353</v>
      </c>
      <c r="AE275" s="149" t="str">
        <f>IFERROR(_xlfn.XLOOKUP(DATA_MASTER[[#This Row],[DATE]],RODEO[DATE],RODEO[ARTIST]),"")</f>
        <v/>
      </c>
      <c r="AF275" s="172">
        <f>IF(DATA_MASTER[[#This Row],[RODEO_ARTIST]]="",0,1)</f>
        <v>0</v>
      </c>
      <c r="AG275" t="str">
        <f>IFERROR(RIGHT(_xlfn.XLOOKUP(DATA_MASTER[[#This Row],[DATE]],ASTROS[DATE],ASTROS[OPPONENT]),LEN(_xlfn.XLOOKUP(DATA_MASTER[[#This Row],[DATE]],ASTROS[DATE],ASTROS[OPPONENT]))-3),"NO GAME")</f>
        <v>Milwaukee Brewers</v>
      </c>
      <c r="AH275">
        <f>IF(DATA_MASTER[[#This Row],[ASTROS_GAME]]="NO GAME",0,1)</f>
        <v>1</v>
      </c>
      <c r="AI275">
        <f>_xlfn.XLOOKUP(DATA_MASTER[[#This Row],[DATE]],WEATHER[DATE],WEATHER[tempmax])</f>
        <v>89.6</v>
      </c>
      <c r="AJ275">
        <f>_xlfn.XLOOKUP(DATA_MASTER[[#This Row],[DATE]],WEATHER[DATE],WEATHER[precip])</f>
        <v>0</v>
      </c>
    </row>
    <row r="276" spans="1:36" x14ac:dyDescent="0.35">
      <c r="A276" s="155">
        <v>45431</v>
      </c>
      <c r="B276" s="144" t="s">
        <v>42</v>
      </c>
      <c r="C276" s="144" t="s">
        <v>50</v>
      </c>
      <c r="D276" s="144" t="s">
        <v>64</v>
      </c>
      <c r="E276" s="145">
        <f t="shared" si="93"/>
        <v>0</v>
      </c>
      <c r="F276" s="146">
        <f t="shared" si="76"/>
        <v>1</v>
      </c>
      <c r="G276" s="146">
        <f t="shared" si="77"/>
        <v>0</v>
      </c>
      <c r="H276" s="146">
        <f t="shared" si="78"/>
        <v>0</v>
      </c>
      <c r="I276" s="146">
        <f t="shared" si="79"/>
        <v>0</v>
      </c>
      <c r="J276" s="146">
        <f t="shared" si="80"/>
        <v>0</v>
      </c>
      <c r="K276" s="146">
        <f t="shared" si="81"/>
        <v>0</v>
      </c>
      <c r="L276" s="147">
        <f t="shared" si="94"/>
        <v>0</v>
      </c>
      <c r="M276" s="147">
        <f t="shared" si="82"/>
        <v>0</v>
      </c>
      <c r="N276" s="147">
        <f t="shared" si="83"/>
        <v>0</v>
      </c>
      <c r="O276" s="147">
        <f t="shared" si="84"/>
        <v>0</v>
      </c>
      <c r="P276" s="147">
        <f t="shared" si="85"/>
        <v>1</v>
      </c>
      <c r="Q276" s="147">
        <f t="shared" si="86"/>
        <v>0</v>
      </c>
      <c r="R276" s="147">
        <f t="shared" si="87"/>
        <v>0</v>
      </c>
      <c r="S276" s="147">
        <f t="shared" si="88"/>
        <v>0</v>
      </c>
      <c r="T276" s="147">
        <f t="shared" si="89"/>
        <v>0</v>
      </c>
      <c r="U276" s="147">
        <f t="shared" si="90"/>
        <v>0</v>
      </c>
      <c r="V276" s="147">
        <f t="shared" si="91"/>
        <v>0</v>
      </c>
      <c r="W276" s="129">
        <v>1</v>
      </c>
      <c r="X276" s="144" t="str">
        <f t="shared" si="92"/>
        <v>WEEKEND</v>
      </c>
      <c r="Y276" s="148">
        <v>4.833333333333333</v>
      </c>
      <c r="Z276" s="144" t="s">
        <v>55</v>
      </c>
      <c r="AA276" s="149">
        <v>525</v>
      </c>
      <c r="AB276" s="149">
        <v>103.512664</v>
      </c>
      <c r="AC276" s="149">
        <v>108.62068965517243</v>
      </c>
      <c r="AD276" s="156">
        <v>21.416413241379313</v>
      </c>
      <c r="AE276" s="149" t="str">
        <f>IFERROR(_xlfn.XLOOKUP(DATA_MASTER[[#This Row],[DATE]],RODEO[DATE],RODEO[ARTIST]),"")</f>
        <v/>
      </c>
      <c r="AF276" s="172">
        <f>IF(DATA_MASTER[[#This Row],[RODEO_ARTIST]]="",0,1)</f>
        <v>0</v>
      </c>
      <c r="AG276" t="str">
        <f>IFERROR(RIGHT(_xlfn.XLOOKUP(DATA_MASTER[[#This Row],[DATE]],ASTROS[DATE],ASTROS[OPPONENT]),LEN(_xlfn.XLOOKUP(DATA_MASTER[[#This Row],[DATE]],ASTROS[DATE],ASTROS[OPPONENT]))-3),"NO GAME")</f>
        <v>Milwaukee Brewers</v>
      </c>
      <c r="AH276">
        <f>IF(DATA_MASTER[[#This Row],[ASTROS_GAME]]="NO GAME",0,1)</f>
        <v>1</v>
      </c>
      <c r="AI276">
        <f>_xlfn.XLOOKUP(DATA_MASTER[[#This Row],[DATE]],WEATHER[DATE],WEATHER[tempmax])</f>
        <v>89.6</v>
      </c>
      <c r="AJ276">
        <f>_xlfn.XLOOKUP(DATA_MASTER[[#This Row],[DATE]],WEATHER[DATE],WEATHER[precip])</f>
        <v>0</v>
      </c>
    </row>
    <row r="277" spans="1:36" x14ac:dyDescent="0.35">
      <c r="A277" s="155">
        <v>45431</v>
      </c>
      <c r="B277" s="144" t="s">
        <v>46</v>
      </c>
      <c r="C277" s="144" t="s">
        <v>50</v>
      </c>
      <c r="D277" s="144" t="s">
        <v>64</v>
      </c>
      <c r="E277" s="145">
        <f t="shared" si="93"/>
        <v>1</v>
      </c>
      <c r="F277" s="146">
        <f t="shared" si="76"/>
        <v>1</v>
      </c>
      <c r="G277" s="146">
        <f t="shared" si="77"/>
        <v>0</v>
      </c>
      <c r="H277" s="146">
        <f t="shared" si="78"/>
        <v>0</v>
      </c>
      <c r="I277" s="146">
        <f t="shared" si="79"/>
        <v>0</v>
      </c>
      <c r="J277" s="146">
        <f t="shared" si="80"/>
        <v>0</v>
      </c>
      <c r="K277" s="146">
        <f t="shared" si="81"/>
        <v>0</v>
      </c>
      <c r="L277" s="147">
        <f t="shared" si="94"/>
        <v>0</v>
      </c>
      <c r="M277" s="147">
        <f t="shared" si="82"/>
        <v>0</v>
      </c>
      <c r="N277" s="147">
        <f t="shared" si="83"/>
        <v>0</v>
      </c>
      <c r="O277" s="147">
        <f t="shared" si="84"/>
        <v>0</v>
      </c>
      <c r="P277" s="147">
        <f t="shared" si="85"/>
        <v>1</v>
      </c>
      <c r="Q277" s="147">
        <f t="shared" si="86"/>
        <v>0</v>
      </c>
      <c r="R277" s="147">
        <f t="shared" si="87"/>
        <v>0</v>
      </c>
      <c r="S277" s="147">
        <f t="shared" si="88"/>
        <v>0</v>
      </c>
      <c r="T277" s="147">
        <f t="shared" si="89"/>
        <v>0</v>
      </c>
      <c r="U277" s="147">
        <f t="shared" si="90"/>
        <v>0</v>
      </c>
      <c r="V277" s="147">
        <f t="shared" si="91"/>
        <v>0</v>
      </c>
      <c r="W277" s="129">
        <v>1</v>
      </c>
      <c r="X277" s="144" t="str">
        <f t="shared" si="92"/>
        <v>WEEKEND</v>
      </c>
      <c r="Y277" s="148">
        <v>4.8833333333333337</v>
      </c>
      <c r="Z277" s="144" t="s">
        <v>55</v>
      </c>
      <c r="AA277" s="149">
        <v>1435</v>
      </c>
      <c r="AB277" s="149">
        <v>213.52000400000003</v>
      </c>
      <c r="AC277" s="149">
        <v>293.85665529010237</v>
      </c>
      <c r="AD277" s="156">
        <v>43.724232901023896</v>
      </c>
      <c r="AE277" s="149" t="str">
        <f>IFERROR(_xlfn.XLOOKUP(DATA_MASTER[[#This Row],[DATE]],RODEO[DATE],RODEO[ARTIST]),"")</f>
        <v/>
      </c>
      <c r="AF277" s="172">
        <f>IF(DATA_MASTER[[#This Row],[RODEO_ARTIST]]="",0,1)</f>
        <v>0</v>
      </c>
      <c r="AG277" t="str">
        <f>IFERROR(RIGHT(_xlfn.XLOOKUP(DATA_MASTER[[#This Row],[DATE]],ASTROS[DATE],ASTROS[OPPONENT]),LEN(_xlfn.XLOOKUP(DATA_MASTER[[#This Row],[DATE]],ASTROS[DATE],ASTROS[OPPONENT]))-3),"NO GAME")</f>
        <v>Milwaukee Brewers</v>
      </c>
      <c r="AH277">
        <f>IF(DATA_MASTER[[#This Row],[ASTROS_GAME]]="NO GAME",0,1)</f>
        <v>1</v>
      </c>
      <c r="AI277">
        <f>_xlfn.XLOOKUP(DATA_MASTER[[#This Row],[DATE]],WEATHER[DATE],WEATHER[tempmax])</f>
        <v>89.6</v>
      </c>
      <c r="AJ277">
        <f>_xlfn.XLOOKUP(DATA_MASTER[[#This Row],[DATE]],WEATHER[DATE],WEATHER[precip])</f>
        <v>0</v>
      </c>
    </row>
    <row r="278" spans="1:36" x14ac:dyDescent="0.35">
      <c r="A278" s="155">
        <v>45432</v>
      </c>
      <c r="B278" s="144" t="s">
        <v>46</v>
      </c>
      <c r="C278" s="144" t="s">
        <v>51</v>
      </c>
      <c r="D278" s="144" t="s">
        <v>64</v>
      </c>
      <c r="E278" s="145">
        <f t="shared" si="93"/>
        <v>1</v>
      </c>
      <c r="F278" s="146">
        <f t="shared" si="76"/>
        <v>0</v>
      </c>
      <c r="G278" s="146">
        <f t="shared" si="77"/>
        <v>1</v>
      </c>
      <c r="H278" s="146">
        <f t="shared" si="78"/>
        <v>0</v>
      </c>
      <c r="I278" s="146">
        <f t="shared" si="79"/>
        <v>0</v>
      </c>
      <c r="J278" s="146">
        <f t="shared" si="80"/>
        <v>0</v>
      </c>
      <c r="K278" s="146">
        <f t="shared" si="81"/>
        <v>0</v>
      </c>
      <c r="L278" s="147">
        <f t="shared" si="94"/>
        <v>0</v>
      </c>
      <c r="M278" s="147">
        <f t="shared" si="82"/>
        <v>0</v>
      </c>
      <c r="N278" s="147">
        <f t="shared" si="83"/>
        <v>0</v>
      </c>
      <c r="O278" s="147">
        <f t="shared" si="84"/>
        <v>0</v>
      </c>
      <c r="P278" s="147">
        <f t="shared" si="85"/>
        <v>1</v>
      </c>
      <c r="Q278" s="147">
        <f t="shared" si="86"/>
        <v>0</v>
      </c>
      <c r="R278" s="147">
        <f t="shared" si="87"/>
        <v>0</v>
      </c>
      <c r="S278" s="147">
        <f t="shared" si="88"/>
        <v>0</v>
      </c>
      <c r="T278" s="147">
        <f t="shared" si="89"/>
        <v>0</v>
      </c>
      <c r="U278" s="147">
        <f t="shared" si="90"/>
        <v>0</v>
      </c>
      <c r="V278" s="147">
        <f t="shared" si="91"/>
        <v>0</v>
      </c>
      <c r="W278" s="129">
        <v>0</v>
      </c>
      <c r="X278" s="144" t="str">
        <f t="shared" si="92"/>
        <v>WEEKDAY</v>
      </c>
      <c r="Y278" s="148">
        <v>3.95</v>
      </c>
      <c r="Z278" s="144" t="s">
        <v>45</v>
      </c>
      <c r="AA278" s="149">
        <v>57</v>
      </c>
      <c r="AB278" s="149">
        <v>132.661508</v>
      </c>
      <c r="AC278" s="149">
        <v>14.430379746835442</v>
      </c>
      <c r="AD278" s="156">
        <v>33.585191898734173</v>
      </c>
      <c r="AE278" s="149" t="str">
        <f>IFERROR(_xlfn.XLOOKUP(DATA_MASTER[[#This Row],[DATE]],RODEO[DATE],RODEO[ARTIST]),"")</f>
        <v/>
      </c>
      <c r="AF278" s="172">
        <f>IF(DATA_MASTER[[#This Row],[RODEO_ARTIST]]="",0,1)</f>
        <v>0</v>
      </c>
      <c r="AG278" t="str">
        <f>IFERROR(RIGHT(_xlfn.XLOOKUP(DATA_MASTER[[#This Row],[DATE]],ASTROS[DATE],ASTROS[OPPONENT]),LEN(_xlfn.XLOOKUP(DATA_MASTER[[#This Row],[DATE]],ASTROS[DATE],ASTROS[OPPONENT]))-3),"NO GAME")</f>
        <v>Los Angeles Angels</v>
      </c>
      <c r="AH278">
        <f>IF(DATA_MASTER[[#This Row],[ASTROS_GAME]]="NO GAME",0,1)</f>
        <v>1</v>
      </c>
      <c r="AI278">
        <f>_xlfn.XLOOKUP(DATA_MASTER[[#This Row],[DATE]],WEATHER[DATE],WEATHER[tempmax])</f>
        <v>89.6</v>
      </c>
      <c r="AJ278">
        <f>_xlfn.XLOOKUP(DATA_MASTER[[#This Row],[DATE]],WEATHER[DATE],WEATHER[precip])</f>
        <v>0</v>
      </c>
    </row>
    <row r="279" spans="1:36" x14ac:dyDescent="0.35">
      <c r="A279" s="155">
        <v>45434</v>
      </c>
      <c r="B279" s="144" t="s">
        <v>46</v>
      </c>
      <c r="C279" s="144" t="s">
        <v>44</v>
      </c>
      <c r="D279" s="144" t="s">
        <v>64</v>
      </c>
      <c r="E279" s="145">
        <f t="shared" si="93"/>
        <v>1</v>
      </c>
      <c r="F279" s="146">
        <f t="shared" si="76"/>
        <v>0</v>
      </c>
      <c r="G279" s="146">
        <f t="shared" si="77"/>
        <v>0</v>
      </c>
      <c r="H279" s="146">
        <f t="shared" si="78"/>
        <v>1</v>
      </c>
      <c r="I279" s="146">
        <f t="shared" si="79"/>
        <v>0</v>
      </c>
      <c r="J279" s="146">
        <f t="shared" si="80"/>
        <v>0</v>
      </c>
      <c r="K279" s="146">
        <f t="shared" si="81"/>
        <v>0</v>
      </c>
      <c r="L279" s="147">
        <f t="shared" si="94"/>
        <v>0</v>
      </c>
      <c r="M279" s="147">
        <f t="shared" si="82"/>
        <v>0</v>
      </c>
      <c r="N279" s="147">
        <f t="shared" si="83"/>
        <v>0</v>
      </c>
      <c r="O279" s="147">
        <f t="shared" si="84"/>
        <v>0</v>
      </c>
      <c r="P279" s="147">
        <f t="shared" si="85"/>
        <v>1</v>
      </c>
      <c r="Q279" s="147">
        <f t="shared" si="86"/>
        <v>0</v>
      </c>
      <c r="R279" s="147">
        <f t="shared" si="87"/>
        <v>0</v>
      </c>
      <c r="S279" s="147">
        <f t="shared" si="88"/>
        <v>0</v>
      </c>
      <c r="T279" s="147">
        <f t="shared" si="89"/>
        <v>0</v>
      </c>
      <c r="U279" s="147">
        <f t="shared" si="90"/>
        <v>0</v>
      </c>
      <c r="V279" s="147">
        <f t="shared" si="91"/>
        <v>0</v>
      </c>
      <c r="W279" s="129">
        <v>0</v>
      </c>
      <c r="X279" s="144" t="str">
        <f t="shared" si="92"/>
        <v>WEEKDAY</v>
      </c>
      <c r="Y279" s="148">
        <v>6.0166666666666666</v>
      </c>
      <c r="Z279" s="144" t="s">
        <v>45</v>
      </c>
      <c r="AA279" s="149">
        <v>1368</v>
      </c>
      <c r="AB279" s="149">
        <v>236.30309999999997</v>
      </c>
      <c r="AC279" s="149">
        <v>227.36842105263159</v>
      </c>
      <c r="AD279" s="156">
        <v>39.274753462603876</v>
      </c>
      <c r="AE279" s="149" t="str">
        <f>IFERROR(_xlfn.XLOOKUP(DATA_MASTER[[#This Row],[DATE]],RODEO[DATE],RODEO[ARTIST]),"")</f>
        <v/>
      </c>
      <c r="AF279" s="172">
        <f>IF(DATA_MASTER[[#This Row],[RODEO_ARTIST]]="",0,1)</f>
        <v>0</v>
      </c>
      <c r="AG279" t="str">
        <f>IFERROR(RIGHT(_xlfn.XLOOKUP(DATA_MASTER[[#This Row],[DATE]],ASTROS[DATE],ASTROS[OPPONENT]),LEN(_xlfn.XLOOKUP(DATA_MASTER[[#This Row],[DATE]],ASTROS[DATE],ASTROS[OPPONENT]))-3),"NO GAME")</f>
        <v>Los Angeles Angels</v>
      </c>
      <c r="AH279">
        <f>IF(DATA_MASTER[[#This Row],[ASTROS_GAME]]="NO GAME",0,1)</f>
        <v>1</v>
      </c>
      <c r="AI279">
        <f>_xlfn.XLOOKUP(DATA_MASTER[[#This Row],[DATE]],WEATHER[DATE],WEATHER[tempmax])</f>
        <v>87.8</v>
      </c>
      <c r="AJ279">
        <f>_xlfn.XLOOKUP(DATA_MASTER[[#This Row],[DATE]],WEATHER[DATE],WEATHER[precip])</f>
        <v>0</v>
      </c>
    </row>
    <row r="280" spans="1:36" x14ac:dyDescent="0.35">
      <c r="A280" s="155">
        <v>45435</v>
      </c>
      <c r="B280" s="144" t="s">
        <v>46</v>
      </c>
      <c r="C280" s="144" t="s">
        <v>47</v>
      </c>
      <c r="D280" s="144" t="s">
        <v>64</v>
      </c>
      <c r="E280" s="145">
        <f t="shared" si="93"/>
        <v>1</v>
      </c>
      <c r="F280" s="146">
        <f t="shared" si="76"/>
        <v>0</v>
      </c>
      <c r="G280" s="146">
        <f t="shared" si="77"/>
        <v>0</v>
      </c>
      <c r="H280" s="146">
        <f t="shared" si="78"/>
        <v>0</v>
      </c>
      <c r="I280" s="146">
        <f t="shared" si="79"/>
        <v>1</v>
      </c>
      <c r="J280" s="146">
        <f t="shared" si="80"/>
        <v>0</v>
      </c>
      <c r="K280" s="146">
        <f t="shared" si="81"/>
        <v>0</v>
      </c>
      <c r="L280" s="147">
        <f t="shared" si="94"/>
        <v>0</v>
      </c>
      <c r="M280" s="147">
        <f t="shared" si="82"/>
        <v>0</v>
      </c>
      <c r="N280" s="147">
        <f t="shared" si="83"/>
        <v>0</v>
      </c>
      <c r="O280" s="147">
        <f t="shared" si="84"/>
        <v>0</v>
      </c>
      <c r="P280" s="147">
        <f t="shared" si="85"/>
        <v>1</v>
      </c>
      <c r="Q280" s="147">
        <f t="shared" si="86"/>
        <v>0</v>
      </c>
      <c r="R280" s="147">
        <f t="shared" si="87"/>
        <v>0</v>
      </c>
      <c r="S280" s="147">
        <f t="shared" si="88"/>
        <v>0</v>
      </c>
      <c r="T280" s="147">
        <f t="shared" si="89"/>
        <v>0</v>
      </c>
      <c r="U280" s="147">
        <f t="shared" si="90"/>
        <v>0</v>
      </c>
      <c r="V280" s="147">
        <f t="shared" si="91"/>
        <v>0</v>
      </c>
      <c r="W280" s="129">
        <v>0</v>
      </c>
      <c r="X280" s="144" t="str">
        <f t="shared" si="92"/>
        <v>WEEKDAY</v>
      </c>
      <c r="Y280" s="148">
        <v>4.833333333333333</v>
      </c>
      <c r="Z280" s="144" t="s">
        <v>45</v>
      </c>
      <c r="AA280" s="149">
        <v>1300.5</v>
      </c>
      <c r="AB280" s="149">
        <v>210.908976</v>
      </c>
      <c r="AC280" s="149">
        <v>269.06896551724139</v>
      </c>
      <c r="AD280" s="156">
        <v>43.636339862068965</v>
      </c>
      <c r="AE280" s="149" t="str">
        <f>IFERROR(_xlfn.XLOOKUP(DATA_MASTER[[#This Row],[DATE]],RODEO[DATE],RODEO[ARTIST]),"")</f>
        <v/>
      </c>
      <c r="AF280" s="172">
        <f>IF(DATA_MASTER[[#This Row],[RODEO_ARTIST]]="",0,1)</f>
        <v>0</v>
      </c>
      <c r="AG280" t="str">
        <f>IFERROR(RIGHT(_xlfn.XLOOKUP(DATA_MASTER[[#This Row],[DATE]],ASTROS[DATE],ASTROS[OPPONENT]),LEN(_xlfn.XLOOKUP(DATA_MASTER[[#This Row],[DATE]],ASTROS[DATE],ASTROS[OPPONENT]))-3),"NO GAME")</f>
        <v>NO GAME</v>
      </c>
      <c r="AH280">
        <f>IF(DATA_MASTER[[#This Row],[ASTROS_GAME]]="NO GAME",0,1)</f>
        <v>0</v>
      </c>
      <c r="AI280">
        <f>_xlfn.XLOOKUP(DATA_MASTER[[#This Row],[DATE]],WEATHER[DATE],WEATHER[tempmax])</f>
        <v>89.7</v>
      </c>
      <c r="AJ280">
        <f>_xlfn.XLOOKUP(DATA_MASTER[[#This Row],[DATE]],WEATHER[DATE],WEATHER[precip])</f>
        <v>0</v>
      </c>
    </row>
    <row r="281" spans="1:36" x14ac:dyDescent="0.35">
      <c r="A281" s="155">
        <v>45436</v>
      </c>
      <c r="B281" s="144" t="s">
        <v>42</v>
      </c>
      <c r="C281" s="144" t="s">
        <v>48</v>
      </c>
      <c r="D281" s="144" t="s">
        <v>64</v>
      </c>
      <c r="E281" s="145">
        <f t="shared" si="93"/>
        <v>0</v>
      </c>
      <c r="F281" s="146">
        <f t="shared" si="76"/>
        <v>0</v>
      </c>
      <c r="G281" s="146">
        <f t="shared" si="77"/>
        <v>0</v>
      </c>
      <c r="H281" s="146">
        <f t="shared" si="78"/>
        <v>0</v>
      </c>
      <c r="I281" s="146">
        <f t="shared" si="79"/>
        <v>0</v>
      </c>
      <c r="J281" s="146">
        <f t="shared" si="80"/>
        <v>1</v>
      </c>
      <c r="K281" s="146">
        <f t="shared" si="81"/>
        <v>0</v>
      </c>
      <c r="L281" s="147">
        <f t="shared" si="94"/>
        <v>0</v>
      </c>
      <c r="M281" s="147">
        <f t="shared" si="82"/>
        <v>0</v>
      </c>
      <c r="N281" s="147">
        <f t="shared" si="83"/>
        <v>0</v>
      </c>
      <c r="O281" s="147">
        <f t="shared" si="84"/>
        <v>0</v>
      </c>
      <c r="P281" s="147">
        <f t="shared" si="85"/>
        <v>1</v>
      </c>
      <c r="Q281" s="147">
        <f t="shared" si="86"/>
        <v>0</v>
      </c>
      <c r="R281" s="147">
        <f t="shared" si="87"/>
        <v>0</v>
      </c>
      <c r="S281" s="147">
        <f t="shared" si="88"/>
        <v>0</v>
      </c>
      <c r="T281" s="147">
        <f t="shared" si="89"/>
        <v>0</v>
      </c>
      <c r="U281" s="147">
        <f t="shared" si="90"/>
        <v>0</v>
      </c>
      <c r="V281" s="147">
        <f t="shared" si="91"/>
        <v>0</v>
      </c>
      <c r="W281" s="129">
        <v>0</v>
      </c>
      <c r="X281" s="144" t="str">
        <f t="shared" si="92"/>
        <v>WEEKDAY</v>
      </c>
      <c r="Y281" s="148">
        <v>3.5833333333333335</v>
      </c>
      <c r="Z281" s="144" t="s">
        <v>55</v>
      </c>
      <c r="AA281" s="149">
        <v>571</v>
      </c>
      <c r="AB281" s="149">
        <v>92.010459999999995</v>
      </c>
      <c r="AC281" s="149">
        <v>159.34883720930233</v>
      </c>
      <c r="AD281" s="156">
        <v>25.677337674418602</v>
      </c>
      <c r="AE281" s="149" t="str">
        <f>IFERROR(_xlfn.XLOOKUP(DATA_MASTER[[#This Row],[DATE]],RODEO[DATE],RODEO[ARTIST]),"")</f>
        <v/>
      </c>
      <c r="AF281" s="172">
        <f>IF(DATA_MASTER[[#This Row],[RODEO_ARTIST]]="",0,1)</f>
        <v>0</v>
      </c>
      <c r="AG281" t="str">
        <f>IFERROR(RIGHT(_xlfn.XLOOKUP(DATA_MASTER[[#This Row],[DATE]],ASTROS[DATE],ASTROS[OPPONENT]),LEN(_xlfn.XLOOKUP(DATA_MASTER[[#This Row],[DATE]],ASTROS[DATE],ASTROS[OPPONENT]))-3),"NO GAME")</f>
        <v>NO GAME</v>
      </c>
      <c r="AH281">
        <f>IF(DATA_MASTER[[#This Row],[ASTROS_GAME]]="NO GAME",0,1)</f>
        <v>0</v>
      </c>
      <c r="AI281">
        <f>_xlfn.XLOOKUP(DATA_MASTER[[#This Row],[DATE]],WEATHER[DATE],WEATHER[tempmax])</f>
        <v>87.9</v>
      </c>
      <c r="AJ281">
        <f>_xlfn.XLOOKUP(DATA_MASTER[[#This Row],[DATE]],WEATHER[DATE],WEATHER[precip])</f>
        <v>0</v>
      </c>
    </row>
    <row r="282" spans="1:36" x14ac:dyDescent="0.35">
      <c r="A282" s="155">
        <v>45436</v>
      </c>
      <c r="B282" s="144" t="s">
        <v>46</v>
      </c>
      <c r="C282" s="144" t="s">
        <v>48</v>
      </c>
      <c r="D282" s="144" t="s">
        <v>64</v>
      </c>
      <c r="E282" s="145">
        <f t="shared" si="93"/>
        <v>1</v>
      </c>
      <c r="F282" s="146">
        <f t="shared" si="76"/>
        <v>0</v>
      </c>
      <c r="G282" s="146">
        <f t="shared" si="77"/>
        <v>0</v>
      </c>
      <c r="H282" s="146">
        <f t="shared" si="78"/>
        <v>0</v>
      </c>
      <c r="I282" s="146">
        <f t="shared" si="79"/>
        <v>0</v>
      </c>
      <c r="J282" s="146">
        <f t="shared" si="80"/>
        <v>1</v>
      </c>
      <c r="K282" s="146">
        <f t="shared" si="81"/>
        <v>0</v>
      </c>
      <c r="L282" s="147">
        <f t="shared" si="94"/>
        <v>0</v>
      </c>
      <c r="M282" s="147">
        <f t="shared" si="82"/>
        <v>0</v>
      </c>
      <c r="N282" s="147">
        <f t="shared" si="83"/>
        <v>0</v>
      </c>
      <c r="O282" s="147">
        <f t="shared" si="84"/>
        <v>0</v>
      </c>
      <c r="P282" s="147">
        <f t="shared" si="85"/>
        <v>1</v>
      </c>
      <c r="Q282" s="147">
        <f t="shared" si="86"/>
        <v>0</v>
      </c>
      <c r="R282" s="147">
        <f t="shared" si="87"/>
        <v>0</v>
      </c>
      <c r="S282" s="147">
        <f t="shared" si="88"/>
        <v>0</v>
      </c>
      <c r="T282" s="147">
        <f t="shared" si="89"/>
        <v>0</v>
      </c>
      <c r="U282" s="147">
        <f t="shared" si="90"/>
        <v>0</v>
      </c>
      <c r="V282" s="147">
        <f t="shared" si="91"/>
        <v>0</v>
      </c>
      <c r="W282" s="129">
        <v>1</v>
      </c>
      <c r="X282" s="144" t="str">
        <f t="shared" si="92"/>
        <v>WEEKEND</v>
      </c>
      <c r="Y282" s="148">
        <v>5.1166666666666663</v>
      </c>
      <c r="Z282" s="144" t="s">
        <v>55</v>
      </c>
      <c r="AA282" s="149">
        <v>1434.5</v>
      </c>
      <c r="AB282" s="149">
        <v>223.43648400000001</v>
      </c>
      <c r="AC282" s="149">
        <v>280.3583061889251</v>
      </c>
      <c r="AD282" s="156">
        <v>43.668368208469062</v>
      </c>
      <c r="AE282" s="149" t="str">
        <f>IFERROR(_xlfn.XLOOKUP(DATA_MASTER[[#This Row],[DATE]],RODEO[DATE],RODEO[ARTIST]),"")</f>
        <v/>
      </c>
      <c r="AF282" s="172">
        <f>IF(DATA_MASTER[[#This Row],[RODEO_ARTIST]]="",0,1)</f>
        <v>0</v>
      </c>
      <c r="AG282" t="str">
        <f>IFERROR(RIGHT(_xlfn.XLOOKUP(DATA_MASTER[[#This Row],[DATE]],ASTROS[DATE],ASTROS[OPPONENT]),LEN(_xlfn.XLOOKUP(DATA_MASTER[[#This Row],[DATE]],ASTROS[DATE],ASTROS[OPPONENT]))-3),"NO GAME")</f>
        <v>NO GAME</v>
      </c>
      <c r="AH282">
        <f>IF(DATA_MASTER[[#This Row],[ASTROS_GAME]]="NO GAME",0,1)</f>
        <v>0</v>
      </c>
      <c r="AI282">
        <f>_xlfn.XLOOKUP(DATA_MASTER[[#This Row],[DATE]],WEATHER[DATE],WEATHER[tempmax])</f>
        <v>87.9</v>
      </c>
      <c r="AJ282">
        <f>_xlfn.XLOOKUP(DATA_MASTER[[#This Row],[DATE]],WEATHER[DATE],WEATHER[precip])</f>
        <v>0</v>
      </c>
    </row>
    <row r="283" spans="1:36" x14ac:dyDescent="0.35">
      <c r="A283" s="155">
        <v>45437</v>
      </c>
      <c r="B283" s="144" t="s">
        <v>42</v>
      </c>
      <c r="C283" s="144" t="s">
        <v>49</v>
      </c>
      <c r="D283" s="144" t="s">
        <v>64</v>
      </c>
      <c r="E283" s="145">
        <f t="shared" si="93"/>
        <v>0</v>
      </c>
      <c r="F283" s="146">
        <f t="shared" si="76"/>
        <v>0</v>
      </c>
      <c r="G283" s="146">
        <f t="shared" si="77"/>
        <v>0</v>
      </c>
      <c r="H283" s="146">
        <f t="shared" si="78"/>
        <v>0</v>
      </c>
      <c r="I283" s="146">
        <f t="shared" si="79"/>
        <v>0</v>
      </c>
      <c r="J283" s="146">
        <f t="shared" si="80"/>
        <v>0</v>
      </c>
      <c r="K283" s="146">
        <f t="shared" si="81"/>
        <v>1</v>
      </c>
      <c r="L283" s="147">
        <f t="shared" si="94"/>
        <v>0</v>
      </c>
      <c r="M283" s="147">
        <f t="shared" si="82"/>
        <v>0</v>
      </c>
      <c r="N283" s="147">
        <f t="shared" si="83"/>
        <v>0</v>
      </c>
      <c r="O283" s="147">
        <f t="shared" si="84"/>
        <v>0</v>
      </c>
      <c r="P283" s="147">
        <f t="shared" si="85"/>
        <v>1</v>
      </c>
      <c r="Q283" s="147">
        <f t="shared" si="86"/>
        <v>0</v>
      </c>
      <c r="R283" s="147">
        <f t="shared" si="87"/>
        <v>0</v>
      </c>
      <c r="S283" s="147">
        <f t="shared" si="88"/>
        <v>0</v>
      </c>
      <c r="T283" s="147">
        <f t="shared" si="89"/>
        <v>0</v>
      </c>
      <c r="U283" s="147">
        <f t="shared" si="90"/>
        <v>0</v>
      </c>
      <c r="V283" s="147">
        <f t="shared" si="91"/>
        <v>0</v>
      </c>
      <c r="W283" s="129">
        <v>1</v>
      </c>
      <c r="X283" s="144" t="str">
        <f t="shared" si="92"/>
        <v>WEEKEND</v>
      </c>
      <c r="Y283" s="148">
        <v>4.0999999999999996</v>
      </c>
      <c r="Z283" s="144" t="s">
        <v>55</v>
      </c>
      <c r="AA283" s="149">
        <v>943.5</v>
      </c>
      <c r="AB283" s="149">
        <v>138.638608</v>
      </c>
      <c r="AC283" s="149">
        <v>230.12195121951223</v>
      </c>
      <c r="AD283" s="156">
        <v>33.814294634146343</v>
      </c>
      <c r="AE283" s="149" t="str">
        <f>IFERROR(_xlfn.XLOOKUP(DATA_MASTER[[#This Row],[DATE]],RODEO[DATE],RODEO[ARTIST]),"")</f>
        <v/>
      </c>
      <c r="AF283" s="172">
        <f>IF(DATA_MASTER[[#This Row],[RODEO_ARTIST]]="",0,1)</f>
        <v>0</v>
      </c>
      <c r="AG283" t="str">
        <f>IFERROR(RIGHT(_xlfn.XLOOKUP(DATA_MASTER[[#This Row],[DATE]],ASTROS[DATE],ASTROS[OPPONENT]),LEN(_xlfn.XLOOKUP(DATA_MASTER[[#This Row],[DATE]],ASTROS[DATE],ASTROS[OPPONENT]))-3),"NO GAME")</f>
        <v>NO GAME</v>
      </c>
      <c r="AH283">
        <f>IF(DATA_MASTER[[#This Row],[ASTROS_GAME]]="NO GAME",0,1)</f>
        <v>0</v>
      </c>
      <c r="AI283">
        <f>_xlfn.XLOOKUP(DATA_MASTER[[#This Row],[DATE]],WEATHER[DATE],WEATHER[tempmax])</f>
        <v>91.5</v>
      </c>
      <c r="AJ283">
        <f>_xlfn.XLOOKUP(DATA_MASTER[[#This Row],[DATE]],WEATHER[DATE],WEATHER[precip])</f>
        <v>0</v>
      </c>
    </row>
    <row r="284" spans="1:36" x14ac:dyDescent="0.35">
      <c r="A284" s="155">
        <v>45437</v>
      </c>
      <c r="B284" s="144" t="s">
        <v>46</v>
      </c>
      <c r="C284" s="144" t="s">
        <v>49</v>
      </c>
      <c r="D284" s="144" t="s">
        <v>64</v>
      </c>
      <c r="E284" s="145">
        <f t="shared" si="93"/>
        <v>1</v>
      </c>
      <c r="F284" s="146">
        <f t="shared" si="76"/>
        <v>0</v>
      </c>
      <c r="G284" s="146">
        <f t="shared" si="77"/>
        <v>0</v>
      </c>
      <c r="H284" s="146">
        <f t="shared" si="78"/>
        <v>0</v>
      </c>
      <c r="I284" s="146">
        <f t="shared" si="79"/>
        <v>0</v>
      </c>
      <c r="J284" s="146">
        <f t="shared" si="80"/>
        <v>0</v>
      </c>
      <c r="K284" s="146">
        <f t="shared" si="81"/>
        <v>1</v>
      </c>
      <c r="L284" s="147">
        <f t="shared" si="94"/>
        <v>0</v>
      </c>
      <c r="M284" s="147">
        <f t="shared" si="82"/>
        <v>0</v>
      </c>
      <c r="N284" s="147">
        <f t="shared" si="83"/>
        <v>0</v>
      </c>
      <c r="O284" s="147">
        <f t="shared" si="84"/>
        <v>0</v>
      </c>
      <c r="P284" s="147">
        <f t="shared" si="85"/>
        <v>1</v>
      </c>
      <c r="Q284" s="147">
        <f t="shared" si="86"/>
        <v>0</v>
      </c>
      <c r="R284" s="147">
        <f t="shared" si="87"/>
        <v>0</v>
      </c>
      <c r="S284" s="147">
        <f t="shared" si="88"/>
        <v>0</v>
      </c>
      <c r="T284" s="147">
        <f t="shared" si="89"/>
        <v>0</v>
      </c>
      <c r="U284" s="147">
        <f t="shared" si="90"/>
        <v>0</v>
      </c>
      <c r="V284" s="147">
        <f t="shared" si="91"/>
        <v>0</v>
      </c>
      <c r="W284" s="129">
        <v>1</v>
      </c>
      <c r="X284" s="144" t="str">
        <f t="shared" si="92"/>
        <v>WEEKEND</v>
      </c>
      <c r="Y284" s="148">
        <v>4.0999999999999996</v>
      </c>
      <c r="Z284" s="144" t="s">
        <v>55</v>
      </c>
      <c r="AA284" s="149">
        <v>943.5</v>
      </c>
      <c r="AB284" s="149">
        <v>138.638608</v>
      </c>
      <c r="AC284" s="149">
        <v>230.12195121951223</v>
      </c>
      <c r="AD284" s="156">
        <v>33.814294634146343</v>
      </c>
      <c r="AE284" s="149" t="str">
        <f>IFERROR(_xlfn.XLOOKUP(DATA_MASTER[[#This Row],[DATE]],RODEO[DATE],RODEO[ARTIST]),"")</f>
        <v/>
      </c>
      <c r="AF284" s="172">
        <f>IF(DATA_MASTER[[#This Row],[RODEO_ARTIST]]="",0,1)</f>
        <v>0</v>
      </c>
      <c r="AG284" t="str">
        <f>IFERROR(RIGHT(_xlfn.XLOOKUP(DATA_MASTER[[#This Row],[DATE]],ASTROS[DATE],ASTROS[OPPONENT]),LEN(_xlfn.XLOOKUP(DATA_MASTER[[#This Row],[DATE]],ASTROS[DATE],ASTROS[OPPONENT]))-3),"NO GAME")</f>
        <v>NO GAME</v>
      </c>
      <c r="AH284">
        <f>IF(DATA_MASTER[[#This Row],[ASTROS_GAME]]="NO GAME",0,1)</f>
        <v>0</v>
      </c>
      <c r="AI284">
        <f>_xlfn.XLOOKUP(DATA_MASTER[[#This Row],[DATE]],WEATHER[DATE],WEATHER[tempmax])</f>
        <v>91.5</v>
      </c>
      <c r="AJ284">
        <f>_xlfn.XLOOKUP(DATA_MASTER[[#This Row],[DATE]],WEATHER[DATE],WEATHER[precip])</f>
        <v>0</v>
      </c>
    </row>
    <row r="285" spans="1:36" x14ac:dyDescent="0.35">
      <c r="A285" s="155">
        <v>45438</v>
      </c>
      <c r="B285" s="144" t="s">
        <v>42</v>
      </c>
      <c r="C285" s="144" t="s">
        <v>50</v>
      </c>
      <c r="D285" s="144" t="s">
        <v>64</v>
      </c>
      <c r="E285" s="145">
        <f t="shared" si="93"/>
        <v>0</v>
      </c>
      <c r="F285" s="146">
        <f t="shared" si="76"/>
        <v>1</v>
      </c>
      <c r="G285" s="146">
        <f t="shared" si="77"/>
        <v>0</v>
      </c>
      <c r="H285" s="146">
        <f t="shared" si="78"/>
        <v>0</v>
      </c>
      <c r="I285" s="146">
        <f t="shared" si="79"/>
        <v>0</v>
      </c>
      <c r="J285" s="146">
        <f t="shared" si="80"/>
        <v>0</v>
      </c>
      <c r="K285" s="146">
        <f t="shared" si="81"/>
        <v>0</v>
      </c>
      <c r="L285" s="147">
        <f t="shared" si="94"/>
        <v>0</v>
      </c>
      <c r="M285" s="147">
        <f t="shared" si="82"/>
        <v>0</v>
      </c>
      <c r="N285" s="147">
        <f t="shared" si="83"/>
        <v>0</v>
      </c>
      <c r="O285" s="147">
        <f t="shared" si="84"/>
        <v>0</v>
      </c>
      <c r="P285" s="147">
        <f t="shared" si="85"/>
        <v>1</v>
      </c>
      <c r="Q285" s="147">
        <f t="shared" si="86"/>
        <v>0</v>
      </c>
      <c r="R285" s="147">
        <f t="shared" si="87"/>
        <v>0</v>
      </c>
      <c r="S285" s="147">
        <f t="shared" si="88"/>
        <v>0</v>
      </c>
      <c r="T285" s="147">
        <f t="shared" si="89"/>
        <v>0</v>
      </c>
      <c r="U285" s="147">
        <f t="shared" si="90"/>
        <v>0</v>
      </c>
      <c r="V285" s="147">
        <f t="shared" si="91"/>
        <v>0</v>
      </c>
      <c r="W285" s="129">
        <v>1</v>
      </c>
      <c r="X285" s="144" t="str">
        <f t="shared" si="92"/>
        <v>WEEKEND</v>
      </c>
      <c r="Y285" s="148">
        <v>3.6666666666666665</v>
      </c>
      <c r="Z285" s="144" t="s">
        <v>45</v>
      </c>
      <c r="AA285" s="149">
        <v>613.5</v>
      </c>
      <c r="AB285" s="149">
        <v>110.51574399999998</v>
      </c>
      <c r="AC285" s="149">
        <v>167.31818181818181</v>
      </c>
      <c r="AD285" s="156">
        <v>30.140657454545451</v>
      </c>
      <c r="AE285" s="149" t="str">
        <f>IFERROR(_xlfn.XLOOKUP(DATA_MASTER[[#This Row],[DATE]],RODEO[DATE],RODEO[ARTIST]),"")</f>
        <v/>
      </c>
      <c r="AF285" s="172">
        <f>IF(DATA_MASTER[[#This Row],[RODEO_ARTIST]]="",0,1)</f>
        <v>0</v>
      </c>
      <c r="AG285" t="str">
        <f>IFERROR(RIGHT(_xlfn.XLOOKUP(DATA_MASTER[[#This Row],[DATE]],ASTROS[DATE],ASTROS[OPPONENT]),LEN(_xlfn.XLOOKUP(DATA_MASTER[[#This Row],[DATE]],ASTROS[DATE],ASTROS[OPPONENT]))-3),"NO GAME")</f>
        <v>NO GAME</v>
      </c>
      <c r="AH285">
        <f>IF(DATA_MASTER[[#This Row],[ASTROS_GAME]]="NO GAME",0,1)</f>
        <v>0</v>
      </c>
      <c r="AI285">
        <f>_xlfn.XLOOKUP(DATA_MASTER[[#This Row],[DATE]],WEATHER[DATE],WEATHER[tempmax])</f>
        <v>89.7</v>
      </c>
      <c r="AJ285">
        <f>_xlfn.XLOOKUP(DATA_MASTER[[#This Row],[DATE]],WEATHER[DATE],WEATHER[precip])</f>
        <v>0</v>
      </c>
    </row>
    <row r="286" spans="1:36" x14ac:dyDescent="0.35">
      <c r="A286" s="155">
        <v>45444</v>
      </c>
      <c r="B286" s="144" t="s">
        <v>42</v>
      </c>
      <c r="C286" s="144" t="s">
        <v>49</v>
      </c>
      <c r="D286" s="144" t="s">
        <v>43</v>
      </c>
      <c r="E286" s="145">
        <f t="shared" si="93"/>
        <v>0</v>
      </c>
      <c r="F286" s="146">
        <f t="shared" si="76"/>
        <v>0</v>
      </c>
      <c r="G286" s="146">
        <f t="shared" si="77"/>
        <v>0</v>
      </c>
      <c r="H286" s="146">
        <f t="shared" si="78"/>
        <v>0</v>
      </c>
      <c r="I286" s="146">
        <f t="shared" si="79"/>
        <v>0</v>
      </c>
      <c r="J286" s="146">
        <f t="shared" si="80"/>
        <v>0</v>
      </c>
      <c r="K286" s="146">
        <f t="shared" si="81"/>
        <v>1</v>
      </c>
      <c r="L286" s="147">
        <f t="shared" si="94"/>
        <v>0</v>
      </c>
      <c r="M286" s="147">
        <f t="shared" si="82"/>
        <v>0</v>
      </c>
      <c r="N286" s="147">
        <f t="shared" si="83"/>
        <v>0</v>
      </c>
      <c r="O286" s="147">
        <f t="shared" si="84"/>
        <v>0</v>
      </c>
      <c r="P286" s="147">
        <f t="shared" si="85"/>
        <v>0</v>
      </c>
      <c r="Q286" s="147">
        <f t="shared" si="86"/>
        <v>1</v>
      </c>
      <c r="R286" s="147">
        <f t="shared" si="87"/>
        <v>0</v>
      </c>
      <c r="S286" s="147">
        <f t="shared" si="88"/>
        <v>0</v>
      </c>
      <c r="T286" s="147">
        <f t="shared" si="89"/>
        <v>0</v>
      </c>
      <c r="U286" s="147">
        <f t="shared" si="90"/>
        <v>0</v>
      </c>
      <c r="V286" s="147">
        <f t="shared" si="91"/>
        <v>0</v>
      </c>
      <c r="W286" s="129">
        <v>1</v>
      </c>
      <c r="X286" s="144" t="str">
        <f t="shared" si="92"/>
        <v>WEEKEND</v>
      </c>
      <c r="Y286" s="148">
        <v>5.4833333333333334</v>
      </c>
      <c r="Z286" s="144" t="s">
        <v>45</v>
      </c>
      <c r="AA286" s="149">
        <v>872</v>
      </c>
      <c r="AB286" s="149">
        <v>158.522908</v>
      </c>
      <c r="AC286" s="149">
        <v>159.02735562310031</v>
      </c>
      <c r="AD286" s="156">
        <v>28.90995282674772</v>
      </c>
      <c r="AE286" s="149" t="str">
        <f>IFERROR(_xlfn.XLOOKUP(DATA_MASTER[[#This Row],[DATE]],RODEO[DATE],RODEO[ARTIST]),"")</f>
        <v/>
      </c>
      <c r="AF286" s="172">
        <f>IF(DATA_MASTER[[#This Row],[RODEO_ARTIST]]="",0,1)</f>
        <v>0</v>
      </c>
      <c r="AG286" t="str">
        <f>IFERROR(RIGHT(_xlfn.XLOOKUP(DATA_MASTER[[#This Row],[DATE]],ASTROS[DATE],ASTROS[OPPONENT]),LEN(_xlfn.XLOOKUP(DATA_MASTER[[#This Row],[DATE]],ASTROS[DATE],ASTROS[OPPONENT]))-3),"NO GAME")</f>
        <v>Minnesota Twins</v>
      </c>
      <c r="AH286">
        <f>IF(DATA_MASTER[[#This Row],[ASTROS_GAME]]="NO GAME",0,1)</f>
        <v>1</v>
      </c>
      <c r="AI286">
        <f>_xlfn.XLOOKUP(DATA_MASTER[[#This Row],[DATE]],WEATHER[DATE],WEATHER[tempmax])</f>
        <v>87.8</v>
      </c>
      <c r="AJ286">
        <f>_xlfn.XLOOKUP(DATA_MASTER[[#This Row],[DATE]],WEATHER[DATE],WEATHER[precip])</f>
        <v>6.0000000000000001E-3</v>
      </c>
    </row>
    <row r="287" spans="1:36" x14ac:dyDescent="0.35">
      <c r="A287" s="155">
        <v>45445</v>
      </c>
      <c r="B287" s="144" t="s">
        <v>42</v>
      </c>
      <c r="C287" s="144" t="s">
        <v>50</v>
      </c>
      <c r="D287" s="144" t="s">
        <v>43</v>
      </c>
      <c r="E287" s="145">
        <f t="shared" si="93"/>
        <v>0</v>
      </c>
      <c r="F287" s="146">
        <f t="shared" si="76"/>
        <v>1</v>
      </c>
      <c r="G287" s="146">
        <f t="shared" si="77"/>
        <v>0</v>
      </c>
      <c r="H287" s="146">
        <f t="shared" si="78"/>
        <v>0</v>
      </c>
      <c r="I287" s="146">
        <f t="shared" si="79"/>
        <v>0</v>
      </c>
      <c r="J287" s="146">
        <f t="shared" si="80"/>
        <v>0</v>
      </c>
      <c r="K287" s="146">
        <f t="shared" si="81"/>
        <v>0</v>
      </c>
      <c r="L287" s="147">
        <f t="shared" si="94"/>
        <v>0</v>
      </c>
      <c r="M287" s="147">
        <f t="shared" si="82"/>
        <v>0</v>
      </c>
      <c r="N287" s="147">
        <f t="shared" si="83"/>
        <v>0</v>
      </c>
      <c r="O287" s="147">
        <f t="shared" si="84"/>
        <v>0</v>
      </c>
      <c r="P287" s="147">
        <f t="shared" si="85"/>
        <v>0</v>
      </c>
      <c r="Q287" s="147">
        <f t="shared" si="86"/>
        <v>1</v>
      </c>
      <c r="R287" s="147">
        <f t="shared" si="87"/>
        <v>0</v>
      </c>
      <c r="S287" s="147">
        <f t="shared" si="88"/>
        <v>0</v>
      </c>
      <c r="T287" s="147">
        <f t="shared" si="89"/>
        <v>0</v>
      </c>
      <c r="U287" s="147">
        <f t="shared" si="90"/>
        <v>0</v>
      </c>
      <c r="V287" s="147">
        <f t="shared" si="91"/>
        <v>0</v>
      </c>
      <c r="W287" s="129">
        <v>1</v>
      </c>
      <c r="X287" s="144" t="str">
        <f t="shared" si="92"/>
        <v>WEEKEND</v>
      </c>
      <c r="Y287" s="148">
        <v>5.166666666666667</v>
      </c>
      <c r="Z287" s="144" t="s">
        <v>45</v>
      </c>
      <c r="AA287" s="149">
        <v>782</v>
      </c>
      <c r="AB287" s="149">
        <v>132.892088</v>
      </c>
      <c r="AC287" s="149">
        <v>151.35483870967741</v>
      </c>
      <c r="AD287" s="156">
        <v>25.721049290322579</v>
      </c>
      <c r="AE287" s="149" t="str">
        <f>IFERROR(_xlfn.XLOOKUP(DATA_MASTER[[#This Row],[DATE]],RODEO[DATE],RODEO[ARTIST]),"")</f>
        <v/>
      </c>
      <c r="AF287" s="172">
        <f>IF(DATA_MASTER[[#This Row],[RODEO_ARTIST]]="",0,1)</f>
        <v>0</v>
      </c>
      <c r="AG287" t="str">
        <f>IFERROR(RIGHT(_xlfn.XLOOKUP(DATA_MASTER[[#This Row],[DATE]],ASTROS[DATE],ASTROS[OPPONENT]),LEN(_xlfn.XLOOKUP(DATA_MASTER[[#This Row],[DATE]],ASTROS[DATE],ASTROS[OPPONENT]))-3),"NO GAME")</f>
        <v>Minnesota Twins</v>
      </c>
      <c r="AH287">
        <f>IF(DATA_MASTER[[#This Row],[ASTROS_GAME]]="NO GAME",0,1)</f>
        <v>1</v>
      </c>
      <c r="AI287">
        <f>_xlfn.XLOOKUP(DATA_MASTER[[#This Row],[DATE]],WEATHER[DATE],WEATHER[tempmax])</f>
        <v>91.4</v>
      </c>
      <c r="AJ287">
        <f>_xlfn.XLOOKUP(DATA_MASTER[[#This Row],[DATE]],WEATHER[DATE],WEATHER[precip])</f>
        <v>3.0000000000000001E-3</v>
      </c>
    </row>
    <row r="288" spans="1:36" x14ac:dyDescent="0.35">
      <c r="A288" s="155">
        <v>45446</v>
      </c>
      <c r="B288" s="144" t="s">
        <v>46</v>
      </c>
      <c r="C288" s="144" t="s">
        <v>51</v>
      </c>
      <c r="D288" s="144" t="s">
        <v>43</v>
      </c>
      <c r="E288" s="145">
        <f t="shared" si="93"/>
        <v>1</v>
      </c>
      <c r="F288" s="146">
        <f t="shared" si="76"/>
        <v>0</v>
      </c>
      <c r="G288" s="146">
        <f t="shared" si="77"/>
        <v>1</v>
      </c>
      <c r="H288" s="146">
        <f t="shared" si="78"/>
        <v>0</v>
      </c>
      <c r="I288" s="146">
        <f t="shared" si="79"/>
        <v>0</v>
      </c>
      <c r="J288" s="146">
        <f t="shared" si="80"/>
        <v>0</v>
      </c>
      <c r="K288" s="146">
        <f t="shared" si="81"/>
        <v>0</v>
      </c>
      <c r="L288" s="147">
        <f t="shared" si="94"/>
        <v>0</v>
      </c>
      <c r="M288" s="147">
        <f t="shared" si="82"/>
        <v>0</v>
      </c>
      <c r="N288" s="147">
        <f t="shared" si="83"/>
        <v>0</v>
      </c>
      <c r="O288" s="147">
        <f t="shared" si="84"/>
        <v>0</v>
      </c>
      <c r="P288" s="147">
        <f t="shared" si="85"/>
        <v>0</v>
      </c>
      <c r="Q288" s="147">
        <f t="shared" si="86"/>
        <v>1</v>
      </c>
      <c r="R288" s="147">
        <f t="shared" si="87"/>
        <v>0</v>
      </c>
      <c r="S288" s="147">
        <f t="shared" si="88"/>
        <v>0</v>
      </c>
      <c r="T288" s="147">
        <f t="shared" si="89"/>
        <v>0</v>
      </c>
      <c r="U288" s="147">
        <f t="shared" si="90"/>
        <v>0</v>
      </c>
      <c r="V288" s="147">
        <f t="shared" si="91"/>
        <v>0</v>
      </c>
      <c r="W288" s="129">
        <v>0</v>
      </c>
      <c r="X288" s="144" t="str">
        <f t="shared" si="92"/>
        <v>WEEKDAY</v>
      </c>
      <c r="Y288" s="148">
        <v>4.3666666666666663</v>
      </c>
      <c r="Z288" s="144" t="s">
        <v>45</v>
      </c>
      <c r="AA288" s="149">
        <v>586</v>
      </c>
      <c r="AB288" s="149">
        <v>99.568080000000009</v>
      </c>
      <c r="AC288" s="149">
        <v>134.19847328244276</v>
      </c>
      <c r="AD288" s="156">
        <v>22.801850381679394</v>
      </c>
      <c r="AE288" s="149" t="str">
        <f>IFERROR(_xlfn.XLOOKUP(DATA_MASTER[[#This Row],[DATE]],RODEO[DATE],RODEO[ARTIST]),"")</f>
        <v/>
      </c>
      <c r="AF288" s="172">
        <f>IF(DATA_MASTER[[#This Row],[RODEO_ARTIST]]="",0,1)</f>
        <v>0</v>
      </c>
      <c r="AG288" t="str">
        <f>IFERROR(RIGHT(_xlfn.XLOOKUP(DATA_MASTER[[#This Row],[DATE]],ASTROS[DATE],ASTROS[OPPONENT]),LEN(_xlfn.XLOOKUP(DATA_MASTER[[#This Row],[DATE]],ASTROS[DATE],ASTROS[OPPONENT]))-3),"NO GAME")</f>
        <v>St. Louis Cardinals</v>
      </c>
      <c r="AH288">
        <f>IF(DATA_MASTER[[#This Row],[ASTROS_GAME]]="NO GAME",0,1)</f>
        <v>1</v>
      </c>
      <c r="AI288">
        <f>_xlfn.XLOOKUP(DATA_MASTER[[#This Row],[DATE]],WEATHER[DATE],WEATHER[tempmax])</f>
        <v>87.9</v>
      </c>
      <c r="AJ288">
        <f>_xlfn.XLOOKUP(DATA_MASTER[[#This Row],[DATE]],WEATHER[DATE],WEATHER[precip])</f>
        <v>0</v>
      </c>
    </row>
    <row r="289" spans="1:36" x14ac:dyDescent="0.35">
      <c r="A289" s="155">
        <v>45448</v>
      </c>
      <c r="B289" s="144" t="s">
        <v>46</v>
      </c>
      <c r="C289" s="144" t="s">
        <v>44</v>
      </c>
      <c r="D289" s="144" t="s">
        <v>43</v>
      </c>
      <c r="E289" s="145">
        <f t="shared" si="93"/>
        <v>1</v>
      </c>
      <c r="F289" s="146">
        <f t="shared" si="76"/>
        <v>0</v>
      </c>
      <c r="G289" s="146">
        <f t="shared" si="77"/>
        <v>0</v>
      </c>
      <c r="H289" s="146">
        <f t="shared" si="78"/>
        <v>1</v>
      </c>
      <c r="I289" s="146">
        <f t="shared" si="79"/>
        <v>0</v>
      </c>
      <c r="J289" s="146">
        <f t="shared" si="80"/>
        <v>0</v>
      </c>
      <c r="K289" s="146">
        <f t="shared" si="81"/>
        <v>0</v>
      </c>
      <c r="L289" s="147">
        <f t="shared" si="94"/>
        <v>0</v>
      </c>
      <c r="M289" s="147">
        <f t="shared" si="82"/>
        <v>0</v>
      </c>
      <c r="N289" s="147">
        <f t="shared" si="83"/>
        <v>0</v>
      </c>
      <c r="O289" s="147">
        <f t="shared" si="84"/>
        <v>0</v>
      </c>
      <c r="P289" s="147">
        <f t="shared" si="85"/>
        <v>0</v>
      </c>
      <c r="Q289" s="147">
        <f t="shared" si="86"/>
        <v>1</v>
      </c>
      <c r="R289" s="147">
        <f t="shared" si="87"/>
        <v>0</v>
      </c>
      <c r="S289" s="147">
        <f t="shared" si="88"/>
        <v>0</v>
      </c>
      <c r="T289" s="147">
        <f t="shared" si="89"/>
        <v>0</v>
      </c>
      <c r="U289" s="147">
        <f t="shared" si="90"/>
        <v>0</v>
      </c>
      <c r="V289" s="147">
        <f t="shared" si="91"/>
        <v>0</v>
      </c>
      <c r="W289" s="129">
        <v>0</v>
      </c>
      <c r="X289" s="144" t="str">
        <f t="shared" si="92"/>
        <v>WEEKDAY</v>
      </c>
      <c r="Y289" s="148">
        <v>5.8166666666666664</v>
      </c>
      <c r="Z289" s="144" t="s">
        <v>45</v>
      </c>
      <c r="AA289" s="149">
        <v>1027</v>
      </c>
      <c r="AB289" s="149">
        <v>179.55335600000001</v>
      </c>
      <c r="AC289" s="149">
        <v>176.56160458452723</v>
      </c>
      <c r="AD289" s="156">
        <v>30.868771805157596</v>
      </c>
      <c r="AE289" s="149" t="str">
        <f>IFERROR(_xlfn.XLOOKUP(DATA_MASTER[[#This Row],[DATE]],RODEO[DATE],RODEO[ARTIST]),"")</f>
        <v/>
      </c>
      <c r="AF289" s="172">
        <f>IF(DATA_MASTER[[#This Row],[RODEO_ARTIST]]="",0,1)</f>
        <v>0</v>
      </c>
      <c r="AG289" t="str">
        <f>IFERROR(RIGHT(_xlfn.XLOOKUP(DATA_MASTER[[#This Row],[DATE]],ASTROS[DATE],ASTROS[OPPONENT]),LEN(_xlfn.XLOOKUP(DATA_MASTER[[#This Row],[DATE]],ASTROS[DATE],ASTROS[OPPONENT]))-3),"NO GAME")</f>
        <v>St. Louis Cardinals</v>
      </c>
      <c r="AH289">
        <f>IF(DATA_MASTER[[#This Row],[ASTROS_GAME]]="NO GAME",0,1)</f>
        <v>1</v>
      </c>
      <c r="AI289">
        <f>_xlfn.XLOOKUP(DATA_MASTER[[#This Row],[DATE]],WEATHER[DATE],WEATHER[tempmax])</f>
        <v>84.2</v>
      </c>
      <c r="AJ289">
        <f>_xlfn.XLOOKUP(DATA_MASTER[[#This Row],[DATE]],WEATHER[DATE],WEATHER[precip])</f>
        <v>2.5000000000000001E-2</v>
      </c>
    </row>
    <row r="290" spans="1:36" x14ac:dyDescent="0.35">
      <c r="A290" s="155">
        <v>45449</v>
      </c>
      <c r="B290" s="144" t="s">
        <v>46</v>
      </c>
      <c r="C290" s="144" t="s">
        <v>47</v>
      </c>
      <c r="D290" s="144" t="s">
        <v>43</v>
      </c>
      <c r="E290" s="145">
        <f t="shared" si="93"/>
        <v>1</v>
      </c>
      <c r="F290" s="146">
        <f t="shared" si="76"/>
        <v>0</v>
      </c>
      <c r="G290" s="146">
        <f t="shared" si="77"/>
        <v>0</v>
      </c>
      <c r="H290" s="146">
        <f t="shared" si="78"/>
        <v>0</v>
      </c>
      <c r="I290" s="146">
        <f t="shared" si="79"/>
        <v>1</v>
      </c>
      <c r="J290" s="146">
        <f t="shared" si="80"/>
        <v>0</v>
      </c>
      <c r="K290" s="146">
        <f t="shared" si="81"/>
        <v>0</v>
      </c>
      <c r="L290" s="147">
        <f t="shared" si="94"/>
        <v>0</v>
      </c>
      <c r="M290" s="147">
        <f t="shared" si="82"/>
        <v>0</v>
      </c>
      <c r="N290" s="147">
        <f t="shared" si="83"/>
        <v>0</v>
      </c>
      <c r="O290" s="147">
        <f t="shared" si="84"/>
        <v>0</v>
      </c>
      <c r="P290" s="147">
        <f t="shared" si="85"/>
        <v>0</v>
      </c>
      <c r="Q290" s="147">
        <f t="shared" si="86"/>
        <v>1</v>
      </c>
      <c r="R290" s="147">
        <f t="shared" si="87"/>
        <v>0</v>
      </c>
      <c r="S290" s="147">
        <f t="shared" si="88"/>
        <v>0</v>
      </c>
      <c r="T290" s="147">
        <f t="shared" si="89"/>
        <v>0</v>
      </c>
      <c r="U290" s="147">
        <f t="shared" si="90"/>
        <v>0</v>
      </c>
      <c r="V290" s="147">
        <f t="shared" si="91"/>
        <v>0</v>
      </c>
      <c r="W290" s="129">
        <v>0</v>
      </c>
      <c r="X290" s="144" t="str">
        <f t="shared" si="92"/>
        <v>WEEKDAY</v>
      </c>
      <c r="Y290" s="148">
        <v>5.2666666666666666</v>
      </c>
      <c r="Z290" s="144" t="s">
        <v>45</v>
      </c>
      <c r="AA290" s="149">
        <v>1121</v>
      </c>
      <c r="AB290" s="149">
        <v>211.11614399999999</v>
      </c>
      <c r="AC290" s="149">
        <v>212.84810126582278</v>
      </c>
      <c r="AD290" s="156">
        <v>40.085343797468354</v>
      </c>
      <c r="AE290" s="149" t="str">
        <f>IFERROR(_xlfn.XLOOKUP(DATA_MASTER[[#This Row],[DATE]],RODEO[DATE],RODEO[ARTIST]),"")</f>
        <v/>
      </c>
      <c r="AF290" s="172">
        <f>IF(DATA_MASTER[[#This Row],[RODEO_ARTIST]]="",0,1)</f>
        <v>0</v>
      </c>
      <c r="AG290" t="str">
        <f>IFERROR(RIGHT(_xlfn.XLOOKUP(DATA_MASTER[[#This Row],[DATE]],ASTROS[DATE],ASTROS[OPPONENT]),LEN(_xlfn.XLOOKUP(DATA_MASTER[[#This Row],[DATE]],ASTROS[DATE],ASTROS[OPPONENT]))-3),"NO GAME")</f>
        <v>NO GAME</v>
      </c>
      <c r="AH290">
        <f>IF(DATA_MASTER[[#This Row],[ASTROS_GAME]]="NO GAME",0,1)</f>
        <v>0</v>
      </c>
      <c r="AI290">
        <f>_xlfn.XLOOKUP(DATA_MASTER[[#This Row],[DATE]],WEATHER[DATE],WEATHER[tempmax])</f>
        <v>94.9</v>
      </c>
      <c r="AJ290">
        <f>_xlfn.XLOOKUP(DATA_MASTER[[#This Row],[DATE]],WEATHER[DATE],WEATHER[precip])</f>
        <v>0</v>
      </c>
    </row>
    <row r="291" spans="1:36" x14ac:dyDescent="0.35">
      <c r="A291" s="155">
        <v>45451</v>
      </c>
      <c r="B291" s="144" t="s">
        <v>42</v>
      </c>
      <c r="C291" s="144" t="s">
        <v>49</v>
      </c>
      <c r="D291" s="144" t="s">
        <v>43</v>
      </c>
      <c r="E291" s="145">
        <f t="shared" si="93"/>
        <v>0</v>
      </c>
      <c r="F291" s="146">
        <f t="shared" si="76"/>
        <v>0</v>
      </c>
      <c r="G291" s="146">
        <f t="shared" si="77"/>
        <v>0</v>
      </c>
      <c r="H291" s="146">
        <f t="shared" si="78"/>
        <v>0</v>
      </c>
      <c r="I291" s="146">
        <f t="shared" si="79"/>
        <v>0</v>
      </c>
      <c r="J291" s="146">
        <f t="shared" si="80"/>
        <v>0</v>
      </c>
      <c r="K291" s="146">
        <f t="shared" si="81"/>
        <v>1</v>
      </c>
      <c r="L291" s="147">
        <f t="shared" si="94"/>
        <v>0</v>
      </c>
      <c r="M291" s="147">
        <f t="shared" si="82"/>
        <v>0</v>
      </c>
      <c r="N291" s="147">
        <f t="shared" si="83"/>
        <v>0</v>
      </c>
      <c r="O291" s="147">
        <f t="shared" si="84"/>
        <v>0</v>
      </c>
      <c r="P291" s="147">
        <f t="shared" si="85"/>
        <v>0</v>
      </c>
      <c r="Q291" s="147">
        <f t="shared" si="86"/>
        <v>1</v>
      </c>
      <c r="R291" s="147">
        <f t="shared" si="87"/>
        <v>0</v>
      </c>
      <c r="S291" s="147">
        <f t="shared" si="88"/>
        <v>0</v>
      </c>
      <c r="T291" s="147">
        <f t="shared" si="89"/>
        <v>0</v>
      </c>
      <c r="U291" s="147">
        <f t="shared" si="90"/>
        <v>0</v>
      </c>
      <c r="V291" s="147">
        <f t="shared" si="91"/>
        <v>0</v>
      </c>
      <c r="W291" s="129">
        <v>1</v>
      </c>
      <c r="X291" s="144" t="str">
        <f t="shared" si="92"/>
        <v>WEEKEND</v>
      </c>
      <c r="Y291" s="148">
        <v>5.1166666666666663</v>
      </c>
      <c r="Z291" s="144" t="s">
        <v>55</v>
      </c>
      <c r="AA291" s="149">
        <v>1216</v>
      </c>
      <c r="AB291" s="149">
        <v>222.51209999999998</v>
      </c>
      <c r="AC291" s="149">
        <v>237.65472312703585</v>
      </c>
      <c r="AD291" s="156">
        <v>43.487706840390878</v>
      </c>
      <c r="AE291" s="149" t="str">
        <f>IFERROR(_xlfn.XLOOKUP(DATA_MASTER[[#This Row],[DATE]],RODEO[DATE],RODEO[ARTIST]),"")</f>
        <v/>
      </c>
      <c r="AF291" s="172">
        <f>IF(DATA_MASTER[[#This Row],[RODEO_ARTIST]]="",0,1)</f>
        <v>0</v>
      </c>
      <c r="AG291" t="str">
        <f>IFERROR(RIGHT(_xlfn.XLOOKUP(DATA_MASTER[[#This Row],[DATE]],ASTROS[DATE],ASTROS[OPPONENT]),LEN(_xlfn.XLOOKUP(DATA_MASTER[[#This Row],[DATE]],ASTROS[DATE],ASTROS[OPPONENT]))-3),"NO GAME")</f>
        <v>NO GAME</v>
      </c>
      <c r="AH291">
        <f>IF(DATA_MASTER[[#This Row],[ASTROS_GAME]]="NO GAME",0,1)</f>
        <v>0</v>
      </c>
      <c r="AI291">
        <f>_xlfn.XLOOKUP(DATA_MASTER[[#This Row],[DATE]],WEATHER[DATE],WEATHER[tempmax])</f>
        <v>91.4</v>
      </c>
      <c r="AJ291">
        <f>_xlfn.XLOOKUP(DATA_MASTER[[#This Row],[DATE]],WEATHER[DATE],WEATHER[precip])</f>
        <v>0</v>
      </c>
    </row>
    <row r="292" spans="1:36" x14ac:dyDescent="0.35">
      <c r="A292" s="155">
        <v>45451</v>
      </c>
      <c r="B292" s="144" t="s">
        <v>46</v>
      </c>
      <c r="C292" s="144" t="s">
        <v>49</v>
      </c>
      <c r="D292" s="144" t="s">
        <v>43</v>
      </c>
      <c r="E292" s="145">
        <f t="shared" si="93"/>
        <v>1</v>
      </c>
      <c r="F292" s="146">
        <f t="shared" si="76"/>
        <v>0</v>
      </c>
      <c r="G292" s="146">
        <f t="shared" si="77"/>
        <v>0</v>
      </c>
      <c r="H292" s="146">
        <f t="shared" si="78"/>
        <v>0</v>
      </c>
      <c r="I292" s="146">
        <f t="shared" si="79"/>
        <v>0</v>
      </c>
      <c r="J292" s="146">
        <f t="shared" si="80"/>
        <v>0</v>
      </c>
      <c r="K292" s="146">
        <f t="shared" si="81"/>
        <v>1</v>
      </c>
      <c r="L292" s="147">
        <f t="shared" si="94"/>
        <v>0</v>
      </c>
      <c r="M292" s="147">
        <f t="shared" si="82"/>
        <v>0</v>
      </c>
      <c r="N292" s="147">
        <f t="shared" si="83"/>
        <v>0</v>
      </c>
      <c r="O292" s="147">
        <f t="shared" si="84"/>
        <v>0</v>
      </c>
      <c r="P292" s="147">
        <f t="shared" si="85"/>
        <v>0</v>
      </c>
      <c r="Q292" s="147">
        <f t="shared" si="86"/>
        <v>1</v>
      </c>
      <c r="R292" s="147">
        <f t="shared" si="87"/>
        <v>0</v>
      </c>
      <c r="S292" s="147">
        <f t="shared" si="88"/>
        <v>0</v>
      </c>
      <c r="T292" s="147">
        <f t="shared" si="89"/>
        <v>0</v>
      </c>
      <c r="U292" s="147">
        <f t="shared" si="90"/>
        <v>0</v>
      </c>
      <c r="V292" s="147">
        <f t="shared" si="91"/>
        <v>0</v>
      </c>
      <c r="W292" s="129">
        <v>1</v>
      </c>
      <c r="X292" s="144" t="str">
        <f t="shared" si="92"/>
        <v>WEEKEND</v>
      </c>
      <c r="Y292" s="148">
        <v>4.0333333333333332</v>
      </c>
      <c r="Z292" s="144" t="s">
        <v>55</v>
      </c>
      <c r="AA292" s="149">
        <v>1351</v>
      </c>
      <c r="AB292" s="149">
        <v>237.050104</v>
      </c>
      <c r="AC292" s="149">
        <v>334.95867768595042</v>
      </c>
      <c r="AD292" s="156">
        <v>58.77275305785124</v>
      </c>
      <c r="AE292" s="149" t="str">
        <f>IFERROR(_xlfn.XLOOKUP(DATA_MASTER[[#This Row],[DATE]],RODEO[DATE],RODEO[ARTIST]),"")</f>
        <v/>
      </c>
      <c r="AF292" s="172">
        <f>IF(DATA_MASTER[[#This Row],[RODEO_ARTIST]]="",0,1)</f>
        <v>0</v>
      </c>
      <c r="AG292" t="str">
        <f>IFERROR(RIGHT(_xlfn.XLOOKUP(DATA_MASTER[[#This Row],[DATE]],ASTROS[DATE],ASTROS[OPPONENT]),LEN(_xlfn.XLOOKUP(DATA_MASTER[[#This Row],[DATE]],ASTROS[DATE],ASTROS[OPPONENT]))-3),"NO GAME")</f>
        <v>NO GAME</v>
      </c>
      <c r="AH292">
        <f>IF(DATA_MASTER[[#This Row],[ASTROS_GAME]]="NO GAME",0,1)</f>
        <v>0</v>
      </c>
      <c r="AI292">
        <f>_xlfn.XLOOKUP(DATA_MASTER[[#This Row],[DATE]],WEATHER[DATE],WEATHER[tempmax])</f>
        <v>91.4</v>
      </c>
      <c r="AJ292">
        <f>_xlfn.XLOOKUP(DATA_MASTER[[#This Row],[DATE]],WEATHER[DATE],WEATHER[precip])</f>
        <v>0</v>
      </c>
    </row>
    <row r="293" spans="1:36" x14ac:dyDescent="0.35">
      <c r="A293" s="155">
        <v>45452</v>
      </c>
      <c r="B293" s="144" t="s">
        <v>42</v>
      </c>
      <c r="C293" s="144" t="s">
        <v>50</v>
      </c>
      <c r="D293" s="144" t="s">
        <v>43</v>
      </c>
      <c r="E293" s="145">
        <f t="shared" si="93"/>
        <v>0</v>
      </c>
      <c r="F293" s="146">
        <f t="shared" si="76"/>
        <v>1</v>
      </c>
      <c r="G293" s="146">
        <f t="shared" si="77"/>
        <v>0</v>
      </c>
      <c r="H293" s="146">
        <f t="shared" si="78"/>
        <v>0</v>
      </c>
      <c r="I293" s="146">
        <f t="shared" si="79"/>
        <v>0</v>
      </c>
      <c r="J293" s="146">
        <f t="shared" si="80"/>
        <v>0</v>
      </c>
      <c r="K293" s="146">
        <f t="shared" si="81"/>
        <v>0</v>
      </c>
      <c r="L293" s="147">
        <f t="shared" si="94"/>
        <v>0</v>
      </c>
      <c r="M293" s="147">
        <f t="shared" si="82"/>
        <v>0</v>
      </c>
      <c r="N293" s="147">
        <f t="shared" si="83"/>
        <v>0</v>
      </c>
      <c r="O293" s="147">
        <f t="shared" si="84"/>
        <v>0</v>
      </c>
      <c r="P293" s="147">
        <f t="shared" si="85"/>
        <v>0</v>
      </c>
      <c r="Q293" s="147">
        <f t="shared" si="86"/>
        <v>1</v>
      </c>
      <c r="R293" s="147">
        <f t="shared" si="87"/>
        <v>0</v>
      </c>
      <c r="S293" s="147">
        <f t="shared" si="88"/>
        <v>0</v>
      </c>
      <c r="T293" s="147">
        <f t="shared" si="89"/>
        <v>0</v>
      </c>
      <c r="U293" s="147">
        <f t="shared" si="90"/>
        <v>0</v>
      </c>
      <c r="V293" s="147">
        <f t="shared" si="91"/>
        <v>0</v>
      </c>
      <c r="W293" s="129">
        <v>1</v>
      </c>
      <c r="X293" s="144" t="str">
        <f t="shared" si="92"/>
        <v>WEEKEND</v>
      </c>
      <c r="Y293" s="148">
        <v>4.0166666666666666</v>
      </c>
      <c r="Z293" s="144" t="s">
        <v>55</v>
      </c>
      <c r="AA293" s="149">
        <v>615.5</v>
      </c>
      <c r="AB293" s="149">
        <v>111.141576</v>
      </c>
      <c r="AC293" s="149">
        <v>153.23651452282158</v>
      </c>
      <c r="AD293" s="156">
        <v>27.670101908713693</v>
      </c>
      <c r="AE293" s="149" t="str">
        <f>IFERROR(_xlfn.XLOOKUP(DATA_MASTER[[#This Row],[DATE]],RODEO[DATE],RODEO[ARTIST]),"")</f>
        <v/>
      </c>
      <c r="AF293" s="172">
        <f>IF(DATA_MASTER[[#This Row],[RODEO_ARTIST]]="",0,1)</f>
        <v>0</v>
      </c>
      <c r="AG293" t="str">
        <f>IFERROR(RIGHT(_xlfn.XLOOKUP(DATA_MASTER[[#This Row],[DATE]],ASTROS[DATE],ASTROS[OPPONENT]),LEN(_xlfn.XLOOKUP(DATA_MASTER[[#This Row],[DATE]],ASTROS[DATE],ASTROS[OPPONENT]))-3),"NO GAME")</f>
        <v>NO GAME</v>
      </c>
      <c r="AH293">
        <f>IF(DATA_MASTER[[#This Row],[ASTROS_GAME]]="NO GAME",0,1)</f>
        <v>0</v>
      </c>
      <c r="AI293">
        <f>_xlfn.XLOOKUP(DATA_MASTER[[#This Row],[DATE]],WEATHER[DATE],WEATHER[tempmax])</f>
        <v>89.5</v>
      </c>
      <c r="AJ293">
        <f>_xlfn.XLOOKUP(DATA_MASTER[[#This Row],[DATE]],WEATHER[DATE],WEATHER[precip])</f>
        <v>0</v>
      </c>
    </row>
    <row r="294" spans="1:36" x14ac:dyDescent="0.35">
      <c r="A294" s="155">
        <v>45452</v>
      </c>
      <c r="B294" s="144" t="s">
        <v>46</v>
      </c>
      <c r="C294" s="144" t="s">
        <v>50</v>
      </c>
      <c r="D294" s="144" t="s">
        <v>43</v>
      </c>
      <c r="E294" s="145">
        <f t="shared" si="93"/>
        <v>1</v>
      </c>
      <c r="F294" s="146">
        <f t="shared" si="76"/>
        <v>1</v>
      </c>
      <c r="G294" s="146">
        <f t="shared" si="77"/>
        <v>0</v>
      </c>
      <c r="H294" s="146">
        <f t="shared" si="78"/>
        <v>0</v>
      </c>
      <c r="I294" s="146">
        <f t="shared" si="79"/>
        <v>0</v>
      </c>
      <c r="J294" s="146">
        <f t="shared" si="80"/>
        <v>0</v>
      </c>
      <c r="K294" s="146">
        <f t="shared" si="81"/>
        <v>0</v>
      </c>
      <c r="L294" s="147">
        <f t="shared" si="94"/>
        <v>0</v>
      </c>
      <c r="M294" s="147">
        <f t="shared" si="82"/>
        <v>0</v>
      </c>
      <c r="N294" s="147">
        <f t="shared" si="83"/>
        <v>0</v>
      </c>
      <c r="O294" s="147">
        <f t="shared" si="84"/>
        <v>0</v>
      </c>
      <c r="P294" s="147">
        <f t="shared" si="85"/>
        <v>0</v>
      </c>
      <c r="Q294" s="147">
        <f t="shared" si="86"/>
        <v>1</v>
      </c>
      <c r="R294" s="147">
        <f t="shared" si="87"/>
        <v>0</v>
      </c>
      <c r="S294" s="147">
        <f t="shared" si="88"/>
        <v>0</v>
      </c>
      <c r="T294" s="147">
        <f t="shared" si="89"/>
        <v>0</v>
      </c>
      <c r="U294" s="147">
        <f t="shared" si="90"/>
        <v>0</v>
      </c>
      <c r="V294" s="147">
        <f t="shared" si="91"/>
        <v>0</v>
      </c>
      <c r="W294" s="129">
        <v>1</v>
      </c>
      <c r="X294" s="144" t="str">
        <f t="shared" si="92"/>
        <v>WEEKEND</v>
      </c>
      <c r="Y294" s="148">
        <v>4.0166666666666666</v>
      </c>
      <c r="Z294" s="144" t="s">
        <v>55</v>
      </c>
      <c r="AA294" s="149">
        <v>615.5</v>
      </c>
      <c r="AB294" s="149">
        <v>111.141576</v>
      </c>
      <c r="AC294" s="149">
        <v>153.23651452282158</v>
      </c>
      <c r="AD294" s="156">
        <v>27.670101908713693</v>
      </c>
      <c r="AE294" s="149" t="str">
        <f>IFERROR(_xlfn.XLOOKUP(DATA_MASTER[[#This Row],[DATE]],RODEO[DATE],RODEO[ARTIST]),"")</f>
        <v/>
      </c>
      <c r="AF294" s="172">
        <f>IF(DATA_MASTER[[#This Row],[RODEO_ARTIST]]="",0,1)</f>
        <v>0</v>
      </c>
      <c r="AG294" t="str">
        <f>IFERROR(RIGHT(_xlfn.XLOOKUP(DATA_MASTER[[#This Row],[DATE]],ASTROS[DATE],ASTROS[OPPONENT]),LEN(_xlfn.XLOOKUP(DATA_MASTER[[#This Row],[DATE]],ASTROS[DATE],ASTROS[OPPONENT]))-3),"NO GAME")</f>
        <v>NO GAME</v>
      </c>
      <c r="AH294">
        <f>IF(DATA_MASTER[[#This Row],[ASTROS_GAME]]="NO GAME",0,1)</f>
        <v>0</v>
      </c>
      <c r="AI294">
        <f>_xlfn.XLOOKUP(DATA_MASTER[[#This Row],[DATE]],WEATHER[DATE],WEATHER[tempmax])</f>
        <v>89.5</v>
      </c>
      <c r="AJ294">
        <f>_xlfn.XLOOKUP(DATA_MASTER[[#This Row],[DATE]],WEATHER[DATE],WEATHER[precip])</f>
        <v>0</v>
      </c>
    </row>
    <row r="295" spans="1:36" x14ac:dyDescent="0.35">
      <c r="A295" s="155">
        <v>45455</v>
      </c>
      <c r="B295" s="144" t="s">
        <v>46</v>
      </c>
      <c r="C295" s="144" t="s">
        <v>44</v>
      </c>
      <c r="D295" s="144" t="s">
        <v>43</v>
      </c>
      <c r="E295" s="145">
        <f t="shared" si="93"/>
        <v>1</v>
      </c>
      <c r="F295" s="146">
        <f t="shared" si="76"/>
        <v>0</v>
      </c>
      <c r="G295" s="146">
        <f t="shared" si="77"/>
        <v>0</v>
      </c>
      <c r="H295" s="146">
        <f t="shared" si="78"/>
        <v>1</v>
      </c>
      <c r="I295" s="146">
        <f t="shared" si="79"/>
        <v>0</v>
      </c>
      <c r="J295" s="146">
        <f t="shared" si="80"/>
        <v>0</v>
      </c>
      <c r="K295" s="146">
        <f t="shared" si="81"/>
        <v>0</v>
      </c>
      <c r="L295" s="147">
        <f t="shared" si="94"/>
        <v>0</v>
      </c>
      <c r="M295" s="147">
        <f t="shared" si="82"/>
        <v>0</v>
      </c>
      <c r="N295" s="147">
        <f t="shared" si="83"/>
        <v>0</v>
      </c>
      <c r="O295" s="147">
        <f t="shared" si="84"/>
        <v>0</v>
      </c>
      <c r="P295" s="147">
        <f t="shared" si="85"/>
        <v>0</v>
      </c>
      <c r="Q295" s="147">
        <f t="shared" si="86"/>
        <v>1</v>
      </c>
      <c r="R295" s="147">
        <f t="shared" si="87"/>
        <v>0</v>
      </c>
      <c r="S295" s="147">
        <f t="shared" si="88"/>
        <v>0</v>
      </c>
      <c r="T295" s="147">
        <f t="shared" si="89"/>
        <v>0</v>
      </c>
      <c r="U295" s="147">
        <f t="shared" si="90"/>
        <v>0</v>
      </c>
      <c r="V295" s="147">
        <f t="shared" si="91"/>
        <v>0</v>
      </c>
      <c r="W295" s="129">
        <v>0</v>
      </c>
      <c r="X295" s="144" t="str">
        <f t="shared" si="92"/>
        <v>WEEKDAY</v>
      </c>
      <c r="Y295" s="148">
        <v>6.5</v>
      </c>
      <c r="Z295" s="144" t="s">
        <v>45</v>
      </c>
      <c r="AA295" s="149">
        <v>966.5</v>
      </c>
      <c r="AB295" s="149">
        <v>214.95384799999997</v>
      </c>
      <c r="AC295" s="149">
        <v>148.69230769230768</v>
      </c>
      <c r="AD295" s="156">
        <v>33.069822769230761</v>
      </c>
      <c r="AE295" s="149" t="str">
        <f>IFERROR(_xlfn.XLOOKUP(DATA_MASTER[[#This Row],[DATE]],RODEO[DATE],RODEO[ARTIST]),"")</f>
        <v/>
      </c>
      <c r="AF295" s="172">
        <f>IF(DATA_MASTER[[#This Row],[RODEO_ARTIST]]="",0,1)</f>
        <v>0</v>
      </c>
      <c r="AG295" t="str">
        <f>IFERROR(RIGHT(_xlfn.XLOOKUP(DATA_MASTER[[#This Row],[DATE]],ASTROS[DATE],ASTROS[OPPONENT]),LEN(_xlfn.XLOOKUP(DATA_MASTER[[#This Row],[DATE]],ASTROS[DATE],ASTROS[OPPONENT]))-3),"NO GAME")</f>
        <v>NO GAME</v>
      </c>
      <c r="AH295">
        <f>IF(DATA_MASTER[[#This Row],[ASTROS_GAME]]="NO GAME",0,1)</f>
        <v>0</v>
      </c>
      <c r="AI295">
        <f>_xlfn.XLOOKUP(DATA_MASTER[[#This Row],[DATE]],WEATHER[DATE],WEATHER[tempmax])</f>
        <v>89.6</v>
      </c>
      <c r="AJ295">
        <f>_xlfn.XLOOKUP(DATA_MASTER[[#This Row],[DATE]],WEATHER[DATE],WEATHER[precip])</f>
        <v>8.0000000000000002E-3</v>
      </c>
    </row>
    <row r="296" spans="1:36" x14ac:dyDescent="0.35">
      <c r="A296" s="155">
        <v>45457</v>
      </c>
      <c r="B296" s="144" t="s">
        <v>42</v>
      </c>
      <c r="C296" s="144" t="s">
        <v>48</v>
      </c>
      <c r="D296" s="144" t="s">
        <v>43</v>
      </c>
      <c r="E296" s="145">
        <f t="shared" si="93"/>
        <v>0</v>
      </c>
      <c r="F296" s="146">
        <f t="shared" si="76"/>
        <v>0</v>
      </c>
      <c r="G296" s="146">
        <f t="shared" si="77"/>
        <v>0</v>
      </c>
      <c r="H296" s="146">
        <f t="shared" si="78"/>
        <v>0</v>
      </c>
      <c r="I296" s="146">
        <f t="shared" si="79"/>
        <v>0</v>
      </c>
      <c r="J296" s="146">
        <f t="shared" si="80"/>
        <v>1</v>
      </c>
      <c r="K296" s="146">
        <f t="shared" si="81"/>
        <v>0</v>
      </c>
      <c r="L296" s="147">
        <f t="shared" si="94"/>
        <v>0</v>
      </c>
      <c r="M296" s="147">
        <f t="shared" si="82"/>
        <v>0</v>
      </c>
      <c r="N296" s="147">
        <f t="shared" si="83"/>
        <v>0</v>
      </c>
      <c r="O296" s="147">
        <f t="shared" si="84"/>
        <v>0</v>
      </c>
      <c r="P296" s="147">
        <f t="shared" si="85"/>
        <v>0</v>
      </c>
      <c r="Q296" s="147">
        <f t="shared" si="86"/>
        <v>1</v>
      </c>
      <c r="R296" s="147">
        <f t="shared" si="87"/>
        <v>0</v>
      </c>
      <c r="S296" s="147">
        <f t="shared" si="88"/>
        <v>0</v>
      </c>
      <c r="T296" s="147">
        <f t="shared" si="89"/>
        <v>0</v>
      </c>
      <c r="U296" s="147">
        <f t="shared" si="90"/>
        <v>0</v>
      </c>
      <c r="V296" s="147">
        <f t="shared" si="91"/>
        <v>0</v>
      </c>
      <c r="W296" s="129">
        <v>0</v>
      </c>
      <c r="X296" s="144" t="str">
        <f t="shared" si="92"/>
        <v>WEEKDAY</v>
      </c>
      <c r="Y296" s="148">
        <v>4.916666666666667</v>
      </c>
      <c r="Z296" s="144" t="s">
        <v>45</v>
      </c>
      <c r="AA296" s="149">
        <v>761</v>
      </c>
      <c r="AB296" s="149">
        <v>126.74560399999999</v>
      </c>
      <c r="AC296" s="149">
        <v>154.77966101694915</v>
      </c>
      <c r="AD296" s="156">
        <v>25.778766915254234</v>
      </c>
      <c r="AE296" s="149" t="str">
        <f>IFERROR(_xlfn.XLOOKUP(DATA_MASTER[[#This Row],[DATE]],RODEO[DATE],RODEO[ARTIST]),"")</f>
        <v/>
      </c>
      <c r="AF296" s="172">
        <f>IF(DATA_MASTER[[#This Row],[RODEO_ARTIST]]="",0,1)</f>
        <v>0</v>
      </c>
      <c r="AG296" t="str">
        <f>IFERROR(RIGHT(_xlfn.XLOOKUP(DATA_MASTER[[#This Row],[DATE]],ASTROS[DATE],ASTROS[OPPONENT]),LEN(_xlfn.XLOOKUP(DATA_MASTER[[#This Row],[DATE]],ASTROS[DATE],ASTROS[OPPONENT]))-3),"NO GAME")</f>
        <v>Detroit Tigers</v>
      </c>
      <c r="AH296">
        <f>IF(DATA_MASTER[[#This Row],[ASTROS_GAME]]="NO GAME",0,1)</f>
        <v>1</v>
      </c>
      <c r="AI296">
        <f>_xlfn.XLOOKUP(DATA_MASTER[[#This Row],[DATE]],WEATHER[DATE],WEATHER[tempmax])</f>
        <v>94.9</v>
      </c>
      <c r="AJ296">
        <f>_xlfn.XLOOKUP(DATA_MASTER[[#This Row],[DATE]],WEATHER[DATE],WEATHER[precip])</f>
        <v>0</v>
      </c>
    </row>
    <row r="297" spans="1:36" x14ac:dyDescent="0.35">
      <c r="A297" s="155">
        <v>45458</v>
      </c>
      <c r="B297" s="144" t="s">
        <v>42</v>
      </c>
      <c r="C297" s="144" t="s">
        <v>49</v>
      </c>
      <c r="D297" s="144" t="s">
        <v>43</v>
      </c>
      <c r="E297" s="145">
        <f t="shared" si="93"/>
        <v>0</v>
      </c>
      <c r="F297" s="146">
        <f t="shared" si="76"/>
        <v>0</v>
      </c>
      <c r="G297" s="146">
        <f t="shared" si="77"/>
        <v>0</v>
      </c>
      <c r="H297" s="146">
        <f t="shared" si="78"/>
        <v>0</v>
      </c>
      <c r="I297" s="146">
        <f t="shared" si="79"/>
        <v>0</v>
      </c>
      <c r="J297" s="146">
        <f t="shared" si="80"/>
        <v>0</v>
      </c>
      <c r="K297" s="146">
        <f t="shared" si="81"/>
        <v>1</v>
      </c>
      <c r="L297" s="147">
        <f t="shared" si="94"/>
        <v>0</v>
      </c>
      <c r="M297" s="147">
        <f t="shared" si="82"/>
        <v>0</v>
      </c>
      <c r="N297" s="147">
        <f t="shared" si="83"/>
        <v>0</v>
      </c>
      <c r="O297" s="147">
        <f t="shared" si="84"/>
        <v>0</v>
      </c>
      <c r="P297" s="147">
        <f t="shared" si="85"/>
        <v>0</v>
      </c>
      <c r="Q297" s="147">
        <f t="shared" si="86"/>
        <v>1</v>
      </c>
      <c r="R297" s="147">
        <f t="shared" si="87"/>
        <v>0</v>
      </c>
      <c r="S297" s="147">
        <f t="shared" si="88"/>
        <v>0</v>
      </c>
      <c r="T297" s="147">
        <f t="shared" si="89"/>
        <v>0</v>
      </c>
      <c r="U297" s="147">
        <f t="shared" si="90"/>
        <v>0</v>
      </c>
      <c r="V297" s="147">
        <f t="shared" si="91"/>
        <v>0</v>
      </c>
      <c r="W297" s="129">
        <v>1</v>
      </c>
      <c r="X297" s="144" t="str">
        <f t="shared" si="92"/>
        <v>WEEKEND</v>
      </c>
      <c r="Y297" s="148">
        <v>4.833333333333333</v>
      </c>
      <c r="Z297" s="144" t="s">
        <v>55</v>
      </c>
      <c r="AA297" s="149">
        <v>460</v>
      </c>
      <c r="AB297" s="149">
        <v>82.762343999999999</v>
      </c>
      <c r="AC297" s="149">
        <v>95.172413793103459</v>
      </c>
      <c r="AD297" s="156">
        <v>17.123243586206897</v>
      </c>
      <c r="AE297" s="149" t="str">
        <f>IFERROR(_xlfn.XLOOKUP(DATA_MASTER[[#This Row],[DATE]],RODEO[DATE],RODEO[ARTIST]),"")</f>
        <v/>
      </c>
      <c r="AF297" s="172">
        <f>IF(DATA_MASTER[[#This Row],[RODEO_ARTIST]]="",0,1)</f>
        <v>0</v>
      </c>
      <c r="AG297" t="str">
        <f>IFERROR(RIGHT(_xlfn.XLOOKUP(DATA_MASTER[[#This Row],[DATE]],ASTROS[DATE],ASTROS[OPPONENT]),LEN(_xlfn.XLOOKUP(DATA_MASTER[[#This Row],[DATE]],ASTROS[DATE],ASTROS[OPPONENT]))-3),"NO GAME")</f>
        <v>Detroit Tigers</v>
      </c>
      <c r="AH297">
        <f>IF(DATA_MASTER[[#This Row],[ASTROS_GAME]]="NO GAME",0,1)</f>
        <v>1</v>
      </c>
      <c r="AI297">
        <f>_xlfn.XLOOKUP(DATA_MASTER[[#This Row],[DATE]],WEATHER[DATE],WEATHER[tempmax])</f>
        <v>91.5</v>
      </c>
      <c r="AJ297">
        <f>_xlfn.XLOOKUP(DATA_MASTER[[#This Row],[DATE]],WEATHER[DATE],WEATHER[precip])</f>
        <v>0</v>
      </c>
    </row>
    <row r="298" spans="1:36" x14ac:dyDescent="0.35">
      <c r="A298" s="155">
        <v>45458</v>
      </c>
      <c r="B298" s="144" t="s">
        <v>46</v>
      </c>
      <c r="C298" s="144" t="s">
        <v>49</v>
      </c>
      <c r="D298" s="144" t="s">
        <v>43</v>
      </c>
      <c r="E298" s="145">
        <f t="shared" si="93"/>
        <v>1</v>
      </c>
      <c r="F298" s="146">
        <f t="shared" si="76"/>
        <v>0</v>
      </c>
      <c r="G298" s="146">
        <f t="shared" si="77"/>
        <v>0</v>
      </c>
      <c r="H298" s="146">
        <f t="shared" si="78"/>
        <v>0</v>
      </c>
      <c r="I298" s="146">
        <f t="shared" si="79"/>
        <v>0</v>
      </c>
      <c r="J298" s="146">
        <f t="shared" si="80"/>
        <v>0</v>
      </c>
      <c r="K298" s="146">
        <f t="shared" si="81"/>
        <v>1</v>
      </c>
      <c r="L298" s="147">
        <f t="shared" si="94"/>
        <v>0</v>
      </c>
      <c r="M298" s="147">
        <f t="shared" si="82"/>
        <v>0</v>
      </c>
      <c r="N298" s="147">
        <f t="shared" si="83"/>
        <v>0</v>
      </c>
      <c r="O298" s="147">
        <f t="shared" si="84"/>
        <v>0</v>
      </c>
      <c r="P298" s="147">
        <f t="shared" si="85"/>
        <v>0</v>
      </c>
      <c r="Q298" s="147">
        <f t="shared" si="86"/>
        <v>1</v>
      </c>
      <c r="R298" s="147">
        <f t="shared" si="87"/>
        <v>0</v>
      </c>
      <c r="S298" s="147">
        <f t="shared" si="88"/>
        <v>0</v>
      </c>
      <c r="T298" s="147">
        <f t="shared" si="89"/>
        <v>0</v>
      </c>
      <c r="U298" s="147">
        <f t="shared" si="90"/>
        <v>0</v>
      </c>
      <c r="V298" s="147">
        <f t="shared" si="91"/>
        <v>0</v>
      </c>
      <c r="W298" s="129">
        <v>1</v>
      </c>
      <c r="X298" s="144" t="str">
        <f t="shared" si="92"/>
        <v>WEEKEND</v>
      </c>
      <c r="Y298" s="148">
        <v>4.95</v>
      </c>
      <c r="Z298" s="144" t="s">
        <v>55</v>
      </c>
      <c r="AA298" s="149">
        <v>1515</v>
      </c>
      <c r="AB298" s="149">
        <v>237.54638799999998</v>
      </c>
      <c r="AC298" s="149">
        <v>306.06060606060606</v>
      </c>
      <c r="AD298" s="156">
        <v>47.98916929292929</v>
      </c>
      <c r="AE298" s="149" t="str">
        <f>IFERROR(_xlfn.XLOOKUP(DATA_MASTER[[#This Row],[DATE]],RODEO[DATE],RODEO[ARTIST]),"")</f>
        <v/>
      </c>
      <c r="AF298" s="172">
        <f>IF(DATA_MASTER[[#This Row],[RODEO_ARTIST]]="",0,1)</f>
        <v>0</v>
      </c>
      <c r="AG298" t="str">
        <f>IFERROR(RIGHT(_xlfn.XLOOKUP(DATA_MASTER[[#This Row],[DATE]],ASTROS[DATE],ASTROS[OPPONENT]),LEN(_xlfn.XLOOKUP(DATA_MASTER[[#This Row],[DATE]],ASTROS[DATE],ASTROS[OPPONENT]))-3),"NO GAME")</f>
        <v>Detroit Tigers</v>
      </c>
      <c r="AH298">
        <f>IF(DATA_MASTER[[#This Row],[ASTROS_GAME]]="NO GAME",0,1)</f>
        <v>1</v>
      </c>
      <c r="AI298">
        <f>_xlfn.XLOOKUP(DATA_MASTER[[#This Row],[DATE]],WEATHER[DATE],WEATHER[tempmax])</f>
        <v>91.5</v>
      </c>
      <c r="AJ298">
        <f>_xlfn.XLOOKUP(DATA_MASTER[[#This Row],[DATE]],WEATHER[DATE],WEATHER[precip])</f>
        <v>0</v>
      </c>
    </row>
    <row r="299" spans="1:36" x14ac:dyDescent="0.35">
      <c r="A299" s="155">
        <v>45459</v>
      </c>
      <c r="B299" s="144" t="s">
        <v>42</v>
      </c>
      <c r="C299" s="144" t="s">
        <v>50</v>
      </c>
      <c r="D299" s="144" t="s">
        <v>43</v>
      </c>
      <c r="E299" s="145">
        <f t="shared" si="93"/>
        <v>0</v>
      </c>
      <c r="F299" s="146">
        <f t="shared" si="76"/>
        <v>1</v>
      </c>
      <c r="G299" s="146">
        <f t="shared" si="77"/>
        <v>0</v>
      </c>
      <c r="H299" s="146">
        <f t="shared" si="78"/>
        <v>0</v>
      </c>
      <c r="I299" s="146">
        <f t="shared" si="79"/>
        <v>0</v>
      </c>
      <c r="J299" s="146">
        <f t="shared" si="80"/>
        <v>0</v>
      </c>
      <c r="K299" s="146">
        <f t="shared" si="81"/>
        <v>0</v>
      </c>
      <c r="L299" s="147">
        <f t="shared" si="94"/>
        <v>0</v>
      </c>
      <c r="M299" s="147">
        <f t="shared" si="82"/>
        <v>0</v>
      </c>
      <c r="N299" s="147">
        <f t="shared" si="83"/>
        <v>0</v>
      </c>
      <c r="O299" s="147">
        <f t="shared" si="84"/>
        <v>0</v>
      </c>
      <c r="P299" s="147">
        <f t="shared" si="85"/>
        <v>0</v>
      </c>
      <c r="Q299" s="147">
        <f t="shared" si="86"/>
        <v>1</v>
      </c>
      <c r="R299" s="147">
        <f t="shared" si="87"/>
        <v>0</v>
      </c>
      <c r="S299" s="147">
        <f t="shared" si="88"/>
        <v>0</v>
      </c>
      <c r="T299" s="147">
        <f t="shared" si="89"/>
        <v>0</v>
      </c>
      <c r="U299" s="147">
        <f t="shared" si="90"/>
        <v>0</v>
      </c>
      <c r="V299" s="147">
        <f t="shared" si="91"/>
        <v>0</v>
      </c>
      <c r="W299" s="129">
        <v>1</v>
      </c>
      <c r="X299" s="144" t="str">
        <f t="shared" si="92"/>
        <v>WEEKEND</v>
      </c>
      <c r="Y299" s="148">
        <v>4.95</v>
      </c>
      <c r="Z299" s="144" t="s">
        <v>55</v>
      </c>
      <c r="AA299" s="149">
        <v>1295.25</v>
      </c>
      <c r="AB299" s="149">
        <v>209.43259599999999</v>
      </c>
      <c r="AC299" s="149">
        <v>261.66666666666669</v>
      </c>
      <c r="AD299" s="156">
        <v>42.309615353535349</v>
      </c>
      <c r="AE299" s="149" t="str">
        <f>IFERROR(_xlfn.XLOOKUP(DATA_MASTER[[#This Row],[DATE]],RODEO[DATE],RODEO[ARTIST]),"")</f>
        <v/>
      </c>
      <c r="AF299" s="172">
        <f>IF(DATA_MASTER[[#This Row],[RODEO_ARTIST]]="",0,1)</f>
        <v>0</v>
      </c>
      <c r="AG299" t="str">
        <f>IFERROR(RIGHT(_xlfn.XLOOKUP(DATA_MASTER[[#This Row],[DATE]],ASTROS[DATE],ASTROS[OPPONENT]),LEN(_xlfn.XLOOKUP(DATA_MASTER[[#This Row],[DATE]],ASTROS[DATE],ASTROS[OPPONENT]))-3),"NO GAME")</f>
        <v>Detroit Tigers</v>
      </c>
      <c r="AH299">
        <f>IF(DATA_MASTER[[#This Row],[ASTROS_GAME]]="NO GAME",0,1)</f>
        <v>1</v>
      </c>
      <c r="AI299">
        <f>_xlfn.XLOOKUP(DATA_MASTER[[#This Row],[DATE]],WEATHER[DATE],WEATHER[tempmax])</f>
        <v>93.2</v>
      </c>
      <c r="AJ299">
        <f>_xlfn.XLOOKUP(DATA_MASTER[[#This Row],[DATE]],WEATHER[DATE],WEATHER[precip])</f>
        <v>0</v>
      </c>
    </row>
    <row r="300" spans="1:36" x14ac:dyDescent="0.35">
      <c r="A300" s="155">
        <v>45459</v>
      </c>
      <c r="B300" s="144" t="s">
        <v>46</v>
      </c>
      <c r="C300" s="144" t="s">
        <v>50</v>
      </c>
      <c r="D300" s="144" t="s">
        <v>43</v>
      </c>
      <c r="E300" s="145">
        <f t="shared" si="93"/>
        <v>1</v>
      </c>
      <c r="F300" s="146">
        <f t="shared" si="76"/>
        <v>1</v>
      </c>
      <c r="G300" s="146">
        <f t="shared" si="77"/>
        <v>0</v>
      </c>
      <c r="H300" s="146">
        <f t="shared" si="78"/>
        <v>0</v>
      </c>
      <c r="I300" s="146">
        <f t="shared" si="79"/>
        <v>0</v>
      </c>
      <c r="J300" s="146">
        <f t="shared" si="80"/>
        <v>0</v>
      </c>
      <c r="K300" s="146">
        <f t="shared" si="81"/>
        <v>0</v>
      </c>
      <c r="L300" s="147">
        <f t="shared" si="94"/>
        <v>0</v>
      </c>
      <c r="M300" s="147">
        <f t="shared" si="82"/>
        <v>0</v>
      </c>
      <c r="N300" s="147">
        <f t="shared" si="83"/>
        <v>0</v>
      </c>
      <c r="O300" s="147">
        <f t="shared" si="84"/>
        <v>0</v>
      </c>
      <c r="P300" s="147">
        <f t="shared" si="85"/>
        <v>0</v>
      </c>
      <c r="Q300" s="147">
        <f t="shared" si="86"/>
        <v>1</v>
      </c>
      <c r="R300" s="147">
        <f t="shared" si="87"/>
        <v>0</v>
      </c>
      <c r="S300" s="147">
        <f t="shared" si="88"/>
        <v>0</v>
      </c>
      <c r="T300" s="147">
        <f t="shared" si="89"/>
        <v>0</v>
      </c>
      <c r="U300" s="147">
        <f t="shared" si="90"/>
        <v>0</v>
      </c>
      <c r="V300" s="147">
        <f t="shared" si="91"/>
        <v>0</v>
      </c>
      <c r="W300" s="129">
        <v>1</v>
      </c>
      <c r="X300" s="144" t="str">
        <f t="shared" si="92"/>
        <v>WEEKEND</v>
      </c>
      <c r="Y300" s="148">
        <v>4.95</v>
      </c>
      <c r="Z300" s="144" t="s">
        <v>55</v>
      </c>
      <c r="AA300" s="149">
        <v>1295.25</v>
      </c>
      <c r="AB300" s="149">
        <v>209.43259599999999</v>
      </c>
      <c r="AC300" s="149">
        <v>261.66666666666669</v>
      </c>
      <c r="AD300" s="156">
        <v>42.309615353535349</v>
      </c>
      <c r="AE300" s="149" t="str">
        <f>IFERROR(_xlfn.XLOOKUP(DATA_MASTER[[#This Row],[DATE]],RODEO[DATE],RODEO[ARTIST]),"")</f>
        <v/>
      </c>
      <c r="AF300" s="172">
        <f>IF(DATA_MASTER[[#This Row],[RODEO_ARTIST]]="",0,1)</f>
        <v>0</v>
      </c>
      <c r="AG300" t="str">
        <f>IFERROR(RIGHT(_xlfn.XLOOKUP(DATA_MASTER[[#This Row],[DATE]],ASTROS[DATE],ASTROS[OPPONENT]),LEN(_xlfn.XLOOKUP(DATA_MASTER[[#This Row],[DATE]],ASTROS[DATE],ASTROS[OPPONENT]))-3),"NO GAME")</f>
        <v>Detroit Tigers</v>
      </c>
      <c r="AH300">
        <f>IF(DATA_MASTER[[#This Row],[ASTROS_GAME]]="NO GAME",0,1)</f>
        <v>1</v>
      </c>
      <c r="AI300">
        <f>_xlfn.XLOOKUP(DATA_MASTER[[#This Row],[DATE]],WEATHER[DATE],WEATHER[tempmax])</f>
        <v>93.2</v>
      </c>
      <c r="AJ300">
        <f>_xlfn.XLOOKUP(DATA_MASTER[[#This Row],[DATE]],WEATHER[DATE],WEATHER[precip])</f>
        <v>0</v>
      </c>
    </row>
    <row r="301" spans="1:36" x14ac:dyDescent="0.35">
      <c r="A301" s="155">
        <v>45462</v>
      </c>
      <c r="B301" s="144" t="s">
        <v>46</v>
      </c>
      <c r="C301" s="144" t="s">
        <v>44</v>
      </c>
      <c r="D301" s="144" t="s">
        <v>43</v>
      </c>
      <c r="E301" s="145">
        <f t="shared" si="93"/>
        <v>1</v>
      </c>
      <c r="F301" s="146">
        <f t="shared" si="76"/>
        <v>0</v>
      </c>
      <c r="G301" s="146">
        <f t="shared" si="77"/>
        <v>0</v>
      </c>
      <c r="H301" s="146">
        <f t="shared" si="78"/>
        <v>1</v>
      </c>
      <c r="I301" s="146">
        <f t="shared" si="79"/>
        <v>0</v>
      </c>
      <c r="J301" s="146">
        <f t="shared" si="80"/>
        <v>0</v>
      </c>
      <c r="K301" s="146">
        <f t="shared" si="81"/>
        <v>0</v>
      </c>
      <c r="L301" s="147">
        <f t="shared" si="94"/>
        <v>0</v>
      </c>
      <c r="M301" s="147">
        <f t="shared" si="82"/>
        <v>0</v>
      </c>
      <c r="N301" s="147">
        <f t="shared" si="83"/>
        <v>0</v>
      </c>
      <c r="O301" s="147">
        <f t="shared" si="84"/>
        <v>0</v>
      </c>
      <c r="P301" s="147">
        <f t="shared" si="85"/>
        <v>0</v>
      </c>
      <c r="Q301" s="147">
        <f t="shared" si="86"/>
        <v>1</v>
      </c>
      <c r="R301" s="147">
        <f t="shared" si="87"/>
        <v>0</v>
      </c>
      <c r="S301" s="147">
        <f t="shared" si="88"/>
        <v>0</v>
      </c>
      <c r="T301" s="147">
        <f t="shared" si="89"/>
        <v>0</v>
      </c>
      <c r="U301" s="147">
        <f t="shared" si="90"/>
        <v>0</v>
      </c>
      <c r="V301" s="147">
        <f t="shared" si="91"/>
        <v>0</v>
      </c>
      <c r="W301" s="129">
        <v>0</v>
      </c>
      <c r="X301" s="144" t="str">
        <f t="shared" si="92"/>
        <v>WEEKDAY</v>
      </c>
      <c r="Y301" s="148">
        <v>5.4</v>
      </c>
      <c r="Z301" s="144" t="s">
        <v>45</v>
      </c>
      <c r="AA301" s="149">
        <v>753</v>
      </c>
      <c r="AB301" s="149">
        <v>123.729696</v>
      </c>
      <c r="AC301" s="149">
        <v>139.44444444444443</v>
      </c>
      <c r="AD301" s="156">
        <v>22.912906666666665</v>
      </c>
      <c r="AE301" s="149" t="str">
        <f>IFERROR(_xlfn.XLOOKUP(DATA_MASTER[[#This Row],[DATE]],RODEO[DATE],RODEO[ARTIST]),"")</f>
        <v/>
      </c>
      <c r="AF301" s="172">
        <f>IF(DATA_MASTER[[#This Row],[RODEO_ARTIST]]="",0,1)</f>
        <v>0</v>
      </c>
      <c r="AG301" t="str">
        <f>IFERROR(RIGHT(_xlfn.XLOOKUP(DATA_MASTER[[#This Row],[DATE]],ASTROS[DATE],ASTROS[OPPONENT]),LEN(_xlfn.XLOOKUP(DATA_MASTER[[#This Row],[DATE]],ASTROS[DATE],ASTROS[OPPONENT]))-3),"NO GAME")</f>
        <v>NO GAME</v>
      </c>
      <c r="AH301">
        <f>IF(DATA_MASTER[[#This Row],[ASTROS_GAME]]="NO GAME",0,1)</f>
        <v>0</v>
      </c>
      <c r="AI301">
        <f>_xlfn.XLOOKUP(DATA_MASTER[[#This Row],[DATE]],WEATHER[DATE],WEATHER[tempmax])</f>
        <v>78.900000000000006</v>
      </c>
      <c r="AJ301">
        <f>_xlfn.XLOOKUP(DATA_MASTER[[#This Row],[DATE]],WEATHER[DATE],WEATHER[precip])</f>
        <v>5.7000000000000002E-2</v>
      </c>
    </row>
    <row r="302" spans="1:36" x14ac:dyDescent="0.35">
      <c r="A302" s="155">
        <v>45464</v>
      </c>
      <c r="B302" s="144" t="s">
        <v>42</v>
      </c>
      <c r="C302" s="144" t="s">
        <v>48</v>
      </c>
      <c r="D302" s="144" t="s">
        <v>43</v>
      </c>
      <c r="E302" s="145">
        <f t="shared" si="93"/>
        <v>0</v>
      </c>
      <c r="F302" s="146">
        <f t="shared" si="76"/>
        <v>0</v>
      </c>
      <c r="G302" s="146">
        <f t="shared" si="77"/>
        <v>0</v>
      </c>
      <c r="H302" s="146">
        <f t="shared" si="78"/>
        <v>0</v>
      </c>
      <c r="I302" s="146">
        <f t="shared" si="79"/>
        <v>0</v>
      </c>
      <c r="J302" s="146">
        <f t="shared" si="80"/>
        <v>1</v>
      </c>
      <c r="K302" s="146">
        <f t="shared" si="81"/>
        <v>0</v>
      </c>
      <c r="L302" s="147">
        <f t="shared" si="94"/>
        <v>0</v>
      </c>
      <c r="M302" s="147">
        <f t="shared" si="82"/>
        <v>0</v>
      </c>
      <c r="N302" s="147">
        <f t="shared" si="83"/>
        <v>0</v>
      </c>
      <c r="O302" s="147">
        <f t="shared" si="84"/>
        <v>0</v>
      </c>
      <c r="P302" s="147">
        <f t="shared" si="85"/>
        <v>0</v>
      </c>
      <c r="Q302" s="147">
        <f t="shared" si="86"/>
        <v>1</v>
      </c>
      <c r="R302" s="147">
        <f t="shared" si="87"/>
        <v>0</v>
      </c>
      <c r="S302" s="147">
        <f t="shared" si="88"/>
        <v>0</v>
      </c>
      <c r="T302" s="147">
        <f t="shared" si="89"/>
        <v>0</v>
      </c>
      <c r="U302" s="147">
        <f t="shared" si="90"/>
        <v>0</v>
      </c>
      <c r="V302" s="147">
        <f t="shared" si="91"/>
        <v>0</v>
      </c>
      <c r="W302" s="129">
        <v>0</v>
      </c>
      <c r="X302" s="144" t="str">
        <f t="shared" si="92"/>
        <v>WEEKDAY</v>
      </c>
      <c r="Y302" s="148">
        <v>3.3166666666666669</v>
      </c>
      <c r="Z302" s="144" t="s">
        <v>45</v>
      </c>
      <c r="AA302" s="149">
        <v>323.5</v>
      </c>
      <c r="AB302" s="149">
        <v>57.147619999999996</v>
      </c>
      <c r="AC302" s="149">
        <v>97.537688442211049</v>
      </c>
      <c r="AD302" s="156">
        <v>17.230438190954771</v>
      </c>
      <c r="AE302" s="149" t="str">
        <f>IFERROR(_xlfn.XLOOKUP(DATA_MASTER[[#This Row],[DATE]],RODEO[DATE],RODEO[ARTIST]),"")</f>
        <v/>
      </c>
      <c r="AF302" s="172">
        <f>IF(DATA_MASTER[[#This Row],[RODEO_ARTIST]]="",0,1)</f>
        <v>0</v>
      </c>
      <c r="AG302" t="str">
        <f>IFERROR(RIGHT(_xlfn.XLOOKUP(DATA_MASTER[[#This Row],[DATE]],ASTROS[DATE],ASTROS[OPPONENT]),LEN(_xlfn.XLOOKUP(DATA_MASTER[[#This Row],[DATE]],ASTROS[DATE],ASTROS[OPPONENT]))-3),"NO GAME")</f>
        <v>Baltimore Orioles</v>
      </c>
      <c r="AH302">
        <f>IF(DATA_MASTER[[#This Row],[ASTROS_GAME]]="NO GAME",0,1)</f>
        <v>1</v>
      </c>
      <c r="AI302">
        <f>_xlfn.XLOOKUP(DATA_MASTER[[#This Row],[DATE]],WEATHER[DATE],WEATHER[tempmax])</f>
        <v>89.7</v>
      </c>
      <c r="AJ302">
        <f>_xlfn.XLOOKUP(DATA_MASTER[[#This Row],[DATE]],WEATHER[DATE],WEATHER[precip])</f>
        <v>0</v>
      </c>
    </row>
    <row r="303" spans="1:36" x14ac:dyDescent="0.35">
      <c r="A303" s="155">
        <v>45465</v>
      </c>
      <c r="B303" s="144" t="s">
        <v>42</v>
      </c>
      <c r="C303" s="144" t="s">
        <v>49</v>
      </c>
      <c r="D303" s="144" t="s">
        <v>43</v>
      </c>
      <c r="E303" s="145">
        <f t="shared" si="93"/>
        <v>0</v>
      </c>
      <c r="F303" s="146">
        <f t="shared" si="76"/>
        <v>0</v>
      </c>
      <c r="G303" s="146">
        <f t="shared" si="77"/>
        <v>0</v>
      </c>
      <c r="H303" s="146">
        <f t="shared" si="78"/>
        <v>0</v>
      </c>
      <c r="I303" s="146">
        <f t="shared" si="79"/>
        <v>0</v>
      </c>
      <c r="J303" s="146">
        <f t="shared" si="80"/>
        <v>0</v>
      </c>
      <c r="K303" s="146">
        <f t="shared" si="81"/>
        <v>1</v>
      </c>
      <c r="L303" s="147">
        <f t="shared" si="94"/>
        <v>0</v>
      </c>
      <c r="M303" s="147">
        <f t="shared" si="82"/>
        <v>0</v>
      </c>
      <c r="N303" s="147">
        <f t="shared" si="83"/>
        <v>0</v>
      </c>
      <c r="O303" s="147">
        <f t="shared" si="84"/>
        <v>0</v>
      </c>
      <c r="P303" s="147">
        <f t="shared" si="85"/>
        <v>0</v>
      </c>
      <c r="Q303" s="147">
        <f t="shared" si="86"/>
        <v>1</v>
      </c>
      <c r="R303" s="147">
        <f t="shared" si="87"/>
        <v>0</v>
      </c>
      <c r="S303" s="147">
        <f t="shared" si="88"/>
        <v>0</v>
      </c>
      <c r="T303" s="147">
        <f t="shared" si="89"/>
        <v>0</v>
      </c>
      <c r="U303" s="147">
        <f t="shared" si="90"/>
        <v>0</v>
      </c>
      <c r="V303" s="147">
        <f t="shared" si="91"/>
        <v>0</v>
      </c>
      <c r="W303" s="129">
        <v>1</v>
      </c>
      <c r="X303" s="144" t="str">
        <f t="shared" si="92"/>
        <v>WEEKEND</v>
      </c>
      <c r="Y303" s="148">
        <v>4.3166666666666664</v>
      </c>
      <c r="Z303" s="144" t="s">
        <v>45</v>
      </c>
      <c r="AA303" s="149">
        <v>1123.5</v>
      </c>
      <c r="AB303" s="149">
        <v>184.09456400000002</v>
      </c>
      <c r="AC303" s="149">
        <v>260.27027027027026</v>
      </c>
      <c r="AD303" s="156">
        <v>42.647389343629349</v>
      </c>
      <c r="AE303" s="149" t="str">
        <f>IFERROR(_xlfn.XLOOKUP(DATA_MASTER[[#This Row],[DATE]],RODEO[DATE],RODEO[ARTIST]),"")</f>
        <v/>
      </c>
      <c r="AF303" s="172">
        <f>IF(DATA_MASTER[[#This Row],[RODEO_ARTIST]]="",0,1)</f>
        <v>0</v>
      </c>
      <c r="AG303" t="str">
        <f>IFERROR(RIGHT(_xlfn.XLOOKUP(DATA_MASTER[[#This Row],[DATE]],ASTROS[DATE],ASTROS[OPPONENT]),LEN(_xlfn.XLOOKUP(DATA_MASTER[[#This Row],[DATE]],ASTROS[DATE],ASTROS[OPPONENT]))-3),"NO GAME")</f>
        <v>Baltimore Orioles</v>
      </c>
      <c r="AH303">
        <f>IF(DATA_MASTER[[#This Row],[ASTROS_GAME]]="NO GAME",0,1)</f>
        <v>1</v>
      </c>
      <c r="AI303">
        <f>_xlfn.XLOOKUP(DATA_MASTER[[#This Row],[DATE]],WEATHER[DATE],WEATHER[tempmax])</f>
        <v>89.7</v>
      </c>
      <c r="AJ303">
        <f>_xlfn.XLOOKUP(DATA_MASTER[[#This Row],[DATE]],WEATHER[DATE],WEATHER[precip])</f>
        <v>0</v>
      </c>
    </row>
    <row r="304" spans="1:36" x14ac:dyDescent="0.35">
      <c r="A304" s="155">
        <v>45466</v>
      </c>
      <c r="B304" s="144" t="s">
        <v>42</v>
      </c>
      <c r="C304" s="144" t="s">
        <v>50</v>
      </c>
      <c r="D304" s="144" t="s">
        <v>43</v>
      </c>
      <c r="E304" s="145">
        <f t="shared" si="93"/>
        <v>0</v>
      </c>
      <c r="F304" s="146">
        <f t="shared" si="76"/>
        <v>1</v>
      </c>
      <c r="G304" s="146">
        <f t="shared" si="77"/>
        <v>0</v>
      </c>
      <c r="H304" s="146">
        <f t="shared" si="78"/>
        <v>0</v>
      </c>
      <c r="I304" s="146">
        <f t="shared" si="79"/>
        <v>0</v>
      </c>
      <c r="J304" s="146">
        <f t="shared" si="80"/>
        <v>0</v>
      </c>
      <c r="K304" s="146">
        <f t="shared" si="81"/>
        <v>0</v>
      </c>
      <c r="L304" s="147">
        <f t="shared" si="94"/>
        <v>0</v>
      </c>
      <c r="M304" s="147">
        <f t="shared" si="82"/>
        <v>0</v>
      </c>
      <c r="N304" s="147">
        <f t="shared" si="83"/>
        <v>0</v>
      </c>
      <c r="O304" s="147">
        <f t="shared" si="84"/>
        <v>0</v>
      </c>
      <c r="P304" s="147">
        <f t="shared" si="85"/>
        <v>0</v>
      </c>
      <c r="Q304" s="147">
        <f t="shared" si="86"/>
        <v>1</v>
      </c>
      <c r="R304" s="147">
        <f t="shared" si="87"/>
        <v>0</v>
      </c>
      <c r="S304" s="147">
        <f t="shared" si="88"/>
        <v>0</v>
      </c>
      <c r="T304" s="147">
        <f t="shared" si="89"/>
        <v>0</v>
      </c>
      <c r="U304" s="147">
        <f t="shared" si="90"/>
        <v>0</v>
      </c>
      <c r="V304" s="147">
        <f t="shared" si="91"/>
        <v>0</v>
      </c>
      <c r="W304" s="129">
        <v>1</v>
      </c>
      <c r="X304" s="144" t="str">
        <f t="shared" si="92"/>
        <v>WEEKEND</v>
      </c>
      <c r="Y304" s="148">
        <v>3.7666666666666666</v>
      </c>
      <c r="Z304" s="144" t="s">
        <v>55</v>
      </c>
      <c r="AA304" s="149">
        <v>621</v>
      </c>
      <c r="AB304" s="149">
        <v>111.53288000000001</v>
      </c>
      <c r="AC304" s="149">
        <v>164.86725663716814</v>
      </c>
      <c r="AD304" s="156">
        <v>29.610499115044249</v>
      </c>
      <c r="AE304" s="149" t="str">
        <f>IFERROR(_xlfn.XLOOKUP(DATA_MASTER[[#This Row],[DATE]],RODEO[DATE],RODEO[ARTIST]),"")</f>
        <v/>
      </c>
      <c r="AF304" s="172">
        <f>IF(DATA_MASTER[[#This Row],[RODEO_ARTIST]]="",0,1)</f>
        <v>0</v>
      </c>
      <c r="AG304" t="str">
        <f>IFERROR(RIGHT(_xlfn.XLOOKUP(DATA_MASTER[[#This Row],[DATE]],ASTROS[DATE],ASTROS[OPPONENT]),LEN(_xlfn.XLOOKUP(DATA_MASTER[[#This Row],[DATE]],ASTROS[DATE],ASTROS[OPPONENT]))-3),"NO GAME")</f>
        <v>Baltimore Orioles</v>
      </c>
      <c r="AH304">
        <f>IF(DATA_MASTER[[#This Row],[ASTROS_GAME]]="NO GAME",0,1)</f>
        <v>1</v>
      </c>
      <c r="AI304">
        <f>_xlfn.XLOOKUP(DATA_MASTER[[#This Row],[DATE]],WEATHER[DATE],WEATHER[tempmax])</f>
        <v>91.4</v>
      </c>
      <c r="AJ304">
        <f>_xlfn.XLOOKUP(DATA_MASTER[[#This Row],[DATE]],WEATHER[DATE],WEATHER[precip])</f>
        <v>0</v>
      </c>
    </row>
    <row r="305" spans="1:36" x14ac:dyDescent="0.35">
      <c r="A305" s="155">
        <v>45466</v>
      </c>
      <c r="B305" s="144" t="s">
        <v>46</v>
      </c>
      <c r="C305" s="144" t="s">
        <v>50</v>
      </c>
      <c r="D305" s="144" t="s">
        <v>43</v>
      </c>
      <c r="E305" s="145">
        <f t="shared" si="93"/>
        <v>1</v>
      </c>
      <c r="F305" s="146">
        <f t="shared" si="76"/>
        <v>1</v>
      </c>
      <c r="G305" s="146">
        <f t="shared" si="77"/>
        <v>0</v>
      </c>
      <c r="H305" s="146">
        <f t="shared" si="78"/>
        <v>0</v>
      </c>
      <c r="I305" s="146">
        <f t="shared" si="79"/>
        <v>0</v>
      </c>
      <c r="J305" s="146">
        <f t="shared" si="80"/>
        <v>0</v>
      </c>
      <c r="K305" s="146">
        <f t="shared" si="81"/>
        <v>0</v>
      </c>
      <c r="L305" s="147">
        <f t="shared" si="94"/>
        <v>0</v>
      </c>
      <c r="M305" s="147">
        <f t="shared" si="82"/>
        <v>0</v>
      </c>
      <c r="N305" s="147">
        <f t="shared" si="83"/>
        <v>0</v>
      </c>
      <c r="O305" s="147">
        <f t="shared" si="84"/>
        <v>0</v>
      </c>
      <c r="P305" s="147">
        <f t="shared" si="85"/>
        <v>0</v>
      </c>
      <c r="Q305" s="147">
        <f t="shared" si="86"/>
        <v>1</v>
      </c>
      <c r="R305" s="147">
        <f t="shared" si="87"/>
        <v>0</v>
      </c>
      <c r="S305" s="147">
        <f t="shared" si="88"/>
        <v>0</v>
      </c>
      <c r="T305" s="147">
        <f t="shared" si="89"/>
        <v>0</v>
      </c>
      <c r="U305" s="147">
        <f t="shared" si="90"/>
        <v>0</v>
      </c>
      <c r="V305" s="147">
        <f t="shared" si="91"/>
        <v>0</v>
      </c>
      <c r="W305" s="129">
        <v>1</v>
      </c>
      <c r="X305" s="144" t="str">
        <f t="shared" si="92"/>
        <v>WEEKEND</v>
      </c>
      <c r="Y305" s="148">
        <v>4.083333333333333</v>
      </c>
      <c r="Z305" s="144" t="s">
        <v>55</v>
      </c>
      <c r="AA305" s="149">
        <v>1017.5</v>
      </c>
      <c r="AB305" s="149">
        <v>182.21433999999999</v>
      </c>
      <c r="AC305" s="149">
        <v>249.18367346938777</v>
      </c>
      <c r="AD305" s="156">
        <v>44.623919999999998</v>
      </c>
      <c r="AE305" s="149" t="str">
        <f>IFERROR(_xlfn.XLOOKUP(DATA_MASTER[[#This Row],[DATE]],RODEO[DATE],RODEO[ARTIST]),"")</f>
        <v/>
      </c>
      <c r="AF305" s="172">
        <f>IF(DATA_MASTER[[#This Row],[RODEO_ARTIST]]="",0,1)</f>
        <v>0</v>
      </c>
      <c r="AG305" t="str">
        <f>IFERROR(RIGHT(_xlfn.XLOOKUP(DATA_MASTER[[#This Row],[DATE]],ASTROS[DATE],ASTROS[OPPONENT]),LEN(_xlfn.XLOOKUP(DATA_MASTER[[#This Row],[DATE]],ASTROS[DATE],ASTROS[OPPONENT]))-3),"NO GAME")</f>
        <v>Baltimore Orioles</v>
      </c>
      <c r="AH305">
        <f>IF(DATA_MASTER[[#This Row],[ASTROS_GAME]]="NO GAME",0,1)</f>
        <v>1</v>
      </c>
      <c r="AI305">
        <f>_xlfn.XLOOKUP(DATA_MASTER[[#This Row],[DATE]],WEATHER[DATE],WEATHER[tempmax])</f>
        <v>91.4</v>
      </c>
      <c r="AJ305">
        <f>_xlfn.XLOOKUP(DATA_MASTER[[#This Row],[DATE]],WEATHER[DATE],WEATHER[precip])</f>
        <v>0</v>
      </c>
    </row>
    <row r="306" spans="1:36" x14ac:dyDescent="0.35">
      <c r="A306" s="155">
        <v>45467</v>
      </c>
      <c r="B306" s="144" t="s">
        <v>46</v>
      </c>
      <c r="C306" s="144" t="s">
        <v>51</v>
      </c>
      <c r="D306" s="144" t="s">
        <v>43</v>
      </c>
      <c r="E306" s="145">
        <f t="shared" si="93"/>
        <v>1</v>
      </c>
      <c r="F306" s="146">
        <f t="shared" si="76"/>
        <v>0</v>
      </c>
      <c r="G306" s="146">
        <f t="shared" si="77"/>
        <v>1</v>
      </c>
      <c r="H306" s="146">
        <f t="shared" si="78"/>
        <v>0</v>
      </c>
      <c r="I306" s="146">
        <f t="shared" si="79"/>
        <v>0</v>
      </c>
      <c r="J306" s="146">
        <f t="shared" si="80"/>
        <v>0</v>
      </c>
      <c r="K306" s="146">
        <f t="shared" si="81"/>
        <v>0</v>
      </c>
      <c r="L306" s="147">
        <f t="shared" si="94"/>
        <v>0</v>
      </c>
      <c r="M306" s="147">
        <f t="shared" si="82"/>
        <v>0</v>
      </c>
      <c r="N306" s="147">
        <f t="shared" si="83"/>
        <v>0</v>
      </c>
      <c r="O306" s="147">
        <f t="shared" si="84"/>
        <v>0</v>
      </c>
      <c r="P306" s="147">
        <f t="shared" si="85"/>
        <v>0</v>
      </c>
      <c r="Q306" s="147">
        <f t="shared" si="86"/>
        <v>1</v>
      </c>
      <c r="R306" s="147">
        <f t="shared" si="87"/>
        <v>0</v>
      </c>
      <c r="S306" s="147">
        <f t="shared" si="88"/>
        <v>0</v>
      </c>
      <c r="T306" s="147">
        <f t="shared" si="89"/>
        <v>0</v>
      </c>
      <c r="U306" s="147">
        <f t="shared" si="90"/>
        <v>0</v>
      </c>
      <c r="V306" s="147">
        <f t="shared" si="91"/>
        <v>0</v>
      </c>
      <c r="W306" s="129">
        <v>0</v>
      </c>
      <c r="X306" s="144" t="str">
        <f t="shared" si="92"/>
        <v>WEEKDAY</v>
      </c>
      <c r="Y306" s="148">
        <v>4.45</v>
      </c>
      <c r="Z306" s="144" t="s">
        <v>45</v>
      </c>
      <c r="AA306" s="149">
        <v>508</v>
      </c>
      <c r="AB306" s="149">
        <v>93.586739999999992</v>
      </c>
      <c r="AC306" s="149">
        <v>114.15730337078651</v>
      </c>
      <c r="AD306" s="156">
        <v>21.030728089887639</v>
      </c>
      <c r="AE306" s="149" t="str">
        <f>IFERROR(_xlfn.XLOOKUP(DATA_MASTER[[#This Row],[DATE]],RODEO[DATE],RODEO[ARTIST]),"")</f>
        <v/>
      </c>
      <c r="AF306" s="172">
        <f>IF(DATA_MASTER[[#This Row],[RODEO_ARTIST]]="",0,1)</f>
        <v>0</v>
      </c>
      <c r="AG306" t="str">
        <f>IFERROR(RIGHT(_xlfn.XLOOKUP(DATA_MASTER[[#This Row],[DATE]],ASTROS[DATE],ASTROS[OPPONENT]),LEN(_xlfn.XLOOKUP(DATA_MASTER[[#This Row],[DATE]],ASTROS[DATE],ASTROS[OPPONENT]))-3),"NO GAME")</f>
        <v>NO GAME</v>
      </c>
      <c r="AH306">
        <f>IF(DATA_MASTER[[#This Row],[ASTROS_GAME]]="NO GAME",0,1)</f>
        <v>0</v>
      </c>
      <c r="AI306">
        <f>_xlfn.XLOOKUP(DATA_MASTER[[#This Row],[DATE]],WEATHER[DATE],WEATHER[tempmax])</f>
        <v>91.4</v>
      </c>
      <c r="AJ306">
        <f>_xlfn.XLOOKUP(DATA_MASTER[[#This Row],[DATE]],WEATHER[DATE],WEATHER[precip])</f>
        <v>0</v>
      </c>
    </row>
    <row r="307" spans="1:36" x14ac:dyDescent="0.35">
      <c r="A307" s="155">
        <v>45469</v>
      </c>
      <c r="B307" s="144" t="s">
        <v>46</v>
      </c>
      <c r="C307" s="144" t="s">
        <v>44</v>
      </c>
      <c r="D307" s="144" t="s">
        <v>43</v>
      </c>
      <c r="E307" s="145">
        <f t="shared" si="93"/>
        <v>1</v>
      </c>
      <c r="F307" s="146">
        <f t="shared" si="76"/>
        <v>0</v>
      </c>
      <c r="G307" s="146">
        <f t="shared" si="77"/>
        <v>0</v>
      </c>
      <c r="H307" s="146">
        <f t="shared" si="78"/>
        <v>1</v>
      </c>
      <c r="I307" s="146">
        <f t="shared" si="79"/>
        <v>0</v>
      </c>
      <c r="J307" s="146">
        <f t="shared" si="80"/>
        <v>0</v>
      </c>
      <c r="K307" s="146">
        <f t="shared" si="81"/>
        <v>0</v>
      </c>
      <c r="L307" s="147">
        <f t="shared" si="94"/>
        <v>0</v>
      </c>
      <c r="M307" s="147">
        <f t="shared" si="82"/>
        <v>0</v>
      </c>
      <c r="N307" s="147">
        <f t="shared" si="83"/>
        <v>0</v>
      </c>
      <c r="O307" s="147">
        <f t="shared" si="84"/>
        <v>0</v>
      </c>
      <c r="P307" s="147">
        <f t="shared" si="85"/>
        <v>0</v>
      </c>
      <c r="Q307" s="147">
        <f t="shared" si="86"/>
        <v>1</v>
      </c>
      <c r="R307" s="147">
        <f t="shared" si="87"/>
        <v>0</v>
      </c>
      <c r="S307" s="147">
        <f t="shared" si="88"/>
        <v>0</v>
      </c>
      <c r="T307" s="147">
        <f t="shared" si="89"/>
        <v>0</v>
      </c>
      <c r="U307" s="147">
        <f t="shared" si="90"/>
        <v>0</v>
      </c>
      <c r="V307" s="147">
        <f t="shared" si="91"/>
        <v>0</v>
      </c>
      <c r="W307" s="129">
        <v>0</v>
      </c>
      <c r="X307" s="144" t="str">
        <f t="shared" si="92"/>
        <v>WEEKDAY</v>
      </c>
      <c r="Y307" s="148">
        <v>5.7833333333333332</v>
      </c>
      <c r="Z307" s="144" t="s">
        <v>45</v>
      </c>
      <c r="AA307" s="149">
        <v>997</v>
      </c>
      <c r="AB307" s="149">
        <v>139.57476400000002</v>
      </c>
      <c r="AC307" s="149">
        <v>172.39193083573488</v>
      </c>
      <c r="AD307" s="156">
        <v>24.133964956772338</v>
      </c>
      <c r="AE307" s="149" t="str">
        <f>IFERROR(_xlfn.XLOOKUP(DATA_MASTER[[#This Row],[DATE]],RODEO[DATE],RODEO[ARTIST]),"")</f>
        <v/>
      </c>
      <c r="AF307" s="172">
        <f>IF(DATA_MASTER[[#This Row],[RODEO_ARTIST]]="",0,1)</f>
        <v>0</v>
      </c>
      <c r="AG307" t="str">
        <f>IFERROR(RIGHT(_xlfn.XLOOKUP(DATA_MASTER[[#This Row],[DATE]],ASTROS[DATE],ASTROS[OPPONENT]),LEN(_xlfn.XLOOKUP(DATA_MASTER[[#This Row],[DATE]],ASTROS[DATE],ASTROS[OPPONENT]))-3),"NO GAME")</f>
        <v>Colorado Rockies</v>
      </c>
      <c r="AH307">
        <f>IF(DATA_MASTER[[#This Row],[ASTROS_GAME]]="NO GAME",0,1)</f>
        <v>1</v>
      </c>
      <c r="AI307">
        <f>_xlfn.XLOOKUP(DATA_MASTER[[#This Row],[DATE]],WEATHER[DATE],WEATHER[tempmax])</f>
        <v>93.2</v>
      </c>
      <c r="AJ307">
        <f>_xlfn.XLOOKUP(DATA_MASTER[[#This Row],[DATE]],WEATHER[DATE],WEATHER[precip])</f>
        <v>2E-3</v>
      </c>
    </row>
    <row r="308" spans="1:36" x14ac:dyDescent="0.35">
      <c r="A308" s="155">
        <v>45471</v>
      </c>
      <c r="B308" s="144" t="s">
        <v>42</v>
      </c>
      <c r="C308" s="144" t="s">
        <v>48</v>
      </c>
      <c r="D308" s="144" t="s">
        <v>43</v>
      </c>
      <c r="E308" s="145">
        <f t="shared" si="93"/>
        <v>0</v>
      </c>
      <c r="F308" s="146">
        <f t="shared" si="76"/>
        <v>0</v>
      </c>
      <c r="G308" s="146">
        <f t="shared" si="77"/>
        <v>0</v>
      </c>
      <c r="H308" s="146">
        <f t="shared" si="78"/>
        <v>0</v>
      </c>
      <c r="I308" s="146">
        <f t="shared" si="79"/>
        <v>0</v>
      </c>
      <c r="J308" s="146">
        <f t="shared" si="80"/>
        <v>1</v>
      </c>
      <c r="K308" s="146">
        <f t="shared" si="81"/>
        <v>0</v>
      </c>
      <c r="L308" s="147">
        <f t="shared" si="94"/>
        <v>0</v>
      </c>
      <c r="M308" s="147">
        <f t="shared" si="82"/>
        <v>0</v>
      </c>
      <c r="N308" s="147">
        <f t="shared" si="83"/>
        <v>0</v>
      </c>
      <c r="O308" s="147">
        <f t="shared" si="84"/>
        <v>0</v>
      </c>
      <c r="P308" s="147">
        <f t="shared" si="85"/>
        <v>0</v>
      </c>
      <c r="Q308" s="147">
        <f t="shared" si="86"/>
        <v>1</v>
      </c>
      <c r="R308" s="147">
        <f t="shared" si="87"/>
        <v>0</v>
      </c>
      <c r="S308" s="147">
        <f t="shared" si="88"/>
        <v>0</v>
      </c>
      <c r="T308" s="147">
        <f t="shared" si="89"/>
        <v>0</v>
      </c>
      <c r="U308" s="147">
        <f t="shared" si="90"/>
        <v>0</v>
      </c>
      <c r="V308" s="147">
        <f t="shared" si="91"/>
        <v>0</v>
      </c>
      <c r="W308" s="129">
        <v>0</v>
      </c>
      <c r="X308" s="144" t="str">
        <f t="shared" si="92"/>
        <v>WEEKDAY</v>
      </c>
      <c r="Y308" s="148">
        <v>4.2166666666666668</v>
      </c>
      <c r="Z308" s="144" t="s">
        <v>55</v>
      </c>
      <c r="AA308" s="149">
        <v>468</v>
      </c>
      <c r="AB308" s="149">
        <v>74.405467999999999</v>
      </c>
      <c r="AC308" s="149">
        <v>110.98814229249011</v>
      </c>
      <c r="AD308" s="156">
        <v>17.645565533596837</v>
      </c>
      <c r="AE308" s="149" t="str">
        <f>IFERROR(_xlfn.XLOOKUP(DATA_MASTER[[#This Row],[DATE]],RODEO[DATE],RODEO[ARTIST]),"")</f>
        <v/>
      </c>
      <c r="AF308" s="172">
        <f>IF(DATA_MASTER[[#This Row],[RODEO_ARTIST]]="",0,1)</f>
        <v>0</v>
      </c>
      <c r="AG308" t="str">
        <f>IFERROR(RIGHT(_xlfn.XLOOKUP(DATA_MASTER[[#This Row],[DATE]],ASTROS[DATE],ASTROS[OPPONENT]),LEN(_xlfn.XLOOKUP(DATA_MASTER[[#This Row],[DATE]],ASTROS[DATE],ASTROS[OPPONENT]))-3),"NO GAME")</f>
        <v>NO GAME</v>
      </c>
      <c r="AH308">
        <f>IF(DATA_MASTER[[#This Row],[ASTROS_GAME]]="NO GAME",0,1)</f>
        <v>0</v>
      </c>
      <c r="AI308">
        <f>_xlfn.XLOOKUP(DATA_MASTER[[#This Row],[DATE]],WEATHER[DATE],WEATHER[tempmax])</f>
        <v>91.5</v>
      </c>
      <c r="AJ308">
        <f>_xlfn.XLOOKUP(DATA_MASTER[[#This Row],[DATE]],WEATHER[DATE],WEATHER[precip])</f>
        <v>0</v>
      </c>
    </row>
    <row r="309" spans="1:36" x14ac:dyDescent="0.35">
      <c r="A309" s="155">
        <v>45471</v>
      </c>
      <c r="B309" s="144" t="s">
        <v>46</v>
      </c>
      <c r="C309" s="144" t="s">
        <v>48</v>
      </c>
      <c r="D309" s="144" t="s">
        <v>43</v>
      </c>
      <c r="E309" s="145">
        <f t="shared" si="93"/>
        <v>1</v>
      </c>
      <c r="F309" s="146">
        <f t="shared" si="76"/>
        <v>0</v>
      </c>
      <c r="G309" s="146">
        <f t="shared" si="77"/>
        <v>0</v>
      </c>
      <c r="H309" s="146">
        <f t="shared" si="78"/>
        <v>0</v>
      </c>
      <c r="I309" s="146">
        <f t="shared" si="79"/>
        <v>0</v>
      </c>
      <c r="J309" s="146">
        <f t="shared" si="80"/>
        <v>1</v>
      </c>
      <c r="K309" s="146">
        <f t="shared" si="81"/>
        <v>0</v>
      </c>
      <c r="L309" s="147">
        <f t="shared" si="94"/>
        <v>0</v>
      </c>
      <c r="M309" s="147">
        <f t="shared" si="82"/>
        <v>0</v>
      </c>
      <c r="N309" s="147">
        <f t="shared" si="83"/>
        <v>0</v>
      </c>
      <c r="O309" s="147">
        <f t="shared" si="84"/>
        <v>0</v>
      </c>
      <c r="P309" s="147">
        <f t="shared" si="85"/>
        <v>0</v>
      </c>
      <c r="Q309" s="147">
        <f t="shared" si="86"/>
        <v>1</v>
      </c>
      <c r="R309" s="147">
        <f t="shared" si="87"/>
        <v>0</v>
      </c>
      <c r="S309" s="147">
        <f t="shared" si="88"/>
        <v>0</v>
      </c>
      <c r="T309" s="147">
        <f t="shared" si="89"/>
        <v>0</v>
      </c>
      <c r="U309" s="147">
        <f t="shared" si="90"/>
        <v>0</v>
      </c>
      <c r="V309" s="147">
        <f t="shared" si="91"/>
        <v>0</v>
      </c>
      <c r="W309" s="129">
        <v>1</v>
      </c>
      <c r="X309" s="144" t="str">
        <f t="shared" si="92"/>
        <v>WEEKEND</v>
      </c>
      <c r="Y309" s="148">
        <v>3.8333333333333335</v>
      </c>
      <c r="Z309" s="144" t="s">
        <v>55</v>
      </c>
      <c r="AA309" s="149">
        <v>1204.5</v>
      </c>
      <c r="AB309" s="149">
        <v>197.65393599999999</v>
      </c>
      <c r="AC309" s="149">
        <v>314.21739130434781</v>
      </c>
      <c r="AD309" s="156">
        <v>51.561896347826085</v>
      </c>
      <c r="AE309" s="149" t="str">
        <f>IFERROR(_xlfn.XLOOKUP(DATA_MASTER[[#This Row],[DATE]],RODEO[DATE],RODEO[ARTIST]),"")</f>
        <v/>
      </c>
      <c r="AF309" s="172">
        <f>IF(DATA_MASTER[[#This Row],[RODEO_ARTIST]]="",0,1)</f>
        <v>0</v>
      </c>
      <c r="AG309" t="str">
        <f>IFERROR(RIGHT(_xlfn.XLOOKUP(DATA_MASTER[[#This Row],[DATE]],ASTROS[DATE],ASTROS[OPPONENT]),LEN(_xlfn.XLOOKUP(DATA_MASTER[[#This Row],[DATE]],ASTROS[DATE],ASTROS[OPPONENT]))-3),"NO GAME")</f>
        <v>NO GAME</v>
      </c>
      <c r="AH309">
        <f>IF(DATA_MASTER[[#This Row],[ASTROS_GAME]]="NO GAME",0,1)</f>
        <v>0</v>
      </c>
      <c r="AI309">
        <f>_xlfn.XLOOKUP(DATA_MASTER[[#This Row],[DATE]],WEATHER[DATE],WEATHER[tempmax])</f>
        <v>91.5</v>
      </c>
      <c r="AJ309">
        <f>_xlfn.XLOOKUP(DATA_MASTER[[#This Row],[DATE]],WEATHER[DATE],WEATHER[precip])</f>
        <v>0</v>
      </c>
    </row>
    <row r="310" spans="1:36" x14ac:dyDescent="0.35">
      <c r="A310" s="155">
        <v>45472</v>
      </c>
      <c r="B310" s="144" t="s">
        <v>42</v>
      </c>
      <c r="C310" s="144" t="s">
        <v>49</v>
      </c>
      <c r="D310" s="144" t="s">
        <v>43</v>
      </c>
      <c r="E310" s="145">
        <f t="shared" si="93"/>
        <v>0</v>
      </c>
      <c r="F310" s="146">
        <f t="shared" si="76"/>
        <v>0</v>
      </c>
      <c r="G310" s="146">
        <f t="shared" si="77"/>
        <v>0</v>
      </c>
      <c r="H310" s="146">
        <f t="shared" si="78"/>
        <v>0</v>
      </c>
      <c r="I310" s="146">
        <f t="shared" si="79"/>
        <v>0</v>
      </c>
      <c r="J310" s="146">
        <f t="shared" si="80"/>
        <v>0</v>
      </c>
      <c r="K310" s="146">
        <f t="shared" si="81"/>
        <v>1</v>
      </c>
      <c r="L310" s="147">
        <f t="shared" si="94"/>
        <v>0</v>
      </c>
      <c r="M310" s="147">
        <f t="shared" si="82"/>
        <v>0</v>
      </c>
      <c r="N310" s="147">
        <f t="shared" si="83"/>
        <v>0</v>
      </c>
      <c r="O310" s="147">
        <f t="shared" si="84"/>
        <v>0</v>
      </c>
      <c r="P310" s="147">
        <f t="shared" si="85"/>
        <v>0</v>
      </c>
      <c r="Q310" s="147">
        <f t="shared" si="86"/>
        <v>1</v>
      </c>
      <c r="R310" s="147">
        <f t="shared" si="87"/>
        <v>0</v>
      </c>
      <c r="S310" s="147">
        <f t="shared" si="88"/>
        <v>0</v>
      </c>
      <c r="T310" s="147">
        <f t="shared" si="89"/>
        <v>0</v>
      </c>
      <c r="U310" s="147">
        <f t="shared" si="90"/>
        <v>0</v>
      </c>
      <c r="V310" s="147">
        <f t="shared" si="91"/>
        <v>0</v>
      </c>
      <c r="W310" s="129">
        <v>1</v>
      </c>
      <c r="X310" s="144" t="str">
        <f t="shared" si="92"/>
        <v>WEEKEND</v>
      </c>
      <c r="Y310" s="148">
        <v>3.1666666666666665</v>
      </c>
      <c r="Z310" s="144" t="s">
        <v>55</v>
      </c>
      <c r="AA310" s="149">
        <v>190</v>
      </c>
      <c r="AB310" s="149">
        <v>26.718888</v>
      </c>
      <c r="AC310" s="149">
        <v>60</v>
      </c>
      <c r="AD310" s="156">
        <v>8.4375435789473681</v>
      </c>
      <c r="AE310" s="149" t="str">
        <f>IFERROR(_xlfn.XLOOKUP(DATA_MASTER[[#This Row],[DATE]],RODEO[DATE],RODEO[ARTIST]),"")</f>
        <v/>
      </c>
      <c r="AF310" s="172">
        <f>IF(DATA_MASTER[[#This Row],[RODEO_ARTIST]]="",0,1)</f>
        <v>0</v>
      </c>
      <c r="AG310" t="str">
        <f>IFERROR(RIGHT(_xlfn.XLOOKUP(DATA_MASTER[[#This Row],[DATE]],ASTROS[DATE],ASTROS[OPPONENT]),LEN(_xlfn.XLOOKUP(DATA_MASTER[[#This Row],[DATE]],ASTROS[DATE],ASTROS[OPPONENT]))-3),"NO GAME")</f>
        <v>NO GAME</v>
      </c>
      <c r="AH310">
        <f>IF(DATA_MASTER[[#This Row],[ASTROS_GAME]]="NO GAME",0,1)</f>
        <v>0</v>
      </c>
      <c r="AI310">
        <f>_xlfn.XLOOKUP(DATA_MASTER[[#This Row],[DATE]],WEATHER[DATE],WEATHER[tempmax])</f>
        <v>95</v>
      </c>
      <c r="AJ310">
        <f>_xlfn.XLOOKUP(DATA_MASTER[[#This Row],[DATE]],WEATHER[DATE],WEATHER[precip])</f>
        <v>1E-3</v>
      </c>
    </row>
    <row r="311" spans="1:36" x14ac:dyDescent="0.35">
      <c r="A311" s="155">
        <v>45472</v>
      </c>
      <c r="B311" s="144" t="s">
        <v>46</v>
      </c>
      <c r="C311" s="144" t="s">
        <v>49</v>
      </c>
      <c r="D311" s="144" t="s">
        <v>43</v>
      </c>
      <c r="E311" s="145">
        <f t="shared" si="93"/>
        <v>1</v>
      </c>
      <c r="F311" s="146">
        <f t="shared" si="76"/>
        <v>0</v>
      </c>
      <c r="G311" s="146">
        <f t="shared" si="77"/>
        <v>0</v>
      </c>
      <c r="H311" s="146">
        <f t="shared" si="78"/>
        <v>0</v>
      </c>
      <c r="I311" s="146">
        <f t="shared" si="79"/>
        <v>0</v>
      </c>
      <c r="J311" s="146">
        <f t="shared" si="80"/>
        <v>0</v>
      </c>
      <c r="K311" s="146">
        <f t="shared" si="81"/>
        <v>1</v>
      </c>
      <c r="L311" s="147">
        <f t="shared" si="94"/>
        <v>0</v>
      </c>
      <c r="M311" s="147">
        <f t="shared" si="82"/>
        <v>0</v>
      </c>
      <c r="N311" s="147">
        <f t="shared" si="83"/>
        <v>0</v>
      </c>
      <c r="O311" s="147">
        <f t="shared" si="84"/>
        <v>0</v>
      </c>
      <c r="P311" s="147">
        <f t="shared" si="85"/>
        <v>0</v>
      </c>
      <c r="Q311" s="147">
        <f t="shared" si="86"/>
        <v>1</v>
      </c>
      <c r="R311" s="147">
        <f t="shared" si="87"/>
        <v>0</v>
      </c>
      <c r="S311" s="147">
        <f t="shared" si="88"/>
        <v>0</v>
      </c>
      <c r="T311" s="147">
        <f t="shared" si="89"/>
        <v>0</v>
      </c>
      <c r="U311" s="147">
        <f t="shared" si="90"/>
        <v>0</v>
      </c>
      <c r="V311" s="147">
        <f t="shared" si="91"/>
        <v>0</v>
      </c>
      <c r="W311" s="129">
        <v>1</v>
      </c>
      <c r="X311" s="144" t="str">
        <f t="shared" si="92"/>
        <v>WEEKEND</v>
      </c>
      <c r="Y311" s="148">
        <v>4.7833333333333332</v>
      </c>
      <c r="Z311" s="144" t="s">
        <v>55</v>
      </c>
      <c r="AA311" s="149">
        <v>1205.5</v>
      </c>
      <c r="AB311" s="149">
        <v>195.04674800000001</v>
      </c>
      <c r="AC311" s="149">
        <v>252.02090592334494</v>
      </c>
      <c r="AD311" s="156">
        <v>40.776323623693379</v>
      </c>
      <c r="AE311" s="149" t="str">
        <f>IFERROR(_xlfn.XLOOKUP(DATA_MASTER[[#This Row],[DATE]],RODEO[DATE],RODEO[ARTIST]),"")</f>
        <v/>
      </c>
      <c r="AF311" s="172">
        <f>IF(DATA_MASTER[[#This Row],[RODEO_ARTIST]]="",0,1)</f>
        <v>0</v>
      </c>
      <c r="AG311" t="str">
        <f>IFERROR(RIGHT(_xlfn.XLOOKUP(DATA_MASTER[[#This Row],[DATE]],ASTROS[DATE],ASTROS[OPPONENT]),LEN(_xlfn.XLOOKUP(DATA_MASTER[[#This Row],[DATE]],ASTROS[DATE],ASTROS[OPPONENT]))-3),"NO GAME")</f>
        <v>NO GAME</v>
      </c>
      <c r="AH311">
        <f>IF(DATA_MASTER[[#This Row],[ASTROS_GAME]]="NO GAME",0,1)</f>
        <v>0</v>
      </c>
      <c r="AI311">
        <f>_xlfn.XLOOKUP(DATA_MASTER[[#This Row],[DATE]],WEATHER[DATE],WEATHER[tempmax])</f>
        <v>95</v>
      </c>
      <c r="AJ311">
        <f>_xlfn.XLOOKUP(DATA_MASTER[[#This Row],[DATE]],WEATHER[DATE],WEATHER[precip])</f>
        <v>1E-3</v>
      </c>
    </row>
    <row r="312" spans="1:36" x14ac:dyDescent="0.35">
      <c r="A312" s="162">
        <v>45473</v>
      </c>
      <c r="B312" s="163" t="s">
        <v>46</v>
      </c>
      <c r="C312" s="163" t="s">
        <v>50</v>
      </c>
      <c r="D312" s="163" t="s">
        <v>43</v>
      </c>
      <c r="E312" s="164">
        <f t="shared" si="93"/>
        <v>1</v>
      </c>
      <c r="F312" s="165">
        <f t="shared" si="76"/>
        <v>1</v>
      </c>
      <c r="G312" s="165">
        <f t="shared" si="77"/>
        <v>0</v>
      </c>
      <c r="H312" s="165">
        <f t="shared" si="78"/>
        <v>0</v>
      </c>
      <c r="I312" s="165">
        <f t="shared" si="79"/>
        <v>0</v>
      </c>
      <c r="J312" s="165">
        <f t="shared" si="80"/>
        <v>0</v>
      </c>
      <c r="K312" s="165">
        <f t="shared" si="81"/>
        <v>0</v>
      </c>
      <c r="L312" s="166">
        <f t="shared" si="94"/>
        <v>0</v>
      </c>
      <c r="M312" s="166">
        <f t="shared" si="82"/>
        <v>0</v>
      </c>
      <c r="N312" s="166">
        <f t="shared" si="83"/>
        <v>0</v>
      </c>
      <c r="O312" s="166">
        <f t="shared" si="84"/>
        <v>0</v>
      </c>
      <c r="P312" s="166">
        <f t="shared" si="85"/>
        <v>0</v>
      </c>
      <c r="Q312" s="166">
        <f t="shared" si="86"/>
        <v>1</v>
      </c>
      <c r="R312" s="166">
        <f t="shared" si="87"/>
        <v>0</v>
      </c>
      <c r="S312" s="166">
        <f t="shared" si="88"/>
        <v>0</v>
      </c>
      <c r="T312" s="166">
        <f t="shared" si="89"/>
        <v>0</v>
      </c>
      <c r="U312" s="166">
        <f t="shared" si="90"/>
        <v>0</v>
      </c>
      <c r="V312" s="166">
        <f t="shared" si="91"/>
        <v>0</v>
      </c>
      <c r="W312" s="167">
        <v>1</v>
      </c>
      <c r="X312" s="163" t="str">
        <f t="shared" si="92"/>
        <v>WEEKEND</v>
      </c>
      <c r="Y312" s="168">
        <v>5.7666666666666666</v>
      </c>
      <c r="Z312" s="163" t="s">
        <v>45</v>
      </c>
      <c r="AA312" s="169">
        <v>1072.5</v>
      </c>
      <c r="AB312" s="169">
        <v>195.33083199999999</v>
      </c>
      <c r="AC312" s="169">
        <v>185.98265895953759</v>
      </c>
      <c r="AD312" s="170">
        <v>33.872398612716758</v>
      </c>
      <c r="AE312" s="169" t="str">
        <f>IFERROR(_xlfn.XLOOKUP(DATA_MASTER[[#This Row],[DATE]],RODEO[DATE],RODEO[ARTIST]),"")</f>
        <v/>
      </c>
      <c r="AF312" s="173">
        <f>IF(DATA_MASTER[[#This Row],[RODEO_ARTIST]]="",0,1)</f>
        <v>0</v>
      </c>
      <c r="AG312" t="str">
        <f>IFERROR(RIGHT(_xlfn.XLOOKUP(DATA_MASTER[[#This Row],[DATE]],ASTROS[DATE],ASTROS[OPPONENT]),LEN(_xlfn.XLOOKUP(DATA_MASTER[[#This Row],[DATE]],ASTROS[DATE],ASTROS[OPPONENT]))-3),"NO GAME")</f>
        <v>NO GAME</v>
      </c>
      <c r="AH312">
        <f>IF(DATA_MASTER[[#This Row],[ASTROS_GAME]]="NO GAME",0,1)</f>
        <v>0</v>
      </c>
      <c r="AI312">
        <f>_xlfn.XLOOKUP(DATA_MASTER[[#This Row],[DATE]],WEATHER[DATE],WEATHER[tempmax])</f>
        <v>95</v>
      </c>
      <c r="AJ312">
        <f>_xlfn.XLOOKUP(DATA_MASTER[[#This Row],[DATE]],WEATHER[DATE],WEATHER[precip])</f>
        <v>0</v>
      </c>
    </row>
    <row r="313" spans="1:36" x14ac:dyDescent="0.35">
      <c r="B313" s="144"/>
      <c r="C313" s="144"/>
      <c r="D313" s="144"/>
      <c r="E313" s="145"/>
      <c r="F313" s="146"/>
      <c r="G313" s="146"/>
      <c r="H313" s="146"/>
      <c r="I313" s="146"/>
      <c r="J313" s="146"/>
      <c r="K313" s="146"/>
      <c r="L313" s="147"/>
      <c r="M313" s="147"/>
      <c r="N313" s="147"/>
      <c r="O313" s="147"/>
      <c r="P313" s="147"/>
      <c r="Q313" s="147"/>
      <c r="R313" s="147"/>
      <c r="S313" s="147"/>
      <c r="T313" s="147"/>
      <c r="U313" s="147"/>
      <c r="V313" s="147"/>
      <c r="W313" s="129"/>
      <c r="X313" s="144"/>
      <c r="Z313" s="144"/>
    </row>
    <row r="314" spans="1:36" x14ac:dyDescent="0.35">
      <c r="B314" s="144"/>
      <c r="C314" s="144"/>
      <c r="D314" s="144"/>
      <c r="E314" s="145"/>
      <c r="F314" s="146"/>
      <c r="G314" s="146"/>
      <c r="H314" s="146"/>
      <c r="I314" s="146"/>
      <c r="J314" s="146"/>
      <c r="K314" s="146"/>
      <c r="L314" s="147"/>
      <c r="M314" s="147"/>
      <c r="N314" s="147"/>
      <c r="O314" s="147"/>
      <c r="P314" s="147"/>
      <c r="Q314" s="147"/>
      <c r="R314" s="147"/>
      <c r="S314" s="147"/>
      <c r="T314" s="147"/>
      <c r="U314" s="147"/>
      <c r="V314" s="147"/>
      <c r="W314" s="129"/>
      <c r="X314" s="144"/>
      <c r="Z314" s="144"/>
    </row>
    <row r="315" spans="1:36" x14ac:dyDescent="0.35">
      <c r="B315" s="144"/>
      <c r="C315" s="144"/>
      <c r="D315" s="144"/>
      <c r="E315" s="145"/>
      <c r="F315" s="146"/>
      <c r="G315" s="146"/>
      <c r="H315" s="146"/>
      <c r="I315" s="146"/>
      <c r="J315" s="146"/>
      <c r="K315" s="146"/>
      <c r="L315" s="147"/>
      <c r="M315" s="147"/>
      <c r="N315" s="147"/>
      <c r="O315" s="147"/>
      <c r="P315" s="147"/>
      <c r="Q315" s="147"/>
      <c r="R315" s="147"/>
      <c r="S315" s="147"/>
      <c r="T315" s="147"/>
      <c r="U315" s="147"/>
      <c r="V315" s="147"/>
      <c r="W315" s="129"/>
      <c r="X315" s="144"/>
      <c r="Z315" s="144"/>
    </row>
    <row r="316" spans="1:36" x14ac:dyDescent="0.35">
      <c r="B316" s="144"/>
      <c r="C316" s="144"/>
      <c r="D316" s="144"/>
      <c r="E316" s="145"/>
      <c r="F316" s="146"/>
      <c r="G316" s="146"/>
      <c r="H316" s="146"/>
      <c r="I316" s="146"/>
      <c r="J316" s="146"/>
      <c r="K316" s="146"/>
      <c r="L316" s="147"/>
      <c r="M316" s="147"/>
      <c r="N316" s="147"/>
      <c r="O316" s="147"/>
      <c r="P316" s="147"/>
      <c r="Q316" s="147"/>
      <c r="R316" s="147"/>
      <c r="S316" s="147"/>
      <c r="T316" s="147"/>
      <c r="U316" s="147"/>
      <c r="V316" s="147"/>
      <c r="W316" s="129"/>
      <c r="X316" s="144"/>
      <c r="Z316" s="144"/>
    </row>
    <row r="317" spans="1:36" x14ac:dyDescent="0.35">
      <c r="B317" s="144"/>
      <c r="C317" s="144"/>
      <c r="D317" s="144"/>
      <c r="E317" s="145"/>
      <c r="F317" s="146"/>
      <c r="G317" s="146"/>
      <c r="H317" s="146"/>
      <c r="I317" s="146"/>
      <c r="J317" s="146"/>
      <c r="K317" s="146"/>
      <c r="L317" s="147"/>
      <c r="M317" s="147"/>
      <c r="N317" s="147"/>
      <c r="O317" s="147"/>
      <c r="P317" s="147"/>
      <c r="Q317" s="147"/>
      <c r="R317" s="147"/>
      <c r="S317" s="147"/>
      <c r="T317" s="147"/>
      <c r="U317" s="147"/>
      <c r="V317" s="147"/>
      <c r="W317" s="129"/>
      <c r="X317" s="144"/>
      <c r="Z317" s="144"/>
    </row>
    <row r="318" spans="1:36" x14ac:dyDescent="0.35">
      <c r="B318" s="144"/>
      <c r="C318" s="144"/>
      <c r="D318" s="144"/>
      <c r="E318" s="145"/>
      <c r="F318" s="146"/>
      <c r="G318" s="146"/>
      <c r="H318" s="146"/>
      <c r="I318" s="146"/>
      <c r="J318" s="146"/>
      <c r="K318" s="146"/>
      <c r="L318" s="147"/>
      <c r="M318" s="147"/>
      <c r="N318" s="147"/>
      <c r="O318" s="147"/>
      <c r="P318" s="147"/>
      <c r="Q318" s="147"/>
      <c r="R318" s="147"/>
      <c r="S318" s="147"/>
      <c r="T318" s="147"/>
      <c r="U318" s="147"/>
      <c r="V318" s="147"/>
      <c r="W318" s="129"/>
      <c r="X318" s="144"/>
      <c r="Z318" s="144"/>
    </row>
    <row r="319" spans="1:36" x14ac:dyDescent="0.35">
      <c r="B319" s="144"/>
      <c r="C319" s="144"/>
      <c r="D319" s="144"/>
      <c r="E319" s="145"/>
      <c r="F319" s="146"/>
      <c r="G319" s="146"/>
      <c r="H319" s="146"/>
      <c r="I319" s="146"/>
      <c r="J319" s="146"/>
      <c r="K319" s="146"/>
      <c r="L319" s="147"/>
      <c r="M319" s="147"/>
      <c r="N319" s="147"/>
      <c r="O319" s="147"/>
      <c r="P319" s="147"/>
      <c r="Q319" s="147"/>
      <c r="R319" s="147"/>
      <c r="S319" s="147"/>
      <c r="T319" s="147"/>
      <c r="U319" s="147"/>
      <c r="V319" s="147"/>
      <c r="W319" s="129"/>
      <c r="X319" s="144"/>
      <c r="Z319" s="144"/>
    </row>
    <row r="320" spans="1:36" x14ac:dyDescent="0.35">
      <c r="B320" s="144"/>
      <c r="C320" s="144"/>
      <c r="D320" s="144"/>
      <c r="E320" s="145"/>
      <c r="F320" s="146"/>
      <c r="G320" s="146"/>
      <c r="H320" s="146"/>
      <c r="I320" s="146"/>
      <c r="J320" s="146"/>
      <c r="K320" s="146"/>
      <c r="L320" s="147"/>
      <c r="M320" s="147"/>
      <c r="N320" s="147"/>
      <c r="O320" s="147"/>
      <c r="P320" s="147"/>
      <c r="Q320" s="147"/>
      <c r="R320" s="147"/>
      <c r="S320" s="147"/>
      <c r="T320" s="147"/>
      <c r="U320" s="147"/>
      <c r="V320" s="147"/>
      <c r="W320" s="129"/>
      <c r="X320" s="144"/>
      <c r="Z320" s="144"/>
    </row>
    <row r="321" spans="2:26" x14ac:dyDescent="0.35">
      <c r="B321" s="144"/>
      <c r="C321" s="144"/>
      <c r="D321" s="144"/>
      <c r="E321" s="145"/>
      <c r="F321" s="146"/>
      <c r="G321" s="146"/>
      <c r="H321" s="146"/>
      <c r="I321" s="146"/>
      <c r="J321" s="146"/>
      <c r="K321" s="146"/>
      <c r="L321" s="147"/>
      <c r="M321" s="147"/>
      <c r="N321" s="147"/>
      <c r="O321" s="147"/>
      <c r="P321" s="147"/>
      <c r="Q321" s="147"/>
      <c r="R321" s="147"/>
      <c r="S321" s="147"/>
      <c r="T321" s="147"/>
      <c r="U321" s="147"/>
      <c r="V321" s="147"/>
      <c r="W321" s="129"/>
      <c r="X321" s="144"/>
      <c r="Z321" s="144"/>
    </row>
    <row r="322" spans="2:26" x14ac:dyDescent="0.35">
      <c r="B322" s="144"/>
      <c r="C322" s="144"/>
      <c r="D322" s="144"/>
      <c r="E322" s="145"/>
      <c r="F322" s="146"/>
      <c r="G322" s="146"/>
      <c r="H322" s="146"/>
      <c r="I322" s="146"/>
      <c r="J322" s="146"/>
      <c r="K322" s="146"/>
      <c r="L322" s="147"/>
      <c r="M322" s="147"/>
      <c r="N322" s="147"/>
      <c r="O322" s="147"/>
      <c r="P322" s="147"/>
      <c r="Q322" s="147"/>
      <c r="R322" s="147"/>
      <c r="S322" s="147"/>
      <c r="T322" s="147"/>
      <c r="U322" s="147"/>
      <c r="V322" s="147"/>
      <c r="W322" s="129"/>
      <c r="X322" s="144"/>
      <c r="Z322" s="144"/>
    </row>
    <row r="323" spans="2:26" x14ac:dyDescent="0.35">
      <c r="B323" s="144"/>
      <c r="C323" s="144"/>
      <c r="D323" s="144"/>
      <c r="E323" s="145"/>
      <c r="F323" s="146"/>
      <c r="G323" s="146"/>
      <c r="H323" s="146"/>
      <c r="I323" s="146"/>
      <c r="J323" s="146"/>
      <c r="K323" s="146"/>
      <c r="L323" s="147"/>
      <c r="M323" s="147"/>
      <c r="N323" s="147"/>
      <c r="O323" s="147"/>
      <c r="P323" s="147"/>
      <c r="Q323" s="147"/>
      <c r="R323" s="147"/>
      <c r="S323" s="147"/>
      <c r="T323" s="147"/>
      <c r="U323" s="147"/>
      <c r="V323" s="147"/>
      <c r="W323" s="129"/>
      <c r="X323" s="144"/>
      <c r="Z323" s="144"/>
    </row>
    <row r="324" spans="2:26" x14ac:dyDescent="0.35">
      <c r="B324" s="144"/>
      <c r="C324" s="144"/>
      <c r="D324" s="144"/>
      <c r="E324" s="145"/>
      <c r="F324" s="146"/>
      <c r="G324" s="146"/>
      <c r="H324" s="146"/>
      <c r="I324" s="146"/>
      <c r="J324" s="146"/>
      <c r="K324" s="146"/>
      <c r="L324" s="147"/>
      <c r="M324" s="147"/>
      <c r="N324" s="147"/>
      <c r="O324" s="147"/>
      <c r="P324" s="147"/>
      <c r="Q324" s="147"/>
      <c r="R324" s="147"/>
      <c r="S324" s="147"/>
      <c r="T324" s="147"/>
      <c r="U324" s="147"/>
      <c r="V324" s="147"/>
      <c r="W324" s="129"/>
      <c r="X324" s="144"/>
      <c r="Z324" s="144"/>
    </row>
    <row r="325" spans="2:26" x14ac:dyDescent="0.35">
      <c r="B325" s="144"/>
      <c r="C325" s="144"/>
      <c r="D325" s="144"/>
      <c r="E325" s="145"/>
      <c r="F325" s="146"/>
      <c r="G325" s="146"/>
      <c r="H325" s="146"/>
      <c r="I325" s="146"/>
      <c r="J325" s="146"/>
      <c r="K325" s="146"/>
      <c r="L325" s="147"/>
      <c r="M325" s="147"/>
      <c r="N325" s="147"/>
      <c r="O325" s="147"/>
      <c r="P325" s="147"/>
      <c r="Q325" s="147"/>
      <c r="R325" s="147"/>
      <c r="S325" s="147"/>
      <c r="T325" s="147"/>
      <c r="U325" s="147"/>
      <c r="V325" s="147"/>
      <c r="W325" s="129"/>
      <c r="X325" s="144"/>
      <c r="Z325" s="144"/>
    </row>
    <row r="326" spans="2:26" x14ac:dyDescent="0.35">
      <c r="B326" s="144"/>
      <c r="C326" s="144"/>
      <c r="D326" s="144"/>
      <c r="E326" s="145"/>
      <c r="F326" s="146"/>
      <c r="G326" s="146"/>
      <c r="H326" s="146"/>
      <c r="I326" s="146"/>
      <c r="J326" s="146"/>
      <c r="K326" s="146"/>
      <c r="L326" s="147"/>
      <c r="M326" s="147"/>
      <c r="N326" s="147"/>
      <c r="O326" s="147"/>
      <c r="P326" s="147"/>
      <c r="Q326" s="147"/>
      <c r="R326" s="147"/>
      <c r="S326" s="147"/>
      <c r="T326" s="147"/>
      <c r="U326" s="147"/>
      <c r="V326" s="147"/>
      <c r="W326" s="129"/>
      <c r="X326" s="144"/>
      <c r="Z326" s="144"/>
    </row>
    <row r="327" spans="2:26" x14ac:dyDescent="0.35">
      <c r="B327" s="144"/>
      <c r="C327" s="144"/>
      <c r="D327" s="144"/>
      <c r="E327" s="145"/>
      <c r="F327" s="146"/>
      <c r="G327" s="146"/>
      <c r="H327" s="146"/>
      <c r="I327" s="146"/>
      <c r="J327" s="146"/>
      <c r="K327" s="146"/>
      <c r="L327" s="147"/>
      <c r="M327" s="147"/>
      <c r="N327" s="147"/>
      <c r="O327" s="147"/>
      <c r="P327" s="147"/>
      <c r="Q327" s="147"/>
      <c r="R327" s="147"/>
      <c r="S327" s="147"/>
      <c r="T327" s="147"/>
      <c r="U327" s="147"/>
      <c r="V327" s="147"/>
      <c r="W327" s="129"/>
      <c r="X327" s="144"/>
      <c r="Z327" s="144"/>
    </row>
    <row r="328" spans="2:26" x14ac:dyDescent="0.35">
      <c r="B328" s="144"/>
      <c r="C328" s="144"/>
      <c r="D328" s="144"/>
      <c r="E328" s="145"/>
      <c r="F328" s="146"/>
      <c r="G328" s="146"/>
      <c r="H328" s="146"/>
      <c r="I328" s="146"/>
      <c r="J328" s="146"/>
      <c r="K328" s="146"/>
      <c r="L328" s="147"/>
      <c r="M328" s="147"/>
      <c r="N328" s="147"/>
      <c r="O328" s="147"/>
      <c r="P328" s="147"/>
      <c r="Q328" s="147"/>
      <c r="R328" s="147"/>
      <c r="S328" s="147"/>
      <c r="T328" s="147"/>
      <c r="U328" s="147"/>
      <c r="V328" s="147"/>
      <c r="W328" s="129"/>
      <c r="X328" s="144"/>
      <c r="Z328" s="144"/>
    </row>
    <row r="329" spans="2:26" x14ac:dyDescent="0.35">
      <c r="B329" s="144"/>
      <c r="C329" s="144"/>
      <c r="D329" s="144"/>
      <c r="E329" s="145"/>
      <c r="F329" s="146"/>
      <c r="G329" s="146"/>
      <c r="H329" s="146"/>
      <c r="I329" s="146"/>
      <c r="J329" s="146"/>
      <c r="K329" s="146"/>
      <c r="L329" s="147"/>
      <c r="M329" s="147"/>
      <c r="N329" s="147"/>
      <c r="O329" s="147"/>
      <c r="P329" s="147"/>
      <c r="Q329" s="147"/>
      <c r="R329" s="147"/>
      <c r="S329" s="147"/>
      <c r="T329" s="147"/>
      <c r="U329" s="147"/>
      <c r="V329" s="147"/>
      <c r="W329" s="129"/>
      <c r="X329" s="144"/>
      <c r="Z329" s="144"/>
    </row>
    <row r="330" spans="2:26" x14ac:dyDescent="0.35">
      <c r="B330" s="144"/>
      <c r="C330" s="144"/>
      <c r="D330" s="144"/>
      <c r="E330" s="145"/>
      <c r="F330" s="146"/>
      <c r="G330" s="146"/>
      <c r="H330" s="146"/>
      <c r="I330" s="146"/>
      <c r="J330" s="146"/>
      <c r="K330" s="146"/>
      <c r="L330" s="147"/>
      <c r="M330" s="147"/>
      <c r="N330" s="147"/>
      <c r="O330" s="147"/>
      <c r="P330" s="147"/>
      <c r="Q330" s="147"/>
      <c r="R330" s="147"/>
      <c r="S330" s="147"/>
      <c r="T330" s="147"/>
      <c r="U330" s="147"/>
      <c r="V330" s="147"/>
      <c r="W330" s="129"/>
      <c r="X330" s="144"/>
      <c r="Z330" s="144"/>
    </row>
    <row r="331" spans="2:26" x14ac:dyDescent="0.35">
      <c r="B331" s="144"/>
      <c r="C331" s="144"/>
      <c r="D331" s="144"/>
      <c r="E331" s="145"/>
      <c r="F331" s="146"/>
      <c r="G331" s="146"/>
      <c r="H331" s="146"/>
      <c r="I331" s="146"/>
      <c r="J331" s="146"/>
      <c r="K331" s="146"/>
      <c r="L331" s="147"/>
      <c r="M331" s="147"/>
      <c r="N331" s="147"/>
      <c r="O331" s="147"/>
      <c r="P331" s="147"/>
      <c r="Q331" s="147"/>
      <c r="R331" s="147"/>
      <c r="S331" s="147"/>
      <c r="T331" s="147"/>
      <c r="U331" s="147"/>
      <c r="V331" s="147"/>
      <c r="W331" s="129"/>
      <c r="X331" s="144"/>
      <c r="Z331" s="144"/>
    </row>
    <row r="332" spans="2:26" x14ac:dyDescent="0.35">
      <c r="B332" s="144"/>
      <c r="C332" s="144"/>
      <c r="D332" s="144"/>
      <c r="E332" s="145"/>
      <c r="F332" s="146"/>
      <c r="G332" s="146"/>
      <c r="H332" s="146"/>
      <c r="I332" s="146"/>
      <c r="J332" s="146"/>
      <c r="K332" s="146"/>
      <c r="L332" s="147"/>
      <c r="M332" s="147"/>
      <c r="N332" s="147"/>
      <c r="O332" s="147"/>
      <c r="P332" s="147"/>
      <c r="Q332" s="147"/>
      <c r="R332" s="147"/>
      <c r="S332" s="147"/>
      <c r="T332" s="147"/>
      <c r="U332" s="147"/>
      <c r="V332" s="147"/>
      <c r="W332" s="129"/>
      <c r="X332" s="144"/>
      <c r="Z332" s="144"/>
    </row>
    <row r="333" spans="2:26" x14ac:dyDescent="0.35">
      <c r="B333" s="144"/>
      <c r="C333" s="144"/>
      <c r="D333" s="144"/>
      <c r="E333" s="145"/>
      <c r="F333" s="146"/>
      <c r="G333" s="146"/>
      <c r="H333" s="146"/>
      <c r="I333" s="146"/>
      <c r="J333" s="146"/>
      <c r="K333" s="146"/>
      <c r="L333" s="147"/>
      <c r="M333" s="147"/>
      <c r="N333" s="147"/>
      <c r="O333" s="147"/>
      <c r="P333" s="147"/>
      <c r="Q333" s="147"/>
      <c r="R333" s="147"/>
      <c r="S333" s="147"/>
      <c r="T333" s="147"/>
      <c r="U333" s="147"/>
      <c r="V333" s="147"/>
      <c r="W333" s="129"/>
      <c r="X333" s="144"/>
      <c r="Z333" s="144"/>
    </row>
    <row r="334" spans="2:26" x14ac:dyDescent="0.35">
      <c r="B334" s="144"/>
      <c r="C334" s="144"/>
      <c r="D334" s="144"/>
      <c r="E334" s="145"/>
      <c r="F334" s="146"/>
      <c r="G334" s="146"/>
      <c r="H334" s="146"/>
      <c r="I334" s="146"/>
      <c r="J334" s="146"/>
      <c r="K334" s="146"/>
      <c r="L334" s="147"/>
      <c r="M334" s="147"/>
      <c r="N334" s="147"/>
      <c r="O334" s="147"/>
      <c r="P334" s="147"/>
      <c r="Q334" s="147"/>
      <c r="R334" s="147"/>
      <c r="S334" s="147"/>
      <c r="T334" s="147"/>
      <c r="U334" s="147"/>
      <c r="V334" s="147"/>
      <c r="W334" s="129"/>
      <c r="X334" s="144"/>
      <c r="Z334" s="144"/>
    </row>
    <row r="335" spans="2:26" x14ac:dyDescent="0.35">
      <c r="B335" s="144"/>
      <c r="C335" s="144"/>
      <c r="D335" s="144"/>
      <c r="E335" s="145"/>
      <c r="F335" s="146"/>
      <c r="G335" s="146"/>
      <c r="H335" s="146"/>
      <c r="I335" s="146"/>
      <c r="J335" s="146"/>
      <c r="K335" s="146"/>
      <c r="L335" s="147"/>
      <c r="M335" s="147"/>
      <c r="N335" s="147"/>
      <c r="O335" s="147"/>
      <c r="P335" s="147"/>
      <c r="Q335" s="147"/>
      <c r="R335" s="147"/>
      <c r="S335" s="147"/>
      <c r="T335" s="147"/>
      <c r="U335" s="147"/>
      <c r="V335" s="147"/>
      <c r="W335" s="129"/>
      <c r="X335" s="144"/>
      <c r="Z335" s="144"/>
    </row>
    <row r="336" spans="2:26" x14ac:dyDescent="0.35">
      <c r="B336" s="144"/>
      <c r="C336" s="144"/>
      <c r="D336" s="144"/>
      <c r="E336" s="145"/>
      <c r="F336" s="146"/>
      <c r="G336" s="146"/>
      <c r="H336" s="146"/>
      <c r="I336" s="146"/>
      <c r="J336" s="146"/>
      <c r="K336" s="146"/>
      <c r="L336" s="147"/>
      <c r="M336" s="147"/>
      <c r="N336" s="147"/>
      <c r="O336" s="147"/>
      <c r="P336" s="147"/>
      <c r="Q336" s="147"/>
      <c r="R336" s="147"/>
      <c r="S336" s="147"/>
      <c r="T336" s="147"/>
      <c r="U336" s="147"/>
      <c r="V336" s="147"/>
      <c r="W336" s="129"/>
      <c r="X336" s="144"/>
      <c r="Z336" s="144"/>
    </row>
  </sheetData>
  <phoneticPr fontId="14" type="noConversion"/>
  <conditionalFormatting pivot="1" sqref="BI3:BO14">
    <cfRule type="colorScale" priority="8">
      <colorScale>
        <cfvo type="min"/>
        <cfvo type="max"/>
        <color rgb="FFFCFCFF"/>
        <color rgb="FFF8696B"/>
      </colorScale>
    </cfRule>
  </conditionalFormatting>
  <pageMargins left="0.7" right="0.7" top="0.75" bottom="0.75" header="0.3" footer="0.3"/>
  <customProperties>
    <customPr name="LastActive" r:id="rId2"/>
  </customProperties>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12D2-201F-432A-AB73-CAE86F57C655}">
  <sheetPr>
    <tabColor rgb="FF00B0F0"/>
  </sheetPr>
  <dimension ref="A1:O312"/>
  <sheetViews>
    <sheetView workbookViewId="0">
      <selection activeCell="Q21" sqref="Q21"/>
    </sheetView>
  </sheetViews>
  <sheetFormatPr defaultRowHeight="14.5" x14ac:dyDescent="0.35"/>
  <cols>
    <col min="1" max="1" width="10.08984375" style="120" bestFit="1" customWidth="1"/>
    <col min="2" max="3" width="8.7265625" style="121"/>
    <col min="4" max="4" width="9.453125" style="121" customWidth="1"/>
    <col min="5" max="5" width="16" style="121" customWidth="1"/>
    <col min="6" max="6" width="17.08984375" style="121" customWidth="1"/>
    <col min="7" max="7" width="18.6328125" style="121" bestFit="1" customWidth="1"/>
    <col min="8" max="8" width="17.7265625" style="121" bestFit="1" customWidth="1"/>
    <col min="9" max="9" width="8.90625" style="122" bestFit="1" customWidth="1"/>
    <col min="10" max="10" width="10.08984375" style="122" customWidth="1"/>
    <col min="11" max="11" width="18.453125" style="122" customWidth="1"/>
    <col min="12" max="12" width="20.36328125" style="122" customWidth="1"/>
    <col min="13" max="13" width="9.1796875" style="123" customWidth="1"/>
    <col min="14" max="14" width="13" style="123" customWidth="1"/>
    <col min="15" max="15" width="11.08984375" style="123" customWidth="1"/>
  </cols>
  <sheetData>
    <row r="1" spans="1:15" x14ac:dyDescent="0.35">
      <c r="A1" s="120" t="s">
        <v>0</v>
      </c>
      <c r="B1" s="121" t="s">
        <v>1</v>
      </c>
      <c r="C1" s="121" t="s">
        <v>3</v>
      </c>
      <c r="D1" s="121" t="s">
        <v>2</v>
      </c>
      <c r="E1" s="121" t="s">
        <v>172</v>
      </c>
      <c r="F1" s="121" t="s">
        <v>20</v>
      </c>
      <c r="G1" s="121" t="s">
        <v>229</v>
      </c>
      <c r="H1" s="121" t="s">
        <v>227</v>
      </c>
      <c r="I1" s="122" t="s">
        <v>4</v>
      </c>
      <c r="J1" s="122" t="s">
        <v>156</v>
      </c>
      <c r="K1" s="122" t="s">
        <v>65</v>
      </c>
      <c r="L1" s="122" t="s">
        <v>66</v>
      </c>
      <c r="M1" s="123" t="s">
        <v>11</v>
      </c>
      <c r="N1" s="123" t="s">
        <v>231</v>
      </c>
      <c r="O1" s="123" t="s">
        <v>232</v>
      </c>
    </row>
    <row r="2" spans="1:15" x14ac:dyDescent="0.35">
      <c r="A2" s="120">
        <v>45108</v>
      </c>
      <c r="B2" s="121" t="s">
        <v>46</v>
      </c>
      <c r="C2" s="121" t="s">
        <v>49</v>
      </c>
      <c r="D2" s="121" t="s">
        <v>53</v>
      </c>
      <c r="E2" s="121" t="s">
        <v>69</v>
      </c>
      <c r="F2" s="121" t="s">
        <v>45</v>
      </c>
      <c r="G2" s="121" t="s">
        <v>234</v>
      </c>
      <c r="H2" s="121" t="s">
        <v>233</v>
      </c>
      <c r="I2" s="122">
        <v>1537</v>
      </c>
      <c r="J2" s="122">
        <v>221.20686000000001</v>
      </c>
      <c r="K2" s="122">
        <v>245.92</v>
      </c>
      <c r="L2" s="122">
        <v>35.393097600000004</v>
      </c>
      <c r="M2" s="123">
        <v>6.25</v>
      </c>
      <c r="N2" s="123">
        <v>97.7</v>
      </c>
      <c r="O2" s="123">
        <v>0</v>
      </c>
    </row>
    <row r="3" spans="1:15" x14ac:dyDescent="0.35">
      <c r="A3" s="120">
        <v>45109</v>
      </c>
      <c r="B3" s="121" t="s">
        <v>46</v>
      </c>
      <c r="C3" s="121" t="s">
        <v>50</v>
      </c>
      <c r="D3" s="121" t="s">
        <v>53</v>
      </c>
      <c r="E3" s="121" t="s">
        <v>69</v>
      </c>
      <c r="F3" s="121" t="s">
        <v>45</v>
      </c>
      <c r="G3" s="121" t="s">
        <v>234</v>
      </c>
      <c r="H3" s="121" t="s">
        <v>233</v>
      </c>
      <c r="I3" s="122">
        <v>963</v>
      </c>
      <c r="J3" s="122">
        <v>184.44623999999999</v>
      </c>
      <c r="K3" s="122">
        <v>153.67021276595744</v>
      </c>
      <c r="L3" s="122">
        <v>29.432910638297869</v>
      </c>
      <c r="M3" s="123">
        <v>6.2666666666666666</v>
      </c>
      <c r="N3" s="123">
        <v>95.1</v>
      </c>
      <c r="O3" s="123">
        <v>3.9E-2</v>
      </c>
    </row>
    <row r="4" spans="1:15" x14ac:dyDescent="0.35">
      <c r="A4" s="120">
        <v>45112</v>
      </c>
      <c r="B4" s="121" t="s">
        <v>46</v>
      </c>
      <c r="C4" s="121" t="s">
        <v>44</v>
      </c>
      <c r="D4" s="121" t="s">
        <v>53</v>
      </c>
      <c r="E4" s="121" t="s">
        <v>166</v>
      </c>
      <c r="F4" s="121" t="s">
        <v>45</v>
      </c>
      <c r="G4" s="121" t="s">
        <v>235</v>
      </c>
      <c r="H4" s="121" t="s">
        <v>233</v>
      </c>
      <c r="I4" s="122">
        <v>1227.5</v>
      </c>
      <c r="J4" s="122">
        <v>203.96432799999999</v>
      </c>
      <c r="K4" s="122">
        <v>215.35087719298244</v>
      </c>
      <c r="L4" s="122">
        <v>35.783215438596493</v>
      </c>
      <c r="M4" s="123">
        <v>5.7</v>
      </c>
      <c r="N4" s="123">
        <v>91.5</v>
      </c>
      <c r="O4" s="123">
        <v>3.7999999999999999E-2</v>
      </c>
    </row>
    <row r="5" spans="1:15" x14ac:dyDescent="0.35">
      <c r="A5" s="120">
        <v>45113</v>
      </c>
      <c r="B5" s="121" t="s">
        <v>46</v>
      </c>
      <c r="C5" s="121" t="s">
        <v>47</v>
      </c>
      <c r="D5" s="121" t="s">
        <v>53</v>
      </c>
      <c r="E5" s="121" t="s">
        <v>166</v>
      </c>
      <c r="F5" s="121" t="s">
        <v>45</v>
      </c>
      <c r="G5" s="121" t="s">
        <v>236</v>
      </c>
      <c r="H5" s="121" t="s">
        <v>233</v>
      </c>
      <c r="I5" s="122">
        <v>1315.5</v>
      </c>
      <c r="J5" s="122">
        <v>191.58984399999997</v>
      </c>
      <c r="K5" s="122">
        <v>222.33802816901408</v>
      </c>
      <c r="L5" s="122">
        <v>32.381382084507038</v>
      </c>
      <c r="M5" s="123">
        <v>5.916666666666667</v>
      </c>
      <c r="N5" s="123">
        <v>84.3</v>
      </c>
      <c r="O5" s="123">
        <v>0.41799999999999998</v>
      </c>
    </row>
    <row r="6" spans="1:15" x14ac:dyDescent="0.35">
      <c r="A6" s="120">
        <v>45114</v>
      </c>
      <c r="B6" s="121" t="s">
        <v>46</v>
      </c>
      <c r="C6" s="121" t="s">
        <v>48</v>
      </c>
      <c r="D6" s="121" t="s">
        <v>53</v>
      </c>
      <c r="E6" s="121" t="s">
        <v>69</v>
      </c>
      <c r="F6" s="121" t="s">
        <v>45</v>
      </c>
      <c r="G6" s="121" t="s">
        <v>236</v>
      </c>
      <c r="H6" s="121" t="s">
        <v>233</v>
      </c>
      <c r="I6" s="122">
        <v>1166.5</v>
      </c>
      <c r="J6" s="122">
        <v>167.95578399999999</v>
      </c>
      <c r="K6" s="122">
        <v>205.85294117647058</v>
      </c>
      <c r="L6" s="122">
        <v>29.639255999999996</v>
      </c>
      <c r="M6" s="123">
        <v>5.666666666666667</v>
      </c>
      <c r="N6" s="123">
        <v>88.9</v>
      </c>
      <c r="O6" s="123">
        <v>0.151</v>
      </c>
    </row>
    <row r="7" spans="1:15" x14ac:dyDescent="0.35">
      <c r="A7" s="120">
        <v>45115</v>
      </c>
      <c r="B7" s="121" t="s">
        <v>46</v>
      </c>
      <c r="C7" s="121" t="s">
        <v>49</v>
      </c>
      <c r="D7" s="121" t="s">
        <v>53</v>
      </c>
      <c r="E7" s="121" t="s">
        <v>69</v>
      </c>
      <c r="F7" s="121" t="s">
        <v>45</v>
      </c>
      <c r="G7" s="121" t="s">
        <v>236</v>
      </c>
      <c r="H7" s="121" t="s">
        <v>233</v>
      </c>
      <c r="I7" s="122">
        <v>1261</v>
      </c>
      <c r="J7" s="122">
        <v>238.67122000000001</v>
      </c>
      <c r="K7" s="122">
        <v>228.58006042296074</v>
      </c>
      <c r="L7" s="122">
        <v>43.263665256797587</v>
      </c>
      <c r="M7" s="123">
        <v>5.5166666666666666</v>
      </c>
      <c r="N7" s="123">
        <v>89.7</v>
      </c>
      <c r="O7" s="123">
        <v>0.22</v>
      </c>
    </row>
    <row r="8" spans="1:15" x14ac:dyDescent="0.35">
      <c r="A8" s="120">
        <v>45117</v>
      </c>
      <c r="B8" s="121" t="s">
        <v>46</v>
      </c>
      <c r="C8" s="121" t="s">
        <v>51</v>
      </c>
      <c r="D8" s="121" t="s">
        <v>53</v>
      </c>
      <c r="E8" s="121" t="s">
        <v>166</v>
      </c>
      <c r="F8" s="121" t="s">
        <v>45</v>
      </c>
      <c r="G8" s="121" t="s">
        <v>234</v>
      </c>
      <c r="H8" s="121" t="s">
        <v>233</v>
      </c>
      <c r="I8" s="122">
        <v>1123</v>
      </c>
      <c r="J8" s="122">
        <v>190.56170799999998</v>
      </c>
      <c r="K8" s="122">
        <v>226.86868686868686</v>
      </c>
      <c r="L8" s="122">
        <v>38.497314747474739</v>
      </c>
      <c r="M8" s="123">
        <v>4.95</v>
      </c>
      <c r="N8" s="123">
        <v>96.1</v>
      </c>
      <c r="O8" s="123">
        <v>0</v>
      </c>
    </row>
    <row r="9" spans="1:15" x14ac:dyDescent="0.35">
      <c r="A9" s="120">
        <v>45118</v>
      </c>
      <c r="B9" s="121" t="s">
        <v>46</v>
      </c>
      <c r="C9" s="121" t="s">
        <v>52</v>
      </c>
      <c r="D9" s="121" t="s">
        <v>53</v>
      </c>
      <c r="E9" s="121" t="s">
        <v>166</v>
      </c>
      <c r="F9" s="121" t="s">
        <v>45</v>
      </c>
      <c r="G9" s="121" t="s">
        <v>234</v>
      </c>
      <c r="H9" s="121" t="s">
        <v>233</v>
      </c>
      <c r="I9" s="122">
        <v>1161</v>
      </c>
      <c r="J9" s="122">
        <v>175.82314799999997</v>
      </c>
      <c r="K9" s="122">
        <v>255.16483516483518</v>
      </c>
      <c r="L9" s="122">
        <v>38.642450109890106</v>
      </c>
      <c r="M9" s="123">
        <v>4.55</v>
      </c>
      <c r="N9" s="123">
        <v>95.1</v>
      </c>
      <c r="O9" s="123">
        <v>0</v>
      </c>
    </row>
    <row r="10" spans="1:15" x14ac:dyDescent="0.35">
      <c r="A10" s="120">
        <v>45119</v>
      </c>
      <c r="B10" s="121" t="s">
        <v>46</v>
      </c>
      <c r="C10" s="121" t="s">
        <v>44</v>
      </c>
      <c r="D10" s="121" t="s">
        <v>53</v>
      </c>
      <c r="E10" s="121" t="s">
        <v>166</v>
      </c>
      <c r="F10" s="121" t="s">
        <v>45</v>
      </c>
      <c r="G10" s="121" t="s">
        <v>234</v>
      </c>
      <c r="H10" s="121" t="s">
        <v>233</v>
      </c>
      <c r="I10" s="122">
        <v>836.5</v>
      </c>
      <c r="J10" s="122">
        <v>147.38756000000001</v>
      </c>
      <c r="K10" s="122">
        <v>193.03846153846155</v>
      </c>
      <c r="L10" s="122">
        <v>34.012513846153851</v>
      </c>
      <c r="M10" s="123">
        <v>4.333333333333333</v>
      </c>
      <c r="N10" s="123">
        <v>95.2</v>
      </c>
      <c r="O10" s="123">
        <v>0</v>
      </c>
    </row>
    <row r="11" spans="1:15" x14ac:dyDescent="0.35">
      <c r="A11" s="120">
        <v>45121</v>
      </c>
      <c r="B11" s="121" t="s">
        <v>46</v>
      </c>
      <c r="C11" s="121" t="s">
        <v>48</v>
      </c>
      <c r="D11" s="121" t="s">
        <v>53</v>
      </c>
      <c r="E11" s="121" t="s">
        <v>69</v>
      </c>
      <c r="F11" s="121" t="s">
        <v>45</v>
      </c>
      <c r="G11" s="121" t="s">
        <v>234</v>
      </c>
      <c r="H11" s="121" t="s">
        <v>233</v>
      </c>
      <c r="I11" s="122">
        <v>1286</v>
      </c>
      <c r="J11" s="122">
        <v>203.24042800000001</v>
      </c>
      <c r="K11" s="122">
        <v>268.85017421602788</v>
      </c>
      <c r="L11" s="122">
        <v>42.489288083623698</v>
      </c>
      <c r="M11" s="123">
        <v>4.7833333333333332</v>
      </c>
      <c r="N11" s="123">
        <v>95.1</v>
      </c>
      <c r="O11" s="123">
        <v>0</v>
      </c>
    </row>
    <row r="12" spans="1:15" x14ac:dyDescent="0.35">
      <c r="A12" s="120">
        <v>45122</v>
      </c>
      <c r="B12" s="121" t="s">
        <v>46</v>
      </c>
      <c r="C12" s="121" t="s">
        <v>49</v>
      </c>
      <c r="D12" s="121" t="s">
        <v>53</v>
      </c>
      <c r="E12" s="121" t="s">
        <v>69</v>
      </c>
      <c r="F12" s="121" t="s">
        <v>45</v>
      </c>
      <c r="G12" s="121" t="s">
        <v>234</v>
      </c>
      <c r="H12" s="121" t="s">
        <v>233</v>
      </c>
      <c r="I12" s="122">
        <v>764.5</v>
      </c>
      <c r="J12" s="122">
        <v>116.77434399999999</v>
      </c>
      <c r="K12" s="122">
        <v>177.79069767441862</v>
      </c>
      <c r="L12" s="122">
        <v>27.15682418604651</v>
      </c>
      <c r="M12" s="123">
        <v>4.3</v>
      </c>
      <c r="N12" s="123">
        <v>96.9</v>
      </c>
      <c r="O12" s="123">
        <v>0</v>
      </c>
    </row>
    <row r="13" spans="1:15" x14ac:dyDescent="0.35">
      <c r="A13" s="120">
        <v>45125</v>
      </c>
      <c r="B13" s="121" t="s">
        <v>46</v>
      </c>
      <c r="C13" s="121" t="s">
        <v>52</v>
      </c>
      <c r="D13" s="121" t="s">
        <v>53</v>
      </c>
      <c r="E13" s="121" t="s">
        <v>166</v>
      </c>
      <c r="F13" s="121" t="s">
        <v>45</v>
      </c>
      <c r="G13" s="121" t="s">
        <v>234</v>
      </c>
      <c r="H13" s="121" t="s">
        <v>233</v>
      </c>
      <c r="I13" s="122">
        <v>662</v>
      </c>
      <c r="J13" s="122">
        <v>124.95961999999999</v>
      </c>
      <c r="K13" s="122">
        <v>156.99604743083003</v>
      </c>
      <c r="L13" s="122">
        <v>29.634692490118574</v>
      </c>
      <c r="M13" s="123">
        <v>4.2166666666666668</v>
      </c>
      <c r="N13" s="123">
        <v>98.6</v>
      </c>
      <c r="O13" s="123">
        <v>0</v>
      </c>
    </row>
    <row r="14" spans="1:15" x14ac:dyDescent="0.35">
      <c r="A14" s="120">
        <v>45126</v>
      </c>
      <c r="B14" s="121" t="s">
        <v>46</v>
      </c>
      <c r="C14" s="121" t="s">
        <v>44</v>
      </c>
      <c r="D14" s="121" t="s">
        <v>53</v>
      </c>
      <c r="E14" s="121" t="s">
        <v>166</v>
      </c>
      <c r="F14" s="121" t="s">
        <v>45</v>
      </c>
      <c r="G14" s="121" t="s">
        <v>234</v>
      </c>
      <c r="H14" s="121" t="s">
        <v>233</v>
      </c>
      <c r="I14" s="122">
        <v>892</v>
      </c>
      <c r="J14" s="122">
        <v>165.92441199999999</v>
      </c>
      <c r="K14" s="122">
        <v>183.91752577319588</v>
      </c>
      <c r="L14" s="122">
        <v>34.211218969072164</v>
      </c>
      <c r="M14" s="123">
        <v>4.8499999999999996</v>
      </c>
      <c r="N14" s="123">
        <v>97.6</v>
      </c>
      <c r="O14" s="123">
        <v>0</v>
      </c>
    </row>
    <row r="15" spans="1:15" x14ac:dyDescent="0.35">
      <c r="A15" s="120">
        <v>45128</v>
      </c>
      <c r="B15" s="121" t="s">
        <v>46</v>
      </c>
      <c r="C15" s="121" t="s">
        <v>48</v>
      </c>
      <c r="D15" s="121" t="s">
        <v>53</v>
      </c>
      <c r="E15" s="121" t="s">
        <v>69</v>
      </c>
      <c r="F15" s="121" t="s">
        <v>45</v>
      </c>
      <c r="G15" s="121" t="s">
        <v>234</v>
      </c>
      <c r="H15" s="121" t="s">
        <v>233</v>
      </c>
      <c r="I15" s="122">
        <v>1455</v>
      </c>
      <c r="J15" s="122">
        <v>241.94436000000002</v>
      </c>
      <c r="K15" s="122">
        <v>243.85474860335194</v>
      </c>
      <c r="L15" s="122">
        <v>40.54933407821229</v>
      </c>
      <c r="M15" s="123">
        <v>5.9666666666666668</v>
      </c>
      <c r="N15" s="123">
        <v>98.6</v>
      </c>
      <c r="O15" s="123">
        <v>0</v>
      </c>
    </row>
    <row r="16" spans="1:15" x14ac:dyDescent="0.35">
      <c r="A16" s="120">
        <v>45129</v>
      </c>
      <c r="B16" s="121" t="s">
        <v>46</v>
      </c>
      <c r="C16" s="121" t="s">
        <v>49</v>
      </c>
      <c r="D16" s="121" t="s">
        <v>53</v>
      </c>
      <c r="E16" s="121" t="s">
        <v>69</v>
      </c>
      <c r="F16" s="121" t="s">
        <v>45</v>
      </c>
      <c r="G16" s="121" t="s">
        <v>234</v>
      </c>
      <c r="H16" s="121" t="s">
        <v>233</v>
      </c>
      <c r="I16" s="122">
        <v>1817.5</v>
      </c>
      <c r="J16" s="122">
        <v>333.681308</v>
      </c>
      <c r="K16" s="122">
        <v>297.13896457765668</v>
      </c>
      <c r="L16" s="122">
        <v>54.552802397820166</v>
      </c>
      <c r="M16" s="123">
        <v>6.1166666666666663</v>
      </c>
      <c r="N16" s="123">
        <v>99.6</v>
      </c>
      <c r="O16" s="123">
        <v>0</v>
      </c>
    </row>
    <row r="17" spans="1:15" x14ac:dyDescent="0.35">
      <c r="A17" s="120">
        <v>45131</v>
      </c>
      <c r="B17" s="121" t="s">
        <v>46</v>
      </c>
      <c r="C17" s="121" t="s">
        <v>51</v>
      </c>
      <c r="D17" s="121" t="s">
        <v>53</v>
      </c>
      <c r="E17" s="121" t="s">
        <v>166</v>
      </c>
      <c r="F17" s="121" t="s">
        <v>45</v>
      </c>
      <c r="G17" s="121" t="s">
        <v>237</v>
      </c>
      <c r="H17" s="121" t="s">
        <v>233</v>
      </c>
      <c r="I17" s="122">
        <v>1036</v>
      </c>
      <c r="J17" s="122">
        <v>170.00901999999999</v>
      </c>
      <c r="K17" s="122">
        <v>229.37269372693729</v>
      </c>
      <c r="L17" s="122">
        <v>37.640373431734318</v>
      </c>
      <c r="M17" s="123">
        <v>4.5166666666666666</v>
      </c>
      <c r="N17" s="123">
        <v>94.1</v>
      </c>
      <c r="O17" s="123">
        <v>4.0000000000000001E-3</v>
      </c>
    </row>
    <row r="18" spans="1:15" x14ac:dyDescent="0.35">
      <c r="A18" s="120">
        <v>45132</v>
      </c>
      <c r="B18" s="121" t="s">
        <v>46</v>
      </c>
      <c r="C18" s="121" t="s">
        <v>52</v>
      </c>
      <c r="D18" s="121" t="s">
        <v>53</v>
      </c>
      <c r="E18" s="121" t="s">
        <v>166</v>
      </c>
      <c r="F18" s="121" t="s">
        <v>45</v>
      </c>
      <c r="G18" s="121" t="s">
        <v>237</v>
      </c>
      <c r="H18" s="121" t="s">
        <v>233</v>
      </c>
      <c r="I18" s="122">
        <v>967</v>
      </c>
      <c r="J18" s="122">
        <v>151.1086</v>
      </c>
      <c r="K18" s="122">
        <v>202.86713286713288</v>
      </c>
      <c r="L18" s="122">
        <v>31.701104895104894</v>
      </c>
      <c r="M18" s="123">
        <v>4.7666666666666666</v>
      </c>
      <c r="N18" s="123">
        <v>93.2</v>
      </c>
      <c r="O18" s="123">
        <v>4.9000000000000002E-2</v>
      </c>
    </row>
    <row r="19" spans="1:15" x14ac:dyDescent="0.35">
      <c r="A19" s="120">
        <v>45133</v>
      </c>
      <c r="B19" s="121" t="s">
        <v>46</v>
      </c>
      <c r="C19" s="121" t="s">
        <v>44</v>
      </c>
      <c r="D19" s="121" t="s">
        <v>53</v>
      </c>
      <c r="E19" s="121" t="s">
        <v>166</v>
      </c>
      <c r="F19" s="121" t="s">
        <v>45</v>
      </c>
      <c r="G19" s="121" t="s">
        <v>237</v>
      </c>
      <c r="H19" s="121" t="s">
        <v>233</v>
      </c>
      <c r="I19" s="122">
        <v>997</v>
      </c>
      <c r="J19" s="122">
        <v>185.11517599999999</v>
      </c>
      <c r="K19" s="122">
        <v>189.30379746835445</v>
      </c>
      <c r="L19" s="122">
        <v>35.148451139240507</v>
      </c>
      <c r="M19" s="123">
        <v>5.2666666666666666</v>
      </c>
      <c r="N19" s="123">
        <v>96.8</v>
      </c>
      <c r="O19" s="123">
        <v>0</v>
      </c>
    </row>
    <row r="20" spans="1:15" x14ac:dyDescent="0.35">
      <c r="A20" s="120">
        <v>45135</v>
      </c>
      <c r="B20" s="121" t="s">
        <v>46</v>
      </c>
      <c r="C20" s="121" t="s">
        <v>48</v>
      </c>
      <c r="D20" s="121" t="s">
        <v>53</v>
      </c>
      <c r="E20" s="121" t="s">
        <v>69</v>
      </c>
      <c r="F20" s="121" t="s">
        <v>45</v>
      </c>
      <c r="G20" s="121" t="s">
        <v>238</v>
      </c>
      <c r="H20" s="121" t="s">
        <v>233</v>
      </c>
      <c r="I20" s="122">
        <v>1281.51</v>
      </c>
      <c r="J20" s="122">
        <v>238.50191599999999</v>
      </c>
      <c r="K20" s="122">
        <v>247.23665594855305</v>
      </c>
      <c r="L20" s="122">
        <v>46.013231382636654</v>
      </c>
      <c r="M20" s="123">
        <v>5.1833333333333336</v>
      </c>
      <c r="N20" s="123">
        <v>95</v>
      </c>
      <c r="O20" s="123">
        <v>4.2999999999999997E-2</v>
      </c>
    </row>
    <row r="21" spans="1:15" x14ac:dyDescent="0.35">
      <c r="A21" s="120">
        <v>45136</v>
      </c>
      <c r="B21" s="121" t="s">
        <v>46</v>
      </c>
      <c r="C21" s="121" t="s">
        <v>49</v>
      </c>
      <c r="D21" s="121" t="s">
        <v>53</v>
      </c>
      <c r="E21" s="121" t="s">
        <v>69</v>
      </c>
      <c r="F21" s="121" t="s">
        <v>45</v>
      </c>
      <c r="G21" s="121" t="s">
        <v>238</v>
      </c>
      <c r="H21" s="121" t="s">
        <v>233</v>
      </c>
      <c r="I21" s="122">
        <v>1011.49</v>
      </c>
      <c r="J21" s="122">
        <v>172.51180399999998</v>
      </c>
      <c r="K21" s="122">
        <v>227.3011235955056</v>
      </c>
      <c r="L21" s="122">
        <v>38.766697528089885</v>
      </c>
      <c r="M21" s="123">
        <v>4.45</v>
      </c>
      <c r="N21" s="123">
        <v>96</v>
      </c>
      <c r="O21" s="123">
        <v>0</v>
      </c>
    </row>
    <row r="22" spans="1:15" x14ac:dyDescent="0.35">
      <c r="A22" s="120">
        <v>45137</v>
      </c>
      <c r="B22" s="121" t="s">
        <v>42</v>
      </c>
      <c r="C22" s="121" t="s">
        <v>50</v>
      </c>
      <c r="D22" s="121" t="s">
        <v>53</v>
      </c>
      <c r="E22" s="121" t="s">
        <v>69</v>
      </c>
      <c r="F22" s="121" t="s">
        <v>45</v>
      </c>
      <c r="G22" s="121" t="s">
        <v>238</v>
      </c>
      <c r="H22" s="121" t="s">
        <v>233</v>
      </c>
      <c r="I22" s="122">
        <v>804</v>
      </c>
      <c r="J22" s="122">
        <v>129.63104000000001</v>
      </c>
      <c r="K22" s="122">
        <v>147.07317073170731</v>
      </c>
      <c r="L22" s="122">
        <v>23.71299512195122</v>
      </c>
      <c r="M22" s="123">
        <v>5.4666666666666668</v>
      </c>
      <c r="N22" s="123">
        <v>98.5</v>
      </c>
      <c r="O22" s="123">
        <v>0</v>
      </c>
    </row>
    <row r="23" spans="1:15" x14ac:dyDescent="0.35">
      <c r="A23" s="120">
        <v>45138</v>
      </c>
      <c r="B23" s="121" t="s">
        <v>46</v>
      </c>
      <c r="C23" s="121" t="s">
        <v>51</v>
      </c>
      <c r="D23" s="121" t="s">
        <v>53</v>
      </c>
      <c r="E23" s="121" t="s">
        <v>166</v>
      </c>
      <c r="F23" s="121" t="s">
        <v>45</v>
      </c>
      <c r="G23" s="121" t="s">
        <v>239</v>
      </c>
      <c r="H23" s="121" t="s">
        <v>233</v>
      </c>
      <c r="I23" s="122">
        <v>1304.5</v>
      </c>
      <c r="J23" s="122">
        <v>206.59433999999999</v>
      </c>
      <c r="K23" s="122">
        <v>297.60456273764254</v>
      </c>
      <c r="L23" s="122">
        <v>47.131788593155889</v>
      </c>
      <c r="M23" s="123">
        <v>4.3833333333333337</v>
      </c>
      <c r="N23" s="123">
        <v>99.7</v>
      </c>
      <c r="O23" s="123">
        <v>0</v>
      </c>
    </row>
    <row r="24" spans="1:15" x14ac:dyDescent="0.35">
      <c r="A24" s="120">
        <v>45139</v>
      </c>
      <c r="B24" s="121" t="s">
        <v>46</v>
      </c>
      <c r="C24" s="121" t="s">
        <v>52</v>
      </c>
      <c r="D24" s="121" t="s">
        <v>54</v>
      </c>
      <c r="E24" s="121" t="s">
        <v>166</v>
      </c>
      <c r="F24" s="121" t="s">
        <v>45</v>
      </c>
      <c r="G24" s="121" t="s">
        <v>239</v>
      </c>
      <c r="H24" s="121" t="s">
        <v>233</v>
      </c>
      <c r="I24" s="122">
        <v>706.5</v>
      </c>
      <c r="J24" s="122">
        <v>138.13836000000001</v>
      </c>
      <c r="K24" s="122">
        <v>130.03067484662577</v>
      </c>
      <c r="L24" s="122">
        <v>25.424238036809815</v>
      </c>
      <c r="M24" s="123">
        <v>5.4333333333333336</v>
      </c>
      <c r="N24" s="123">
        <v>99.4</v>
      </c>
      <c r="O24" s="123">
        <v>0</v>
      </c>
    </row>
    <row r="25" spans="1:15" x14ac:dyDescent="0.35">
      <c r="A25" s="120">
        <v>45140</v>
      </c>
      <c r="B25" s="121" t="s">
        <v>42</v>
      </c>
      <c r="C25" s="121" t="s">
        <v>44</v>
      </c>
      <c r="D25" s="121" t="s">
        <v>54</v>
      </c>
      <c r="E25" s="121" t="s">
        <v>166</v>
      </c>
      <c r="F25" s="121" t="s">
        <v>55</v>
      </c>
      <c r="G25" s="121" t="s">
        <v>239</v>
      </c>
      <c r="H25" s="121" t="s">
        <v>233</v>
      </c>
      <c r="I25" s="122">
        <v>763</v>
      </c>
      <c r="J25" s="122">
        <v>114.396716</v>
      </c>
      <c r="K25" s="122">
        <v>212.93023255813952</v>
      </c>
      <c r="L25" s="122">
        <v>31.924664930232556</v>
      </c>
      <c r="M25" s="123">
        <v>3.5833333333333335</v>
      </c>
      <c r="N25" s="123">
        <v>98.7</v>
      </c>
      <c r="O25" s="123">
        <v>0</v>
      </c>
    </row>
    <row r="26" spans="1:15" x14ac:dyDescent="0.35">
      <c r="A26" s="120">
        <v>45140</v>
      </c>
      <c r="B26" s="121" t="s">
        <v>46</v>
      </c>
      <c r="C26" s="121" t="s">
        <v>44</v>
      </c>
      <c r="D26" s="121" t="s">
        <v>54</v>
      </c>
      <c r="E26" s="121" t="s">
        <v>166</v>
      </c>
      <c r="F26" s="121" t="s">
        <v>55</v>
      </c>
      <c r="G26" s="121" t="s">
        <v>239</v>
      </c>
      <c r="H26" s="121" t="s">
        <v>233</v>
      </c>
      <c r="I26" s="122">
        <v>477</v>
      </c>
      <c r="J26" s="122">
        <v>94.560599999999994</v>
      </c>
      <c r="K26" s="122">
        <v>136.28571428571428</v>
      </c>
      <c r="L26" s="122">
        <v>27.017314285714285</v>
      </c>
      <c r="M26" s="123">
        <v>3.5</v>
      </c>
      <c r="N26" s="123">
        <v>98.7</v>
      </c>
      <c r="O26" s="123">
        <v>0</v>
      </c>
    </row>
    <row r="27" spans="1:15" x14ac:dyDescent="0.35">
      <c r="A27" s="120">
        <v>45142</v>
      </c>
      <c r="B27" s="121" t="s">
        <v>42</v>
      </c>
      <c r="C27" s="121" t="s">
        <v>48</v>
      </c>
      <c r="D27" s="121" t="s">
        <v>54</v>
      </c>
      <c r="E27" s="121" t="s">
        <v>166</v>
      </c>
      <c r="F27" s="121" t="s">
        <v>55</v>
      </c>
      <c r="G27" s="121" t="s">
        <v>234</v>
      </c>
      <c r="H27" s="121" t="s">
        <v>233</v>
      </c>
      <c r="I27" s="122">
        <v>1016.33</v>
      </c>
      <c r="J27" s="122">
        <v>162.478084</v>
      </c>
      <c r="K27" s="122">
        <v>212.47317073170734</v>
      </c>
      <c r="L27" s="122">
        <v>33.967543693379788</v>
      </c>
      <c r="M27" s="123">
        <v>4.7833333333333332</v>
      </c>
      <c r="N27" s="123">
        <v>100.4</v>
      </c>
      <c r="O27" s="123">
        <v>0</v>
      </c>
    </row>
    <row r="28" spans="1:15" x14ac:dyDescent="0.35">
      <c r="A28" s="120">
        <v>45142</v>
      </c>
      <c r="B28" s="121" t="s">
        <v>46</v>
      </c>
      <c r="C28" s="121" t="s">
        <v>48</v>
      </c>
      <c r="D28" s="121" t="s">
        <v>54</v>
      </c>
      <c r="E28" s="121" t="s">
        <v>69</v>
      </c>
      <c r="F28" s="121" t="s">
        <v>55</v>
      </c>
      <c r="G28" s="121" t="s">
        <v>234</v>
      </c>
      <c r="H28" s="121" t="s">
        <v>233</v>
      </c>
      <c r="I28" s="122">
        <v>1194</v>
      </c>
      <c r="J28" s="122">
        <v>180.67177999999998</v>
      </c>
      <c r="K28" s="122">
        <v>258.62815884476538</v>
      </c>
      <c r="L28" s="122">
        <v>39.134681588447656</v>
      </c>
      <c r="M28" s="123">
        <v>4.6166666666666663</v>
      </c>
      <c r="N28" s="123">
        <v>100.4</v>
      </c>
      <c r="O28" s="123">
        <v>0</v>
      </c>
    </row>
    <row r="29" spans="1:15" x14ac:dyDescent="0.35">
      <c r="A29" s="120">
        <v>45143</v>
      </c>
      <c r="B29" s="121" t="s">
        <v>46</v>
      </c>
      <c r="C29" s="121" t="s">
        <v>49</v>
      </c>
      <c r="D29" s="121" t="s">
        <v>54</v>
      </c>
      <c r="E29" s="121" t="s">
        <v>69</v>
      </c>
      <c r="F29" s="121" t="s">
        <v>45</v>
      </c>
      <c r="G29" s="121" t="s">
        <v>234</v>
      </c>
      <c r="H29" s="121" t="s">
        <v>233</v>
      </c>
      <c r="I29" s="122">
        <v>1669.5</v>
      </c>
      <c r="J29" s="122">
        <v>266.82144400000004</v>
      </c>
      <c r="K29" s="122">
        <v>267.12</v>
      </c>
      <c r="L29" s="122">
        <v>42.691431040000005</v>
      </c>
      <c r="M29" s="123">
        <v>6.25</v>
      </c>
      <c r="N29" s="123">
        <v>99.3</v>
      </c>
      <c r="O29" s="123">
        <v>0</v>
      </c>
    </row>
    <row r="30" spans="1:15" x14ac:dyDescent="0.35">
      <c r="A30" s="120">
        <v>45145</v>
      </c>
      <c r="B30" s="121" t="s">
        <v>42</v>
      </c>
      <c r="C30" s="121" t="s">
        <v>51</v>
      </c>
      <c r="D30" s="121" t="s">
        <v>54</v>
      </c>
      <c r="E30" s="121" t="s">
        <v>166</v>
      </c>
      <c r="F30" s="121" t="s">
        <v>55</v>
      </c>
      <c r="G30" s="121" t="s">
        <v>234</v>
      </c>
      <c r="H30" s="121" t="s">
        <v>233</v>
      </c>
      <c r="I30" s="122">
        <v>518.5</v>
      </c>
      <c r="J30" s="122">
        <v>85.479011999999997</v>
      </c>
      <c r="K30" s="122">
        <v>138.26666666666668</v>
      </c>
      <c r="L30" s="122">
        <v>22.794403199999998</v>
      </c>
      <c r="M30" s="123">
        <v>3.75</v>
      </c>
      <c r="N30" s="123">
        <v>100.4</v>
      </c>
      <c r="O30" s="123">
        <v>0</v>
      </c>
    </row>
    <row r="31" spans="1:15" x14ac:dyDescent="0.35">
      <c r="A31" s="120">
        <v>45145</v>
      </c>
      <c r="B31" s="121" t="s">
        <v>46</v>
      </c>
      <c r="C31" s="121" t="s">
        <v>51</v>
      </c>
      <c r="D31" s="121" t="s">
        <v>54</v>
      </c>
      <c r="E31" s="121" t="s">
        <v>166</v>
      </c>
      <c r="F31" s="121" t="s">
        <v>55</v>
      </c>
      <c r="G31" s="121" t="s">
        <v>234</v>
      </c>
      <c r="H31" s="121" t="s">
        <v>233</v>
      </c>
      <c r="I31" s="122">
        <v>1184</v>
      </c>
      <c r="J31" s="122">
        <v>201.50010799999998</v>
      </c>
      <c r="K31" s="122">
        <v>256.46209386281589</v>
      </c>
      <c r="L31" s="122">
        <v>43.646232779783396</v>
      </c>
      <c r="M31" s="123">
        <v>4.6166666666666663</v>
      </c>
      <c r="N31" s="123">
        <v>100.4</v>
      </c>
      <c r="O31" s="123">
        <v>0</v>
      </c>
    </row>
    <row r="32" spans="1:15" x14ac:dyDescent="0.35">
      <c r="A32" s="120">
        <v>45146</v>
      </c>
      <c r="B32" s="121" t="s">
        <v>42</v>
      </c>
      <c r="C32" s="121" t="s">
        <v>52</v>
      </c>
      <c r="D32" s="121" t="s">
        <v>54</v>
      </c>
      <c r="E32" s="121" t="s">
        <v>166</v>
      </c>
      <c r="F32" s="121" t="s">
        <v>45</v>
      </c>
      <c r="G32" s="121" t="s">
        <v>234</v>
      </c>
      <c r="H32" s="121" t="s">
        <v>233</v>
      </c>
      <c r="I32" s="122">
        <v>697</v>
      </c>
      <c r="J32" s="122">
        <v>125.16169600000001</v>
      </c>
      <c r="K32" s="122">
        <v>180.25862068965517</v>
      </c>
      <c r="L32" s="122">
        <v>32.369404137931035</v>
      </c>
      <c r="M32" s="123">
        <v>3.8666666666666667</v>
      </c>
      <c r="N32" s="123">
        <v>98.7</v>
      </c>
      <c r="O32" s="123">
        <v>0</v>
      </c>
    </row>
    <row r="33" spans="1:15" x14ac:dyDescent="0.35">
      <c r="A33" s="120">
        <v>45147</v>
      </c>
      <c r="B33" s="121" t="s">
        <v>46</v>
      </c>
      <c r="C33" s="121" t="s">
        <v>44</v>
      </c>
      <c r="D33" s="121" t="s">
        <v>54</v>
      </c>
      <c r="E33" s="121" t="s">
        <v>166</v>
      </c>
      <c r="F33" s="121" t="s">
        <v>45</v>
      </c>
      <c r="G33" s="121" t="s">
        <v>234</v>
      </c>
      <c r="H33" s="121" t="s">
        <v>233</v>
      </c>
      <c r="I33" s="122">
        <v>1060.27</v>
      </c>
      <c r="J33" s="122">
        <v>132.90529599999999</v>
      </c>
      <c r="K33" s="122">
        <v>179.70677966101692</v>
      </c>
      <c r="L33" s="122">
        <v>22.5263213559322</v>
      </c>
      <c r="M33" s="123">
        <v>5.9</v>
      </c>
      <c r="N33" s="123">
        <v>96.9</v>
      </c>
      <c r="O33" s="123">
        <v>0</v>
      </c>
    </row>
    <row r="34" spans="1:15" x14ac:dyDescent="0.35">
      <c r="A34" s="120">
        <v>45149</v>
      </c>
      <c r="B34" s="121" t="s">
        <v>46</v>
      </c>
      <c r="C34" s="121" t="s">
        <v>48</v>
      </c>
      <c r="D34" s="121" t="s">
        <v>54</v>
      </c>
      <c r="E34" s="121" t="s">
        <v>69</v>
      </c>
      <c r="F34" s="121" t="s">
        <v>45</v>
      </c>
      <c r="G34" s="121" t="s">
        <v>240</v>
      </c>
      <c r="H34" s="121" t="s">
        <v>233</v>
      </c>
      <c r="I34" s="122">
        <v>1187</v>
      </c>
      <c r="J34" s="122">
        <v>185.53326000000001</v>
      </c>
      <c r="K34" s="122">
        <v>166.013986013986</v>
      </c>
      <c r="L34" s="122">
        <v>25.948707692307693</v>
      </c>
      <c r="M34" s="123">
        <v>7.15</v>
      </c>
      <c r="N34" s="123">
        <v>98.7</v>
      </c>
      <c r="O34" s="123">
        <v>0</v>
      </c>
    </row>
    <row r="35" spans="1:15" x14ac:dyDescent="0.35">
      <c r="A35" s="120">
        <v>45150</v>
      </c>
      <c r="B35" s="121" t="s">
        <v>46</v>
      </c>
      <c r="C35" s="121" t="s">
        <v>49</v>
      </c>
      <c r="D35" s="121" t="s">
        <v>54</v>
      </c>
      <c r="E35" s="121" t="s">
        <v>69</v>
      </c>
      <c r="F35" s="121" t="s">
        <v>45</v>
      </c>
      <c r="G35" s="121" t="s">
        <v>240</v>
      </c>
      <c r="H35" s="121" t="s">
        <v>233</v>
      </c>
      <c r="I35" s="122">
        <v>1928</v>
      </c>
      <c r="J35" s="122">
        <v>308.20174799999995</v>
      </c>
      <c r="K35" s="122">
        <v>254.24175824175825</v>
      </c>
      <c r="L35" s="122">
        <v>40.641988747252739</v>
      </c>
      <c r="M35" s="123">
        <v>7.583333333333333</v>
      </c>
      <c r="N35" s="123">
        <v>98.7</v>
      </c>
      <c r="O35" s="123">
        <v>0</v>
      </c>
    </row>
    <row r="36" spans="1:15" x14ac:dyDescent="0.35">
      <c r="A36" s="120">
        <v>45152</v>
      </c>
      <c r="B36" s="121" t="s">
        <v>42</v>
      </c>
      <c r="C36" s="121" t="s">
        <v>51</v>
      </c>
      <c r="D36" s="121" t="s">
        <v>54</v>
      </c>
      <c r="E36" s="121" t="s">
        <v>166</v>
      </c>
      <c r="F36" s="121" t="s">
        <v>45</v>
      </c>
      <c r="G36" s="121" t="s">
        <v>234</v>
      </c>
      <c r="H36" s="121" t="s">
        <v>233</v>
      </c>
      <c r="I36" s="122">
        <v>646.5</v>
      </c>
      <c r="J36" s="122">
        <v>121.035892</v>
      </c>
      <c r="K36" s="122">
        <v>120.09287925696593</v>
      </c>
      <c r="L36" s="122">
        <v>22.483447430340558</v>
      </c>
      <c r="M36" s="123">
        <v>5.3833333333333337</v>
      </c>
      <c r="N36" s="123">
        <v>101.3</v>
      </c>
      <c r="O36" s="123">
        <v>0</v>
      </c>
    </row>
    <row r="37" spans="1:15" x14ac:dyDescent="0.35">
      <c r="A37" s="120">
        <v>45153</v>
      </c>
      <c r="B37" s="121" t="s">
        <v>42</v>
      </c>
      <c r="C37" s="121" t="s">
        <v>52</v>
      </c>
      <c r="D37" s="121" t="s">
        <v>54</v>
      </c>
      <c r="E37" s="121" t="s">
        <v>166</v>
      </c>
      <c r="F37" s="121" t="s">
        <v>55</v>
      </c>
      <c r="G37" s="121" t="s">
        <v>234</v>
      </c>
      <c r="H37" s="121" t="s">
        <v>233</v>
      </c>
      <c r="I37" s="122">
        <v>369</v>
      </c>
      <c r="J37" s="122">
        <v>52.001628000000004</v>
      </c>
      <c r="K37" s="122">
        <v>111.25628140703517</v>
      </c>
      <c r="L37" s="122">
        <v>15.678882814070352</v>
      </c>
      <c r="M37" s="123">
        <v>3.3166666666666669</v>
      </c>
      <c r="N37" s="123">
        <v>100.6</v>
      </c>
      <c r="O37" s="123">
        <v>0</v>
      </c>
    </row>
    <row r="38" spans="1:15" x14ac:dyDescent="0.35">
      <c r="A38" s="120">
        <v>45153</v>
      </c>
      <c r="B38" s="121" t="s">
        <v>46</v>
      </c>
      <c r="C38" s="121" t="s">
        <v>52</v>
      </c>
      <c r="D38" s="121" t="s">
        <v>54</v>
      </c>
      <c r="E38" s="121" t="s">
        <v>166</v>
      </c>
      <c r="F38" s="121" t="s">
        <v>55</v>
      </c>
      <c r="G38" s="121" t="s">
        <v>234</v>
      </c>
      <c r="H38" s="121" t="s">
        <v>233</v>
      </c>
      <c r="I38" s="122">
        <v>652.5</v>
      </c>
      <c r="J38" s="122">
        <v>100.28976399999999</v>
      </c>
      <c r="K38" s="122">
        <v>152.33463035019454</v>
      </c>
      <c r="L38" s="122">
        <v>23.413952684824903</v>
      </c>
      <c r="M38" s="123">
        <v>4.2833333333333332</v>
      </c>
      <c r="N38" s="123">
        <v>100.6</v>
      </c>
      <c r="O38" s="123">
        <v>0</v>
      </c>
    </row>
    <row r="39" spans="1:15" x14ac:dyDescent="0.35">
      <c r="A39" s="120">
        <v>45154</v>
      </c>
      <c r="B39" s="121" t="s">
        <v>42</v>
      </c>
      <c r="C39" s="121" t="s">
        <v>44</v>
      </c>
      <c r="D39" s="121" t="s">
        <v>54</v>
      </c>
      <c r="E39" s="121" t="s">
        <v>166</v>
      </c>
      <c r="F39" s="121" t="s">
        <v>55</v>
      </c>
      <c r="G39" s="121" t="s">
        <v>234</v>
      </c>
      <c r="H39" s="121" t="s">
        <v>233</v>
      </c>
      <c r="I39" s="122">
        <v>728.5</v>
      </c>
      <c r="J39" s="122">
        <v>133.81860800000001</v>
      </c>
      <c r="K39" s="122">
        <v>193.40707964601771</v>
      </c>
      <c r="L39" s="122">
        <v>35.527064070796463</v>
      </c>
      <c r="M39" s="123">
        <v>3.7666666666666666</v>
      </c>
      <c r="N39" s="123">
        <v>97.6</v>
      </c>
      <c r="O39" s="123">
        <v>0</v>
      </c>
    </row>
    <row r="40" spans="1:15" x14ac:dyDescent="0.35">
      <c r="A40" s="120">
        <v>45154</v>
      </c>
      <c r="B40" s="121" t="s">
        <v>46</v>
      </c>
      <c r="C40" s="121" t="s">
        <v>44</v>
      </c>
      <c r="D40" s="121" t="s">
        <v>54</v>
      </c>
      <c r="E40" s="121" t="s">
        <v>166</v>
      </c>
      <c r="F40" s="121" t="s">
        <v>55</v>
      </c>
      <c r="G40" s="121" t="s">
        <v>234</v>
      </c>
      <c r="H40" s="121" t="s">
        <v>233</v>
      </c>
      <c r="I40" s="122">
        <v>1652</v>
      </c>
      <c r="J40" s="122">
        <v>292.53746799999999</v>
      </c>
      <c r="K40" s="122">
        <v>277.64705882352939</v>
      </c>
      <c r="L40" s="122">
        <v>49.165961008403357</v>
      </c>
      <c r="M40" s="123">
        <v>5.95</v>
      </c>
      <c r="N40" s="123">
        <v>97.6</v>
      </c>
      <c r="O40" s="123">
        <v>0</v>
      </c>
    </row>
    <row r="41" spans="1:15" x14ac:dyDescent="0.35">
      <c r="A41" s="120">
        <v>45156</v>
      </c>
      <c r="B41" s="121" t="s">
        <v>46</v>
      </c>
      <c r="C41" s="121" t="s">
        <v>48</v>
      </c>
      <c r="D41" s="121" t="s">
        <v>54</v>
      </c>
      <c r="E41" s="121" t="s">
        <v>69</v>
      </c>
      <c r="F41" s="121" t="s">
        <v>45</v>
      </c>
      <c r="G41" s="121" t="s">
        <v>236</v>
      </c>
      <c r="H41" s="121" t="s">
        <v>233</v>
      </c>
      <c r="I41" s="122">
        <v>1152.5</v>
      </c>
      <c r="J41" s="122">
        <v>179.999664</v>
      </c>
      <c r="K41" s="122">
        <v>223.06451612903226</v>
      </c>
      <c r="L41" s="122">
        <v>34.838644645161288</v>
      </c>
      <c r="M41" s="123">
        <v>5.166666666666667</v>
      </c>
      <c r="N41" s="123">
        <v>100.4</v>
      </c>
      <c r="O41" s="123">
        <v>0</v>
      </c>
    </row>
    <row r="42" spans="1:15" x14ac:dyDescent="0.35">
      <c r="A42" s="120">
        <v>45157</v>
      </c>
      <c r="B42" s="121" t="s">
        <v>46</v>
      </c>
      <c r="C42" s="121" t="s">
        <v>49</v>
      </c>
      <c r="D42" s="121" t="s">
        <v>54</v>
      </c>
      <c r="E42" s="121" t="s">
        <v>69</v>
      </c>
      <c r="F42" s="121" t="s">
        <v>45</v>
      </c>
      <c r="G42" s="121" t="s">
        <v>236</v>
      </c>
      <c r="H42" s="121" t="s">
        <v>233</v>
      </c>
      <c r="I42" s="122">
        <v>1761.5</v>
      </c>
      <c r="J42" s="122">
        <v>316.70870400000001</v>
      </c>
      <c r="K42" s="122">
        <v>272.39690721649487</v>
      </c>
      <c r="L42" s="122">
        <v>48.975572783505157</v>
      </c>
      <c r="M42" s="123">
        <v>6.4666666666666668</v>
      </c>
      <c r="N42" s="123">
        <v>100.7</v>
      </c>
      <c r="O42" s="123">
        <v>0</v>
      </c>
    </row>
    <row r="43" spans="1:15" x14ac:dyDescent="0.35">
      <c r="A43" s="120">
        <v>45159</v>
      </c>
      <c r="B43" s="121" t="s">
        <v>42</v>
      </c>
      <c r="C43" s="121" t="s">
        <v>51</v>
      </c>
      <c r="D43" s="121" t="s">
        <v>54</v>
      </c>
      <c r="E43" s="121" t="s">
        <v>166</v>
      </c>
      <c r="F43" s="121" t="s">
        <v>45</v>
      </c>
      <c r="G43" s="121" t="s">
        <v>241</v>
      </c>
      <c r="H43" s="121" t="s">
        <v>233</v>
      </c>
      <c r="I43" s="122">
        <v>910</v>
      </c>
      <c r="J43" s="122">
        <v>148.91608400000001</v>
      </c>
      <c r="K43" s="122">
        <v>190.2439024390244</v>
      </c>
      <c r="L43" s="122">
        <v>31.132282369337982</v>
      </c>
      <c r="M43" s="123">
        <v>4.7833333333333332</v>
      </c>
      <c r="N43" s="123">
        <v>95.1</v>
      </c>
      <c r="O43" s="123">
        <v>0</v>
      </c>
    </row>
    <row r="44" spans="1:15" x14ac:dyDescent="0.35">
      <c r="A44" s="120">
        <v>45160</v>
      </c>
      <c r="B44" s="121" t="s">
        <v>42</v>
      </c>
      <c r="C44" s="121" t="s">
        <v>52</v>
      </c>
      <c r="D44" s="121" t="s">
        <v>54</v>
      </c>
      <c r="E44" s="121" t="s">
        <v>166</v>
      </c>
      <c r="F44" s="121" t="s">
        <v>55</v>
      </c>
      <c r="G44" s="121" t="s">
        <v>241</v>
      </c>
      <c r="H44" s="121" t="s">
        <v>233</v>
      </c>
      <c r="I44" s="122">
        <v>942</v>
      </c>
      <c r="J44" s="122">
        <v>169.04360800000001</v>
      </c>
      <c r="K44" s="122">
        <v>169.22155688622755</v>
      </c>
      <c r="L44" s="122">
        <v>30.367115209580842</v>
      </c>
      <c r="M44" s="123">
        <v>5.5666666666666664</v>
      </c>
      <c r="N44" s="123">
        <v>91.4</v>
      </c>
      <c r="O44" s="123">
        <v>1.4E-2</v>
      </c>
    </row>
    <row r="45" spans="1:15" x14ac:dyDescent="0.35">
      <c r="A45" s="120">
        <v>45160</v>
      </c>
      <c r="B45" s="121" t="s">
        <v>46</v>
      </c>
      <c r="C45" s="121" t="s">
        <v>52</v>
      </c>
      <c r="D45" s="121" t="s">
        <v>54</v>
      </c>
      <c r="E45" s="121" t="s">
        <v>166</v>
      </c>
      <c r="F45" s="121" t="s">
        <v>55</v>
      </c>
      <c r="G45" s="121" t="s">
        <v>241</v>
      </c>
      <c r="H45" s="121" t="s">
        <v>233</v>
      </c>
      <c r="I45" s="122">
        <v>405</v>
      </c>
      <c r="J45" s="122">
        <v>65.265259999999998</v>
      </c>
      <c r="K45" s="122">
        <v>102.53164556962025</v>
      </c>
      <c r="L45" s="122">
        <v>16.522850632911393</v>
      </c>
      <c r="M45" s="123">
        <v>3.95</v>
      </c>
      <c r="N45" s="123">
        <v>91.4</v>
      </c>
      <c r="O45" s="123">
        <v>1.4E-2</v>
      </c>
    </row>
    <row r="46" spans="1:15" x14ac:dyDescent="0.35">
      <c r="A46" s="120">
        <v>45161</v>
      </c>
      <c r="B46" s="121" t="s">
        <v>42</v>
      </c>
      <c r="C46" s="121" t="s">
        <v>44</v>
      </c>
      <c r="D46" s="121" t="s">
        <v>54</v>
      </c>
      <c r="E46" s="121" t="s">
        <v>166</v>
      </c>
      <c r="F46" s="121" t="s">
        <v>55</v>
      </c>
      <c r="G46" s="121" t="s">
        <v>241</v>
      </c>
      <c r="H46" s="121" t="s">
        <v>233</v>
      </c>
      <c r="I46" s="122">
        <v>524</v>
      </c>
      <c r="J46" s="122">
        <v>82.299660000000003</v>
      </c>
      <c r="K46" s="122">
        <v>151.88405797101447</v>
      </c>
      <c r="L46" s="122">
        <v>23.854973913043477</v>
      </c>
      <c r="M46" s="123">
        <v>3.45</v>
      </c>
      <c r="N46" s="123">
        <v>98.8</v>
      </c>
      <c r="O46" s="123">
        <v>0</v>
      </c>
    </row>
    <row r="47" spans="1:15" x14ac:dyDescent="0.35">
      <c r="A47" s="120">
        <v>45161</v>
      </c>
      <c r="B47" s="121" t="s">
        <v>46</v>
      </c>
      <c r="C47" s="121" t="s">
        <v>44</v>
      </c>
      <c r="D47" s="121" t="s">
        <v>54</v>
      </c>
      <c r="E47" s="121" t="s">
        <v>166</v>
      </c>
      <c r="F47" s="121" t="s">
        <v>55</v>
      </c>
      <c r="G47" s="121" t="s">
        <v>241</v>
      </c>
      <c r="H47" s="121" t="s">
        <v>233</v>
      </c>
      <c r="I47" s="122">
        <v>857.5</v>
      </c>
      <c r="J47" s="122">
        <v>151.97421999999997</v>
      </c>
      <c r="K47" s="122">
        <v>241.5492957746479</v>
      </c>
      <c r="L47" s="122">
        <v>42.809639436619712</v>
      </c>
      <c r="M47" s="123">
        <v>3.55</v>
      </c>
      <c r="N47" s="123">
        <v>98.8</v>
      </c>
      <c r="O47" s="123">
        <v>0</v>
      </c>
    </row>
    <row r="48" spans="1:15" x14ac:dyDescent="0.35">
      <c r="A48" s="120">
        <v>45163</v>
      </c>
      <c r="B48" s="121" t="s">
        <v>46</v>
      </c>
      <c r="C48" s="121" t="s">
        <v>48</v>
      </c>
      <c r="D48" s="121" t="s">
        <v>54</v>
      </c>
      <c r="E48" s="121" t="s">
        <v>69</v>
      </c>
      <c r="F48" s="121" t="s">
        <v>45</v>
      </c>
      <c r="G48" s="121" t="s">
        <v>234</v>
      </c>
      <c r="H48" s="121" t="s">
        <v>233</v>
      </c>
      <c r="I48" s="122">
        <v>1320.5</v>
      </c>
      <c r="J48" s="122">
        <v>225.458944</v>
      </c>
      <c r="K48" s="122">
        <v>255.58064516129031</v>
      </c>
      <c r="L48" s="122">
        <v>43.637214967741933</v>
      </c>
      <c r="M48" s="123">
        <v>5.166666666666667</v>
      </c>
      <c r="N48" s="123">
        <v>98.7</v>
      </c>
      <c r="O48" s="123">
        <v>0</v>
      </c>
    </row>
    <row r="49" spans="1:15" x14ac:dyDescent="0.35">
      <c r="A49" s="120">
        <v>45164</v>
      </c>
      <c r="B49" s="121" t="s">
        <v>42</v>
      </c>
      <c r="C49" s="121" t="s">
        <v>49</v>
      </c>
      <c r="D49" s="121" t="s">
        <v>54</v>
      </c>
      <c r="E49" s="121" t="s">
        <v>69</v>
      </c>
      <c r="F49" s="121" t="s">
        <v>55</v>
      </c>
      <c r="G49" s="121" t="s">
        <v>234</v>
      </c>
      <c r="H49" s="121" t="s">
        <v>233</v>
      </c>
      <c r="I49" s="122">
        <v>510</v>
      </c>
      <c r="J49" s="122">
        <v>90.991011999999998</v>
      </c>
      <c r="K49" s="122">
        <v>111.27272727272728</v>
      </c>
      <c r="L49" s="122">
        <v>19.852584436363639</v>
      </c>
      <c r="M49" s="123">
        <v>4.583333333333333</v>
      </c>
      <c r="N49" s="123">
        <v>101.4</v>
      </c>
      <c r="O49" s="123">
        <v>0</v>
      </c>
    </row>
    <row r="50" spans="1:15" x14ac:dyDescent="0.35">
      <c r="A50" s="120">
        <v>45164</v>
      </c>
      <c r="B50" s="121" t="s">
        <v>46</v>
      </c>
      <c r="C50" s="121" t="s">
        <v>49</v>
      </c>
      <c r="D50" s="121" t="s">
        <v>54</v>
      </c>
      <c r="E50" s="121" t="s">
        <v>69</v>
      </c>
      <c r="F50" s="121" t="s">
        <v>55</v>
      </c>
      <c r="G50" s="121" t="s">
        <v>234</v>
      </c>
      <c r="H50" s="121" t="s">
        <v>233</v>
      </c>
      <c r="I50" s="122">
        <v>1345.5</v>
      </c>
      <c r="J50" s="122">
        <v>232.13966000000002</v>
      </c>
      <c r="K50" s="122">
        <v>270</v>
      </c>
      <c r="L50" s="122">
        <v>46.583209364548502</v>
      </c>
      <c r="M50" s="123">
        <v>4.9833333333333334</v>
      </c>
      <c r="N50" s="123">
        <v>101.4</v>
      </c>
      <c r="O50" s="123">
        <v>0</v>
      </c>
    </row>
    <row r="51" spans="1:15" x14ac:dyDescent="0.35">
      <c r="A51" s="120">
        <v>45165</v>
      </c>
      <c r="B51" s="121" t="s">
        <v>42</v>
      </c>
      <c r="C51" s="121" t="s">
        <v>50</v>
      </c>
      <c r="D51" s="121" t="s">
        <v>54</v>
      </c>
      <c r="E51" s="121" t="s">
        <v>69</v>
      </c>
      <c r="F51" s="121" t="s">
        <v>55</v>
      </c>
      <c r="G51" s="121" t="s">
        <v>234</v>
      </c>
      <c r="H51" s="121" t="s">
        <v>233</v>
      </c>
      <c r="I51" s="122">
        <v>1029.75</v>
      </c>
      <c r="J51" s="122">
        <v>167.970966</v>
      </c>
      <c r="K51" s="122">
        <v>253.73716632443529</v>
      </c>
      <c r="L51" s="122">
        <v>41.389149733059547</v>
      </c>
      <c r="M51" s="123">
        <v>4.0583333333333336</v>
      </c>
      <c r="N51" s="123">
        <v>105.9</v>
      </c>
      <c r="O51" s="123">
        <v>1E-3</v>
      </c>
    </row>
    <row r="52" spans="1:15" x14ac:dyDescent="0.35">
      <c r="A52" s="120">
        <v>45165</v>
      </c>
      <c r="B52" s="121" t="s">
        <v>46</v>
      </c>
      <c r="C52" s="121" t="s">
        <v>50</v>
      </c>
      <c r="D52" s="121" t="s">
        <v>54</v>
      </c>
      <c r="E52" s="121" t="s">
        <v>69</v>
      </c>
      <c r="F52" s="121" t="s">
        <v>55</v>
      </c>
      <c r="G52" s="121" t="s">
        <v>234</v>
      </c>
      <c r="H52" s="121" t="s">
        <v>233</v>
      </c>
      <c r="I52" s="122">
        <v>1029.75</v>
      </c>
      <c r="J52" s="122">
        <v>156.953216</v>
      </c>
      <c r="K52" s="122">
        <v>254.25925925925927</v>
      </c>
      <c r="L52" s="122">
        <v>38.753880493827161</v>
      </c>
      <c r="M52" s="123">
        <v>4.05</v>
      </c>
      <c r="N52" s="123">
        <v>105.9</v>
      </c>
      <c r="O52" s="123">
        <v>1E-3</v>
      </c>
    </row>
    <row r="53" spans="1:15" x14ac:dyDescent="0.35">
      <c r="A53" s="120">
        <v>45166</v>
      </c>
      <c r="B53" s="121" t="s">
        <v>42</v>
      </c>
      <c r="C53" s="121" t="s">
        <v>51</v>
      </c>
      <c r="D53" s="121" t="s">
        <v>54</v>
      </c>
      <c r="E53" s="121" t="s">
        <v>166</v>
      </c>
      <c r="F53" s="121" t="s">
        <v>55</v>
      </c>
      <c r="G53" s="121" t="s">
        <v>234</v>
      </c>
      <c r="H53" s="121" t="s">
        <v>233</v>
      </c>
      <c r="I53" s="122">
        <v>281</v>
      </c>
      <c r="J53" s="122">
        <v>52.754260000000002</v>
      </c>
      <c r="K53" s="122">
        <v>94.189944134078203</v>
      </c>
      <c r="L53" s="122">
        <v>17.682992178770949</v>
      </c>
      <c r="M53" s="123">
        <v>2.9833333333333334</v>
      </c>
      <c r="N53" s="123">
        <v>95.2</v>
      </c>
      <c r="O53" s="123">
        <v>0</v>
      </c>
    </row>
    <row r="54" spans="1:15" x14ac:dyDescent="0.35">
      <c r="A54" s="120">
        <v>45166</v>
      </c>
      <c r="B54" s="121" t="s">
        <v>46</v>
      </c>
      <c r="C54" s="121" t="s">
        <v>51</v>
      </c>
      <c r="D54" s="121" t="s">
        <v>54</v>
      </c>
      <c r="E54" s="121" t="s">
        <v>166</v>
      </c>
      <c r="F54" s="121" t="s">
        <v>55</v>
      </c>
      <c r="G54" s="121" t="s">
        <v>234</v>
      </c>
      <c r="H54" s="121" t="s">
        <v>233</v>
      </c>
      <c r="I54" s="122">
        <v>131</v>
      </c>
      <c r="J54" s="122">
        <v>25.844839999999998</v>
      </c>
      <c r="K54" s="122">
        <v>52.4</v>
      </c>
      <c r="L54" s="122">
        <v>10.337935999999999</v>
      </c>
      <c r="M54" s="123">
        <v>2.5</v>
      </c>
      <c r="N54" s="123">
        <v>95.2</v>
      </c>
      <c r="O54" s="123">
        <v>0</v>
      </c>
    </row>
    <row r="55" spans="1:15" x14ac:dyDescent="0.35">
      <c r="A55" s="120">
        <v>45168</v>
      </c>
      <c r="B55" s="121" t="s">
        <v>42</v>
      </c>
      <c r="C55" s="121" t="s">
        <v>44</v>
      </c>
      <c r="D55" s="121" t="s">
        <v>54</v>
      </c>
      <c r="E55" s="121" t="s">
        <v>166</v>
      </c>
      <c r="F55" s="121" t="s">
        <v>55</v>
      </c>
      <c r="G55" s="121" t="s">
        <v>234</v>
      </c>
      <c r="H55" s="121" t="s">
        <v>233</v>
      </c>
      <c r="I55" s="122">
        <v>787</v>
      </c>
      <c r="J55" s="122">
        <v>114.16381999999999</v>
      </c>
      <c r="K55" s="122">
        <v>221.69014084507043</v>
      </c>
      <c r="L55" s="122">
        <v>32.158822535211264</v>
      </c>
      <c r="M55" s="123">
        <v>3.55</v>
      </c>
      <c r="N55" s="123">
        <v>96.1</v>
      </c>
      <c r="O55" s="123">
        <v>0</v>
      </c>
    </row>
    <row r="56" spans="1:15" x14ac:dyDescent="0.35">
      <c r="A56" s="120">
        <v>45168</v>
      </c>
      <c r="B56" s="121" t="s">
        <v>46</v>
      </c>
      <c r="C56" s="121" t="s">
        <v>44</v>
      </c>
      <c r="D56" s="121" t="s">
        <v>54</v>
      </c>
      <c r="E56" s="121" t="s">
        <v>166</v>
      </c>
      <c r="F56" s="121" t="s">
        <v>55</v>
      </c>
      <c r="G56" s="121" t="s">
        <v>234</v>
      </c>
      <c r="H56" s="121" t="s">
        <v>233</v>
      </c>
      <c r="I56" s="122">
        <v>954.5</v>
      </c>
      <c r="J56" s="122">
        <v>126.29014799999999</v>
      </c>
      <c r="K56" s="122">
        <v>214.49438202247191</v>
      </c>
      <c r="L56" s="122">
        <v>28.37980853932584</v>
      </c>
      <c r="M56" s="123">
        <v>4.45</v>
      </c>
      <c r="N56" s="123">
        <v>96.1</v>
      </c>
      <c r="O56" s="123">
        <v>0</v>
      </c>
    </row>
    <row r="57" spans="1:15" x14ac:dyDescent="0.35">
      <c r="A57" s="120">
        <v>45171</v>
      </c>
      <c r="B57" s="121" t="s">
        <v>46</v>
      </c>
      <c r="C57" s="121" t="s">
        <v>49</v>
      </c>
      <c r="D57" s="121" t="s">
        <v>56</v>
      </c>
      <c r="E57" s="121" t="s">
        <v>69</v>
      </c>
      <c r="F57" s="121" t="s">
        <v>45</v>
      </c>
      <c r="G57" s="121" t="s">
        <v>242</v>
      </c>
      <c r="H57" s="121" t="s">
        <v>233</v>
      </c>
      <c r="I57" s="122">
        <v>1714</v>
      </c>
      <c r="J57" s="122">
        <v>318.34183999999999</v>
      </c>
      <c r="K57" s="122">
        <v>231.62162162162161</v>
      </c>
      <c r="L57" s="122">
        <v>43.019167567567564</v>
      </c>
      <c r="M57" s="123">
        <v>7.4</v>
      </c>
      <c r="N57" s="123">
        <v>96.8</v>
      </c>
      <c r="O57" s="123">
        <v>0</v>
      </c>
    </row>
    <row r="58" spans="1:15" x14ac:dyDescent="0.35">
      <c r="A58" s="120">
        <v>45172</v>
      </c>
      <c r="B58" s="121" t="s">
        <v>46</v>
      </c>
      <c r="C58" s="121" t="s">
        <v>50</v>
      </c>
      <c r="D58" s="121" t="s">
        <v>56</v>
      </c>
      <c r="E58" s="121" t="s">
        <v>69</v>
      </c>
      <c r="F58" s="121" t="s">
        <v>45</v>
      </c>
      <c r="G58" s="121" t="s">
        <v>242</v>
      </c>
      <c r="H58" s="121" t="s">
        <v>233</v>
      </c>
      <c r="I58" s="122">
        <v>1227.5</v>
      </c>
      <c r="J58" s="122">
        <v>192.6677</v>
      </c>
      <c r="K58" s="122">
        <v>233.8095238095238</v>
      </c>
      <c r="L58" s="122">
        <v>36.698609523809523</v>
      </c>
      <c r="M58" s="123">
        <v>5.25</v>
      </c>
      <c r="N58" s="123">
        <v>95.8</v>
      </c>
      <c r="O58" s="123">
        <v>0</v>
      </c>
    </row>
    <row r="59" spans="1:15" x14ac:dyDescent="0.35">
      <c r="A59" s="120">
        <v>45173</v>
      </c>
      <c r="B59" s="121" t="s">
        <v>46</v>
      </c>
      <c r="C59" s="121" t="s">
        <v>51</v>
      </c>
      <c r="D59" s="121" t="s">
        <v>56</v>
      </c>
      <c r="E59" s="121" t="s">
        <v>166</v>
      </c>
      <c r="F59" s="121" t="s">
        <v>45</v>
      </c>
      <c r="G59" s="121" t="s">
        <v>234</v>
      </c>
      <c r="H59" s="121" t="s">
        <v>233</v>
      </c>
      <c r="I59" s="122">
        <v>1301.5</v>
      </c>
      <c r="J59" s="122">
        <v>195.94261600000002</v>
      </c>
      <c r="K59" s="122">
        <v>219.35393258426964</v>
      </c>
      <c r="L59" s="122">
        <v>33.024036404494382</v>
      </c>
      <c r="M59" s="123">
        <v>5.9333333333333336</v>
      </c>
      <c r="N59" s="123">
        <v>92.5</v>
      </c>
      <c r="O59" s="123">
        <v>4.4999999999999998E-2</v>
      </c>
    </row>
    <row r="60" spans="1:15" x14ac:dyDescent="0.35">
      <c r="A60" s="120">
        <v>45174</v>
      </c>
      <c r="B60" s="121" t="s">
        <v>46</v>
      </c>
      <c r="C60" s="121" t="s">
        <v>52</v>
      </c>
      <c r="D60" s="121" t="s">
        <v>56</v>
      </c>
      <c r="E60" s="121" t="s">
        <v>166</v>
      </c>
      <c r="F60" s="121" t="s">
        <v>45</v>
      </c>
      <c r="G60" s="121" t="s">
        <v>234</v>
      </c>
      <c r="H60" s="121" t="s">
        <v>233</v>
      </c>
      <c r="I60" s="122">
        <v>950</v>
      </c>
      <c r="J60" s="122">
        <v>149.30824799999999</v>
      </c>
      <c r="K60" s="122">
        <v>155.73770491803279</v>
      </c>
      <c r="L60" s="122">
        <v>24.476761967213115</v>
      </c>
      <c r="M60" s="123">
        <v>6.1</v>
      </c>
      <c r="N60" s="123">
        <v>95.8</v>
      </c>
      <c r="O60" s="123">
        <v>6.0000000000000001E-3</v>
      </c>
    </row>
    <row r="61" spans="1:15" x14ac:dyDescent="0.35">
      <c r="A61" s="120">
        <v>45175</v>
      </c>
      <c r="B61" s="121" t="s">
        <v>42</v>
      </c>
      <c r="C61" s="121" t="s">
        <v>44</v>
      </c>
      <c r="D61" s="121" t="s">
        <v>56</v>
      </c>
      <c r="E61" s="121" t="s">
        <v>166</v>
      </c>
      <c r="F61" s="121" t="s">
        <v>45</v>
      </c>
      <c r="G61" s="121" t="s">
        <v>234</v>
      </c>
      <c r="H61" s="121" t="s">
        <v>233</v>
      </c>
      <c r="I61" s="122">
        <v>223</v>
      </c>
      <c r="J61" s="122">
        <v>42.626280000000001</v>
      </c>
      <c r="K61" s="122">
        <v>83.625</v>
      </c>
      <c r="L61" s="122">
        <v>15.984855000000001</v>
      </c>
      <c r="M61" s="123">
        <v>2.6666666666666665</v>
      </c>
      <c r="N61" s="123">
        <v>98.6</v>
      </c>
      <c r="O61" s="123">
        <v>0</v>
      </c>
    </row>
    <row r="62" spans="1:15" x14ac:dyDescent="0.35">
      <c r="A62" s="120">
        <v>45177</v>
      </c>
      <c r="B62" s="121" t="s">
        <v>46</v>
      </c>
      <c r="C62" s="121" t="s">
        <v>48</v>
      </c>
      <c r="D62" s="121" t="s">
        <v>56</v>
      </c>
      <c r="E62" s="121" t="s">
        <v>69</v>
      </c>
      <c r="F62" s="121" t="s">
        <v>45</v>
      </c>
      <c r="G62" s="121" t="s">
        <v>243</v>
      </c>
      <c r="H62" s="121" t="s">
        <v>233</v>
      </c>
      <c r="I62" s="122">
        <v>1417</v>
      </c>
      <c r="J62" s="122">
        <v>220.24354</v>
      </c>
      <c r="K62" s="122">
        <v>249.32551319648093</v>
      </c>
      <c r="L62" s="122">
        <v>38.75252903225806</v>
      </c>
      <c r="M62" s="123">
        <v>5.6833333333333336</v>
      </c>
      <c r="N62" s="123">
        <v>101.6</v>
      </c>
      <c r="O62" s="123">
        <v>0</v>
      </c>
    </row>
    <row r="63" spans="1:15" x14ac:dyDescent="0.35">
      <c r="A63" s="120">
        <v>45178</v>
      </c>
      <c r="B63" s="121" t="s">
        <v>42</v>
      </c>
      <c r="C63" s="121" t="s">
        <v>49</v>
      </c>
      <c r="D63" s="121" t="s">
        <v>56</v>
      </c>
      <c r="E63" s="121" t="s">
        <v>69</v>
      </c>
      <c r="F63" s="121" t="s">
        <v>45</v>
      </c>
      <c r="G63" s="121" t="s">
        <v>243</v>
      </c>
      <c r="H63" s="121" t="s">
        <v>233</v>
      </c>
      <c r="I63" s="122">
        <v>589</v>
      </c>
      <c r="J63" s="122">
        <v>106.108092</v>
      </c>
      <c r="K63" s="122">
        <v>126.66666666666666</v>
      </c>
      <c r="L63" s="122">
        <v>22.818944516129029</v>
      </c>
      <c r="M63" s="123">
        <v>4.6500000000000004</v>
      </c>
      <c r="N63" s="123">
        <v>95.1</v>
      </c>
      <c r="O63" s="123">
        <v>7.6999999999999999E-2</v>
      </c>
    </row>
    <row r="64" spans="1:15" x14ac:dyDescent="0.35">
      <c r="A64" s="120">
        <v>45179</v>
      </c>
      <c r="B64" s="121" t="s">
        <v>42</v>
      </c>
      <c r="C64" s="121" t="s">
        <v>50</v>
      </c>
      <c r="D64" s="121" t="s">
        <v>56</v>
      </c>
      <c r="E64" s="121" t="s">
        <v>69</v>
      </c>
      <c r="F64" s="121" t="s">
        <v>55</v>
      </c>
      <c r="G64" s="121" t="s">
        <v>243</v>
      </c>
      <c r="H64" s="121" t="s">
        <v>233</v>
      </c>
      <c r="I64" s="122">
        <v>819.25</v>
      </c>
      <c r="J64" s="122">
        <v>123.7079</v>
      </c>
      <c r="K64" s="122">
        <v>196.61999999999998</v>
      </c>
      <c r="L64" s="122">
        <v>29.689895999999997</v>
      </c>
      <c r="M64" s="123">
        <v>4.166666666666667</v>
      </c>
      <c r="N64" s="123">
        <v>93.4</v>
      </c>
      <c r="O64" s="123">
        <v>0</v>
      </c>
    </row>
    <row r="65" spans="1:15" x14ac:dyDescent="0.35">
      <c r="A65" s="120">
        <v>45179</v>
      </c>
      <c r="B65" s="121" t="s">
        <v>46</v>
      </c>
      <c r="C65" s="121" t="s">
        <v>50</v>
      </c>
      <c r="D65" s="121" t="s">
        <v>56</v>
      </c>
      <c r="E65" s="121" t="s">
        <v>69</v>
      </c>
      <c r="F65" s="121" t="s">
        <v>55</v>
      </c>
      <c r="G65" s="121" t="s">
        <v>243</v>
      </c>
      <c r="H65" s="121" t="s">
        <v>233</v>
      </c>
      <c r="I65" s="122">
        <v>819.25</v>
      </c>
      <c r="J65" s="122">
        <v>123.7079</v>
      </c>
      <c r="K65" s="122">
        <v>196.61999999999998</v>
      </c>
      <c r="L65" s="122">
        <v>29.689895999999997</v>
      </c>
      <c r="M65" s="123">
        <v>4.166666666666667</v>
      </c>
      <c r="N65" s="123">
        <v>93.4</v>
      </c>
      <c r="O65" s="123">
        <v>0</v>
      </c>
    </row>
    <row r="66" spans="1:15" x14ac:dyDescent="0.35">
      <c r="A66" s="120">
        <v>45180</v>
      </c>
      <c r="B66" s="121" t="s">
        <v>42</v>
      </c>
      <c r="C66" s="121" t="s">
        <v>51</v>
      </c>
      <c r="D66" s="121" t="s">
        <v>56</v>
      </c>
      <c r="E66" s="121" t="s">
        <v>166</v>
      </c>
      <c r="F66" s="121" t="s">
        <v>55</v>
      </c>
      <c r="G66" s="121" t="s">
        <v>244</v>
      </c>
      <c r="H66" s="121" t="s">
        <v>233</v>
      </c>
      <c r="I66" s="122">
        <v>349</v>
      </c>
      <c r="J66" s="122">
        <v>68.743099999999998</v>
      </c>
      <c r="K66" s="122">
        <v>104.17910447761194</v>
      </c>
      <c r="L66" s="122">
        <v>20.520328358208953</v>
      </c>
      <c r="M66" s="123">
        <v>3.35</v>
      </c>
      <c r="N66" s="123">
        <v>94.1</v>
      </c>
      <c r="O66" s="123">
        <v>0</v>
      </c>
    </row>
    <row r="67" spans="1:15" x14ac:dyDescent="0.35">
      <c r="A67" s="120">
        <v>45180</v>
      </c>
      <c r="B67" s="121" t="s">
        <v>46</v>
      </c>
      <c r="C67" s="121" t="s">
        <v>51</v>
      </c>
      <c r="D67" s="121" t="s">
        <v>56</v>
      </c>
      <c r="E67" s="121" t="s">
        <v>166</v>
      </c>
      <c r="F67" s="121" t="s">
        <v>55</v>
      </c>
      <c r="G67" s="121" t="s">
        <v>244</v>
      </c>
      <c r="H67" s="121" t="s">
        <v>233</v>
      </c>
      <c r="I67" s="122">
        <v>430</v>
      </c>
      <c r="J67" s="122">
        <v>76.038240000000002</v>
      </c>
      <c r="K67" s="122">
        <v>117.27272727272728</v>
      </c>
      <c r="L67" s="122">
        <v>20.737701818181819</v>
      </c>
      <c r="M67" s="123">
        <v>3.6666666666666665</v>
      </c>
      <c r="N67" s="123">
        <v>94.1</v>
      </c>
      <c r="O67" s="123">
        <v>0</v>
      </c>
    </row>
    <row r="68" spans="1:15" x14ac:dyDescent="0.35">
      <c r="A68" s="120">
        <v>45182</v>
      </c>
      <c r="B68" s="121" t="s">
        <v>42</v>
      </c>
      <c r="C68" s="121" t="s">
        <v>44</v>
      </c>
      <c r="D68" s="121" t="s">
        <v>56</v>
      </c>
      <c r="E68" s="121" t="s">
        <v>166</v>
      </c>
      <c r="F68" s="121" t="s">
        <v>45</v>
      </c>
      <c r="G68" s="121" t="s">
        <v>244</v>
      </c>
      <c r="H68" s="121" t="s">
        <v>233</v>
      </c>
      <c r="I68" s="122">
        <v>731</v>
      </c>
      <c r="J68" s="122">
        <v>108.471272</v>
      </c>
      <c r="K68" s="122">
        <v>164.88721804511277</v>
      </c>
      <c r="L68" s="122">
        <v>24.467204210526315</v>
      </c>
      <c r="M68" s="123">
        <v>4.4333333333333336</v>
      </c>
      <c r="N68" s="123">
        <v>93.3</v>
      </c>
      <c r="O68" s="123">
        <v>4.0000000000000001E-3</v>
      </c>
    </row>
    <row r="69" spans="1:15" x14ac:dyDescent="0.35">
      <c r="A69" s="120">
        <v>45184</v>
      </c>
      <c r="B69" s="121" t="s">
        <v>42</v>
      </c>
      <c r="C69" s="121" t="s">
        <v>48</v>
      </c>
      <c r="D69" s="121" t="s">
        <v>56</v>
      </c>
      <c r="E69" s="121" t="s">
        <v>166</v>
      </c>
      <c r="F69" s="121" t="s">
        <v>55</v>
      </c>
      <c r="G69" s="121" t="s">
        <v>234</v>
      </c>
      <c r="H69" s="121" t="s">
        <v>233</v>
      </c>
      <c r="I69" s="122">
        <v>649.5</v>
      </c>
      <c r="J69" s="122">
        <v>109.82080000000001</v>
      </c>
      <c r="K69" s="122">
        <v>178.76146788990826</v>
      </c>
      <c r="L69" s="122">
        <v>30.225908256880736</v>
      </c>
      <c r="M69" s="123">
        <v>3.6333333333333333</v>
      </c>
      <c r="N69" s="123">
        <v>91.4</v>
      </c>
      <c r="O69" s="123">
        <v>0.27600000000000002</v>
      </c>
    </row>
    <row r="70" spans="1:15" x14ac:dyDescent="0.35">
      <c r="A70" s="120">
        <v>45184</v>
      </c>
      <c r="B70" s="121" t="s">
        <v>46</v>
      </c>
      <c r="C70" s="121" t="s">
        <v>48</v>
      </c>
      <c r="D70" s="121" t="s">
        <v>56</v>
      </c>
      <c r="E70" s="121" t="s">
        <v>69</v>
      </c>
      <c r="F70" s="121" t="s">
        <v>55</v>
      </c>
      <c r="G70" s="121" t="s">
        <v>234</v>
      </c>
      <c r="H70" s="121" t="s">
        <v>233</v>
      </c>
      <c r="I70" s="122">
        <v>862.5</v>
      </c>
      <c r="J70" s="122">
        <v>129.09727599999999</v>
      </c>
      <c r="K70" s="122">
        <v>192.37918215613382</v>
      </c>
      <c r="L70" s="122">
        <v>28.794931449814126</v>
      </c>
      <c r="M70" s="123">
        <v>4.4833333333333334</v>
      </c>
      <c r="N70" s="123">
        <v>91.4</v>
      </c>
      <c r="O70" s="123">
        <v>0.27600000000000002</v>
      </c>
    </row>
    <row r="71" spans="1:15" x14ac:dyDescent="0.35">
      <c r="A71" s="120">
        <v>45185</v>
      </c>
      <c r="B71" s="121" t="s">
        <v>42</v>
      </c>
      <c r="C71" s="121" t="s">
        <v>49</v>
      </c>
      <c r="D71" s="121" t="s">
        <v>56</v>
      </c>
      <c r="E71" s="121" t="s">
        <v>69</v>
      </c>
      <c r="F71" s="121" t="s">
        <v>45</v>
      </c>
      <c r="G71" s="121" t="s">
        <v>234</v>
      </c>
      <c r="H71" s="121" t="s">
        <v>233</v>
      </c>
      <c r="I71" s="122">
        <v>1203</v>
      </c>
      <c r="J71" s="122">
        <v>201.58923199999998</v>
      </c>
      <c r="K71" s="122">
        <v>212.29411764705881</v>
      </c>
      <c r="L71" s="122">
        <v>35.574570352941173</v>
      </c>
      <c r="M71" s="123">
        <v>5.666666666666667</v>
      </c>
      <c r="N71" s="123">
        <v>90.3</v>
      </c>
      <c r="O71" s="123">
        <v>0.22</v>
      </c>
    </row>
    <row r="72" spans="1:15" x14ac:dyDescent="0.35">
      <c r="A72" s="120">
        <v>45186</v>
      </c>
      <c r="B72" s="121" t="s">
        <v>42</v>
      </c>
      <c r="C72" s="121" t="s">
        <v>50</v>
      </c>
      <c r="D72" s="121" t="s">
        <v>56</v>
      </c>
      <c r="E72" s="121" t="s">
        <v>69</v>
      </c>
      <c r="F72" s="121" t="s">
        <v>55</v>
      </c>
      <c r="G72" s="121" t="s">
        <v>234</v>
      </c>
      <c r="H72" s="121" t="s">
        <v>233</v>
      </c>
      <c r="I72" s="122">
        <v>1018</v>
      </c>
      <c r="J72" s="122">
        <v>161.95194000000001</v>
      </c>
      <c r="K72" s="122">
        <v>250.32786885245903</v>
      </c>
      <c r="L72" s="122">
        <v>39.824247540983613</v>
      </c>
      <c r="M72" s="123">
        <v>4.0666666666666664</v>
      </c>
      <c r="N72" s="123">
        <v>91.5</v>
      </c>
      <c r="O72" s="123">
        <v>1E-3</v>
      </c>
    </row>
    <row r="73" spans="1:15" x14ac:dyDescent="0.35">
      <c r="A73" s="120">
        <v>45186</v>
      </c>
      <c r="B73" s="121" t="s">
        <v>46</v>
      </c>
      <c r="C73" s="121" t="s">
        <v>50</v>
      </c>
      <c r="D73" s="121" t="s">
        <v>56</v>
      </c>
      <c r="E73" s="121" t="s">
        <v>69</v>
      </c>
      <c r="F73" s="121" t="s">
        <v>55</v>
      </c>
      <c r="G73" s="121" t="s">
        <v>234</v>
      </c>
      <c r="H73" s="121" t="s">
        <v>233</v>
      </c>
      <c r="I73" s="122">
        <v>1018</v>
      </c>
      <c r="J73" s="122">
        <v>159.67993999999999</v>
      </c>
      <c r="K73" s="122">
        <v>339.33333333333331</v>
      </c>
      <c r="L73" s="122">
        <v>53.22664666666666</v>
      </c>
      <c r="M73" s="123">
        <v>3</v>
      </c>
      <c r="N73" s="123">
        <v>91.5</v>
      </c>
      <c r="O73" s="123">
        <v>1E-3</v>
      </c>
    </row>
    <row r="74" spans="1:15" x14ac:dyDescent="0.35">
      <c r="A74" s="120">
        <v>45187</v>
      </c>
      <c r="B74" s="121" t="s">
        <v>42</v>
      </c>
      <c r="C74" s="121" t="s">
        <v>51</v>
      </c>
      <c r="D74" s="121" t="s">
        <v>56</v>
      </c>
      <c r="E74" s="121" t="s">
        <v>166</v>
      </c>
      <c r="F74" s="121" t="s">
        <v>55</v>
      </c>
      <c r="G74" s="121" t="s">
        <v>245</v>
      </c>
      <c r="H74" s="121" t="s">
        <v>233</v>
      </c>
      <c r="I74" s="122">
        <v>309</v>
      </c>
      <c r="J74" s="122">
        <v>58.22184</v>
      </c>
      <c r="K74" s="122">
        <v>82.767857142857139</v>
      </c>
      <c r="L74" s="122">
        <v>15.595135714285714</v>
      </c>
      <c r="M74" s="123">
        <v>3.7333333333333334</v>
      </c>
      <c r="N74" s="123">
        <v>92.2</v>
      </c>
      <c r="O74" s="123">
        <v>0</v>
      </c>
    </row>
    <row r="75" spans="1:15" x14ac:dyDescent="0.35">
      <c r="A75" s="120">
        <v>45187</v>
      </c>
      <c r="B75" s="121" t="s">
        <v>46</v>
      </c>
      <c r="C75" s="121" t="s">
        <v>51</v>
      </c>
      <c r="D75" s="121" t="s">
        <v>56</v>
      </c>
      <c r="E75" s="121" t="s">
        <v>166</v>
      </c>
      <c r="F75" s="121" t="s">
        <v>55</v>
      </c>
      <c r="G75" s="121" t="s">
        <v>245</v>
      </c>
      <c r="H75" s="121" t="s">
        <v>233</v>
      </c>
      <c r="I75" s="122">
        <v>498</v>
      </c>
      <c r="J75" s="122">
        <v>85.087944000000007</v>
      </c>
      <c r="K75" s="122">
        <v>121.46341463414635</v>
      </c>
      <c r="L75" s="122">
        <v>20.753157073170737</v>
      </c>
      <c r="M75" s="123">
        <v>4.0999999999999996</v>
      </c>
      <c r="N75" s="123">
        <v>92.2</v>
      </c>
      <c r="O75" s="123">
        <v>0</v>
      </c>
    </row>
    <row r="76" spans="1:15" x14ac:dyDescent="0.35">
      <c r="A76" s="120">
        <v>45192</v>
      </c>
      <c r="B76" s="121" t="s">
        <v>42</v>
      </c>
      <c r="C76" s="121" t="s">
        <v>49</v>
      </c>
      <c r="D76" s="121" t="s">
        <v>56</v>
      </c>
      <c r="E76" s="121" t="s">
        <v>69</v>
      </c>
      <c r="F76" s="121" t="s">
        <v>45</v>
      </c>
      <c r="G76" s="121" t="s">
        <v>246</v>
      </c>
      <c r="H76" s="121" t="s">
        <v>233</v>
      </c>
      <c r="I76" s="122">
        <v>933</v>
      </c>
      <c r="J76" s="122">
        <v>156.81897599999999</v>
      </c>
      <c r="K76" s="122">
        <v>164.64705882352939</v>
      </c>
      <c r="L76" s="122">
        <v>27.673936941176468</v>
      </c>
      <c r="M76" s="123">
        <v>5.666666666666667</v>
      </c>
      <c r="N76" s="123">
        <v>94</v>
      </c>
      <c r="O76" s="123">
        <v>0</v>
      </c>
    </row>
    <row r="77" spans="1:15" x14ac:dyDescent="0.35">
      <c r="A77" s="120">
        <v>45193</v>
      </c>
      <c r="B77" s="121" t="s">
        <v>42</v>
      </c>
      <c r="C77" s="121" t="s">
        <v>50</v>
      </c>
      <c r="D77" s="121" t="s">
        <v>56</v>
      </c>
      <c r="E77" s="121" t="s">
        <v>69</v>
      </c>
      <c r="F77" s="121" t="s">
        <v>55</v>
      </c>
      <c r="G77" s="121" t="s">
        <v>246</v>
      </c>
      <c r="H77" s="121" t="s">
        <v>233</v>
      </c>
      <c r="I77" s="122">
        <v>931</v>
      </c>
      <c r="J77" s="122">
        <v>187.39946</v>
      </c>
      <c r="K77" s="122">
        <v>231.78423236514524</v>
      </c>
      <c r="L77" s="122">
        <v>46.655467219917014</v>
      </c>
      <c r="M77" s="123">
        <v>4.0166666666666666</v>
      </c>
      <c r="N77" s="123">
        <v>95.1</v>
      </c>
      <c r="O77" s="123">
        <v>0</v>
      </c>
    </row>
    <row r="78" spans="1:15" x14ac:dyDescent="0.35">
      <c r="A78" s="120">
        <v>45193</v>
      </c>
      <c r="B78" s="121" t="s">
        <v>46</v>
      </c>
      <c r="C78" s="121" t="s">
        <v>50</v>
      </c>
      <c r="D78" s="121" t="s">
        <v>56</v>
      </c>
      <c r="E78" s="121" t="s">
        <v>69</v>
      </c>
      <c r="F78" s="121" t="s">
        <v>55</v>
      </c>
      <c r="G78" s="121" t="s">
        <v>246</v>
      </c>
      <c r="H78" s="121" t="s">
        <v>233</v>
      </c>
      <c r="I78" s="122">
        <v>931</v>
      </c>
      <c r="J78" s="122">
        <v>187.39946</v>
      </c>
      <c r="K78" s="122">
        <v>231.78423236514524</v>
      </c>
      <c r="L78" s="122">
        <v>46.655467219917014</v>
      </c>
      <c r="M78" s="123">
        <v>4.0166666666666666</v>
      </c>
      <c r="N78" s="123">
        <v>95.1</v>
      </c>
      <c r="O78" s="123">
        <v>0</v>
      </c>
    </row>
    <row r="79" spans="1:15" x14ac:dyDescent="0.35">
      <c r="A79" s="120">
        <v>45194</v>
      </c>
      <c r="B79" s="121" t="s">
        <v>46</v>
      </c>
      <c r="C79" s="121" t="s">
        <v>51</v>
      </c>
      <c r="D79" s="121" t="s">
        <v>56</v>
      </c>
      <c r="E79" s="121" t="s">
        <v>166</v>
      </c>
      <c r="F79" s="121" t="s">
        <v>45</v>
      </c>
      <c r="G79" s="121" t="s">
        <v>234</v>
      </c>
      <c r="H79" s="121" t="s">
        <v>233</v>
      </c>
      <c r="I79" s="122">
        <v>1011.5</v>
      </c>
      <c r="J79" s="122">
        <v>166.86658</v>
      </c>
      <c r="K79" s="122">
        <v>191.45110410094637</v>
      </c>
      <c r="L79" s="122">
        <v>31.583579810725553</v>
      </c>
      <c r="M79" s="123">
        <v>5.2833333333333332</v>
      </c>
      <c r="N79" s="123">
        <v>93.2</v>
      </c>
      <c r="O79" s="123">
        <v>0.90300000000000002</v>
      </c>
    </row>
    <row r="80" spans="1:15" x14ac:dyDescent="0.35">
      <c r="A80" s="120">
        <v>45196</v>
      </c>
      <c r="B80" s="121" t="s">
        <v>46</v>
      </c>
      <c r="C80" s="121" t="s">
        <v>44</v>
      </c>
      <c r="D80" s="121" t="s">
        <v>56</v>
      </c>
      <c r="E80" s="121" t="s">
        <v>166</v>
      </c>
      <c r="F80" s="121" t="s">
        <v>45</v>
      </c>
      <c r="G80" s="121" t="s">
        <v>234</v>
      </c>
      <c r="H80" s="121" t="s">
        <v>233</v>
      </c>
      <c r="I80" s="122">
        <v>648</v>
      </c>
      <c r="J80" s="122">
        <v>102.25415199999999</v>
      </c>
      <c r="K80" s="122">
        <v>136.90140845070422</v>
      </c>
      <c r="L80" s="122">
        <v>21.602989859154928</v>
      </c>
      <c r="M80" s="123">
        <v>4.7333333333333334</v>
      </c>
      <c r="N80" s="123">
        <v>91.5</v>
      </c>
      <c r="O80" s="123">
        <v>0</v>
      </c>
    </row>
    <row r="81" spans="1:15" x14ac:dyDescent="0.35">
      <c r="A81" s="120">
        <v>45198</v>
      </c>
      <c r="B81" s="121" t="s">
        <v>46</v>
      </c>
      <c r="C81" s="121" t="s">
        <v>48</v>
      </c>
      <c r="D81" s="121" t="s">
        <v>56</v>
      </c>
      <c r="E81" s="121" t="s">
        <v>69</v>
      </c>
      <c r="F81" s="121" t="s">
        <v>45</v>
      </c>
      <c r="G81" s="121" t="s">
        <v>234</v>
      </c>
      <c r="H81" s="121" t="s">
        <v>233</v>
      </c>
      <c r="I81" s="122">
        <v>848</v>
      </c>
      <c r="J81" s="122">
        <v>135.44354399999997</v>
      </c>
      <c r="K81" s="122">
        <v>162.03821656050954</v>
      </c>
      <c r="L81" s="122">
        <v>25.880931974522287</v>
      </c>
      <c r="M81" s="123">
        <v>5.2333333333333334</v>
      </c>
      <c r="N81" s="123">
        <v>89.7</v>
      </c>
      <c r="O81" s="123">
        <v>0</v>
      </c>
    </row>
    <row r="82" spans="1:15" x14ac:dyDescent="0.35">
      <c r="A82" s="120">
        <v>45199</v>
      </c>
      <c r="B82" s="121" t="s">
        <v>46</v>
      </c>
      <c r="C82" s="121" t="s">
        <v>49</v>
      </c>
      <c r="D82" s="121" t="s">
        <v>56</v>
      </c>
      <c r="E82" s="121" t="s">
        <v>69</v>
      </c>
      <c r="F82" s="121" t="s">
        <v>45</v>
      </c>
      <c r="G82" s="121" t="s">
        <v>234</v>
      </c>
      <c r="H82" s="121" t="s">
        <v>233</v>
      </c>
      <c r="I82" s="122">
        <v>1323</v>
      </c>
      <c r="J82" s="122">
        <v>169.007724</v>
      </c>
      <c r="K82" s="122">
        <v>121.19083969465649</v>
      </c>
      <c r="L82" s="122">
        <v>15.481623572519084</v>
      </c>
      <c r="M82" s="123">
        <v>10.916666666666666</v>
      </c>
      <c r="N82" s="123">
        <v>90.7</v>
      </c>
      <c r="O82" s="123">
        <v>0</v>
      </c>
    </row>
    <row r="83" spans="1:15" x14ac:dyDescent="0.35">
      <c r="A83" s="120">
        <v>45200</v>
      </c>
      <c r="B83" s="121" t="s">
        <v>42</v>
      </c>
      <c r="C83" s="121" t="s">
        <v>50</v>
      </c>
      <c r="D83" s="121" t="s">
        <v>57</v>
      </c>
      <c r="E83" s="121" t="s">
        <v>69</v>
      </c>
      <c r="F83" s="121" t="s">
        <v>55</v>
      </c>
      <c r="G83" s="121" t="s">
        <v>234</v>
      </c>
      <c r="H83" s="121" t="s">
        <v>233</v>
      </c>
      <c r="I83" s="122">
        <v>978.25</v>
      </c>
      <c r="J83" s="122">
        <v>200.75157999999999</v>
      </c>
      <c r="K83" s="122">
        <v>192.4426229508197</v>
      </c>
      <c r="L83" s="122">
        <v>39.492114098360659</v>
      </c>
      <c r="M83" s="123">
        <v>5.083333333333333</v>
      </c>
      <c r="N83" s="123">
        <v>91.4</v>
      </c>
      <c r="O83" s="123">
        <v>0</v>
      </c>
    </row>
    <row r="84" spans="1:15" x14ac:dyDescent="0.35">
      <c r="A84" s="120">
        <v>45200</v>
      </c>
      <c r="B84" s="121" t="s">
        <v>46</v>
      </c>
      <c r="C84" s="121" t="s">
        <v>50</v>
      </c>
      <c r="D84" s="121" t="s">
        <v>57</v>
      </c>
      <c r="E84" s="121" t="s">
        <v>69</v>
      </c>
      <c r="F84" s="121" t="s">
        <v>55</v>
      </c>
      <c r="G84" s="121" t="s">
        <v>234</v>
      </c>
      <c r="H84" s="121" t="s">
        <v>233</v>
      </c>
      <c r="I84" s="122">
        <v>978.25</v>
      </c>
      <c r="J84" s="122">
        <v>200.75157999999999</v>
      </c>
      <c r="K84" s="122">
        <v>192.4426229508197</v>
      </c>
      <c r="L84" s="122">
        <v>39.492114098360659</v>
      </c>
      <c r="M84" s="123">
        <v>5.083333333333333</v>
      </c>
      <c r="N84" s="123">
        <v>91.4</v>
      </c>
      <c r="O84" s="123">
        <v>0</v>
      </c>
    </row>
    <row r="85" spans="1:15" x14ac:dyDescent="0.35">
      <c r="A85" s="120">
        <v>45201</v>
      </c>
      <c r="B85" s="121" t="s">
        <v>46</v>
      </c>
      <c r="C85" s="121" t="s">
        <v>51</v>
      </c>
      <c r="D85" s="121" t="s">
        <v>57</v>
      </c>
      <c r="E85" s="121" t="s">
        <v>166</v>
      </c>
      <c r="F85" s="121" t="s">
        <v>45</v>
      </c>
      <c r="G85" s="121" t="s">
        <v>234</v>
      </c>
      <c r="H85" s="121" t="s">
        <v>233</v>
      </c>
      <c r="I85" s="122">
        <v>838.5</v>
      </c>
      <c r="J85" s="122">
        <v>140.81690399999999</v>
      </c>
      <c r="K85" s="122">
        <v>179.67857142857142</v>
      </c>
      <c r="L85" s="122">
        <v>30.175050857142853</v>
      </c>
      <c r="M85" s="123">
        <v>4.666666666666667</v>
      </c>
      <c r="N85" s="123">
        <v>89.7</v>
      </c>
      <c r="O85" s="123">
        <v>0</v>
      </c>
    </row>
    <row r="86" spans="1:15" x14ac:dyDescent="0.35">
      <c r="A86" s="120">
        <v>45203</v>
      </c>
      <c r="B86" s="121" t="s">
        <v>42</v>
      </c>
      <c r="C86" s="121" t="s">
        <v>44</v>
      </c>
      <c r="D86" s="121" t="s">
        <v>57</v>
      </c>
      <c r="E86" s="121" t="s">
        <v>166</v>
      </c>
      <c r="F86" s="121" t="s">
        <v>45</v>
      </c>
      <c r="G86" s="121" t="s">
        <v>234</v>
      </c>
      <c r="H86" s="121" t="s">
        <v>233</v>
      </c>
      <c r="I86" s="122">
        <v>350</v>
      </c>
      <c r="J86" s="122">
        <v>48.305231999999997</v>
      </c>
      <c r="K86" s="122">
        <v>75</v>
      </c>
      <c r="L86" s="122">
        <v>10.351121142857142</v>
      </c>
      <c r="M86" s="123">
        <v>4.666666666666667</v>
      </c>
      <c r="N86" s="123">
        <v>84.2</v>
      </c>
      <c r="O86" s="123">
        <v>0.35899999999999999</v>
      </c>
    </row>
    <row r="87" spans="1:15" x14ac:dyDescent="0.35">
      <c r="A87" s="120">
        <v>45206</v>
      </c>
      <c r="B87" s="121" t="s">
        <v>46</v>
      </c>
      <c r="C87" s="121" t="s">
        <v>49</v>
      </c>
      <c r="D87" s="121" t="s">
        <v>57</v>
      </c>
      <c r="E87" s="121" t="s">
        <v>69</v>
      </c>
      <c r="F87" s="121" t="s">
        <v>45</v>
      </c>
      <c r="G87" s="121" t="s">
        <v>234</v>
      </c>
      <c r="H87" s="121" t="s">
        <v>233</v>
      </c>
      <c r="I87" s="122">
        <v>892</v>
      </c>
      <c r="J87" s="122">
        <v>146.1317</v>
      </c>
      <c r="K87" s="122">
        <v>129.58837772397095</v>
      </c>
      <c r="L87" s="122">
        <v>21.229786924939464</v>
      </c>
      <c r="M87" s="123">
        <v>6.8833333333333337</v>
      </c>
      <c r="N87" s="123">
        <v>76.900000000000006</v>
      </c>
      <c r="O87" s="123">
        <v>0</v>
      </c>
    </row>
    <row r="88" spans="1:15" x14ac:dyDescent="0.35">
      <c r="A88" s="120">
        <v>45207</v>
      </c>
      <c r="B88" s="121" t="s">
        <v>46</v>
      </c>
      <c r="C88" s="121" t="s">
        <v>50</v>
      </c>
      <c r="D88" s="121" t="s">
        <v>57</v>
      </c>
      <c r="E88" s="121" t="s">
        <v>69</v>
      </c>
      <c r="F88" s="121" t="s">
        <v>45</v>
      </c>
      <c r="G88" s="121" t="s">
        <v>234</v>
      </c>
      <c r="H88" s="121" t="s">
        <v>233</v>
      </c>
      <c r="I88" s="122">
        <v>1409</v>
      </c>
      <c r="J88" s="122">
        <v>249.44045599999998</v>
      </c>
      <c r="K88" s="122">
        <v>237.47191011235955</v>
      </c>
      <c r="L88" s="122">
        <v>42.040526292134828</v>
      </c>
      <c r="M88" s="123">
        <v>5.9333333333333336</v>
      </c>
      <c r="N88" s="123">
        <v>73.400000000000006</v>
      </c>
      <c r="O88" s="123">
        <v>0</v>
      </c>
    </row>
    <row r="89" spans="1:15" x14ac:dyDescent="0.35">
      <c r="A89" s="120">
        <v>45208</v>
      </c>
      <c r="B89" s="121" t="s">
        <v>46</v>
      </c>
      <c r="C89" s="121" t="s">
        <v>51</v>
      </c>
      <c r="D89" s="121" t="s">
        <v>57</v>
      </c>
      <c r="E89" s="121" t="s">
        <v>166</v>
      </c>
      <c r="F89" s="121" t="s">
        <v>45</v>
      </c>
      <c r="G89" s="121" t="s">
        <v>234</v>
      </c>
      <c r="H89" s="121" t="s">
        <v>233</v>
      </c>
      <c r="I89" s="122">
        <v>1222.5</v>
      </c>
      <c r="J89" s="122">
        <v>231.20622</v>
      </c>
      <c r="K89" s="122">
        <v>196.64879356568363</v>
      </c>
      <c r="L89" s="122">
        <v>37.191349061662201</v>
      </c>
      <c r="M89" s="123">
        <v>6.2166666666666668</v>
      </c>
      <c r="N89" s="123">
        <v>80.7</v>
      </c>
      <c r="O89" s="123">
        <v>0</v>
      </c>
    </row>
    <row r="90" spans="1:15" x14ac:dyDescent="0.35">
      <c r="A90" s="120">
        <v>45209</v>
      </c>
      <c r="B90" s="121" t="s">
        <v>46</v>
      </c>
      <c r="C90" s="121" t="s">
        <v>52</v>
      </c>
      <c r="D90" s="121" t="s">
        <v>57</v>
      </c>
      <c r="E90" s="121" t="s">
        <v>166</v>
      </c>
      <c r="F90" s="121" t="s">
        <v>45</v>
      </c>
      <c r="G90" s="121" t="s">
        <v>234</v>
      </c>
      <c r="H90" s="121" t="s">
        <v>233</v>
      </c>
      <c r="I90" s="122">
        <v>1012</v>
      </c>
      <c r="J90" s="122">
        <v>162.29396800000001</v>
      </c>
      <c r="K90" s="122">
        <v>224.88888888888889</v>
      </c>
      <c r="L90" s="122">
        <v>36.065326222222225</v>
      </c>
      <c r="M90" s="123">
        <v>4.5</v>
      </c>
      <c r="N90" s="123">
        <v>78.900000000000006</v>
      </c>
      <c r="O90" s="123">
        <v>0</v>
      </c>
    </row>
    <row r="91" spans="1:15" x14ac:dyDescent="0.35">
      <c r="A91" s="120">
        <v>45210</v>
      </c>
      <c r="B91" s="121" t="s">
        <v>46</v>
      </c>
      <c r="C91" s="121" t="s">
        <v>44</v>
      </c>
      <c r="D91" s="121" t="s">
        <v>57</v>
      </c>
      <c r="E91" s="121" t="s">
        <v>166</v>
      </c>
      <c r="F91" s="121" t="s">
        <v>45</v>
      </c>
      <c r="G91" s="121" t="s">
        <v>234</v>
      </c>
      <c r="H91" s="121" t="s">
        <v>233</v>
      </c>
      <c r="I91" s="122">
        <v>212.5</v>
      </c>
      <c r="J91" s="122">
        <v>31.566172000000002</v>
      </c>
      <c r="K91" s="122">
        <v>65.384615384615387</v>
      </c>
      <c r="L91" s="122">
        <v>9.7126683076923079</v>
      </c>
      <c r="M91" s="123">
        <v>3.25</v>
      </c>
      <c r="N91" s="123">
        <v>71.599999999999994</v>
      </c>
      <c r="O91" s="123">
        <v>0.28299999999999997</v>
      </c>
    </row>
    <row r="92" spans="1:15" x14ac:dyDescent="0.35">
      <c r="A92" s="120">
        <v>45211</v>
      </c>
      <c r="B92" s="121" t="s">
        <v>46</v>
      </c>
      <c r="C92" s="121" t="s">
        <v>47</v>
      </c>
      <c r="D92" s="121" t="s">
        <v>57</v>
      </c>
      <c r="E92" s="121" t="s">
        <v>166</v>
      </c>
      <c r="F92" s="121" t="s">
        <v>45</v>
      </c>
      <c r="G92" s="121" t="s">
        <v>234</v>
      </c>
      <c r="H92" s="121" t="s">
        <v>233</v>
      </c>
      <c r="I92" s="122">
        <v>306.5</v>
      </c>
      <c r="J92" s="122">
        <v>50.00262</v>
      </c>
      <c r="K92" s="122">
        <v>81.733333333333334</v>
      </c>
      <c r="L92" s="122">
        <v>13.334032000000001</v>
      </c>
      <c r="M92" s="123">
        <v>3.75</v>
      </c>
      <c r="N92" s="123">
        <v>78.900000000000006</v>
      </c>
      <c r="O92" s="123">
        <v>0</v>
      </c>
    </row>
    <row r="93" spans="1:15" x14ac:dyDescent="0.35">
      <c r="A93" s="120">
        <v>45214</v>
      </c>
      <c r="B93" s="121" t="s">
        <v>46</v>
      </c>
      <c r="C93" s="121" t="s">
        <v>50</v>
      </c>
      <c r="D93" s="121" t="s">
        <v>57</v>
      </c>
      <c r="E93" s="121" t="s">
        <v>69</v>
      </c>
      <c r="F93" s="121" t="s">
        <v>45</v>
      </c>
      <c r="G93" s="121" t="s">
        <v>234</v>
      </c>
      <c r="H93" s="121" t="s">
        <v>233</v>
      </c>
      <c r="I93" s="122">
        <v>1403.5</v>
      </c>
      <c r="J93" s="122">
        <v>137.80432400000001</v>
      </c>
      <c r="K93" s="122">
        <v>233.26869806094183</v>
      </c>
      <c r="L93" s="122">
        <v>22.903765761772856</v>
      </c>
      <c r="M93" s="123">
        <v>6.0166666666666666</v>
      </c>
      <c r="N93" s="123">
        <v>70</v>
      </c>
      <c r="O93" s="123">
        <v>0</v>
      </c>
    </row>
    <row r="94" spans="1:15" x14ac:dyDescent="0.35">
      <c r="A94" s="120">
        <v>45215</v>
      </c>
      <c r="B94" s="121" t="s">
        <v>46</v>
      </c>
      <c r="C94" s="121" t="s">
        <v>51</v>
      </c>
      <c r="D94" s="121" t="s">
        <v>57</v>
      </c>
      <c r="E94" s="121" t="s">
        <v>166</v>
      </c>
      <c r="F94" s="121" t="s">
        <v>45</v>
      </c>
      <c r="G94" s="121" t="s">
        <v>234</v>
      </c>
      <c r="H94" s="121" t="s">
        <v>233</v>
      </c>
      <c r="I94" s="122">
        <v>1422.48</v>
      </c>
      <c r="J94" s="122">
        <v>242.09894400000002</v>
      </c>
      <c r="K94" s="122">
        <v>221.11088082901554</v>
      </c>
      <c r="L94" s="122">
        <v>37.63196020725389</v>
      </c>
      <c r="M94" s="123">
        <v>6.4333333333333336</v>
      </c>
      <c r="N94" s="123">
        <v>66.400000000000006</v>
      </c>
      <c r="O94" s="123">
        <v>0</v>
      </c>
    </row>
    <row r="95" spans="1:15" x14ac:dyDescent="0.35">
      <c r="A95" s="120">
        <v>45216</v>
      </c>
      <c r="B95" s="121" t="s">
        <v>42</v>
      </c>
      <c r="C95" s="121" t="s">
        <v>52</v>
      </c>
      <c r="D95" s="121" t="s">
        <v>57</v>
      </c>
      <c r="E95" s="121" t="s">
        <v>166</v>
      </c>
      <c r="F95" s="121" t="s">
        <v>55</v>
      </c>
      <c r="G95" s="121" t="s">
        <v>234</v>
      </c>
      <c r="H95" s="121" t="s">
        <v>233</v>
      </c>
      <c r="I95" s="122">
        <v>836</v>
      </c>
      <c r="J95" s="122">
        <v>115.57019199999999</v>
      </c>
      <c r="K95" s="122">
        <v>160.76923076923077</v>
      </c>
      <c r="L95" s="122">
        <v>22.225036923076921</v>
      </c>
      <c r="M95" s="123">
        <v>5.2</v>
      </c>
      <c r="N95" s="123">
        <v>72.7</v>
      </c>
      <c r="O95" s="123">
        <v>0</v>
      </c>
    </row>
    <row r="96" spans="1:15" x14ac:dyDescent="0.35">
      <c r="A96" s="120">
        <v>45216</v>
      </c>
      <c r="B96" s="121" t="s">
        <v>46</v>
      </c>
      <c r="C96" s="121" t="s">
        <v>52</v>
      </c>
      <c r="D96" s="121" t="s">
        <v>57</v>
      </c>
      <c r="E96" s="121" t="s">
        <v>166</v>
      </c>
      <c r="F96" s="121" t="s">
        <v>55</v>
      </c>
      <c r="G96" s="121" t="s">
        <v>234</v>
      </c>
      <c r="H96" s="121" t="s">
        <v>233</v>
      </c>
      <c r="I96" s="122">
        <v>245</v>
      </c>
      <c r="J96" s="122">
        <v>39.669471999999999</v>
      </c>
      <c r="K96" s="122">
        <v>83.52272727272728</v>
      </c>
      <c r="L96" s="122">
        <v>13.523683636363637</v>
      </c>
      <c r="M96" s="123">
        <v>2.9333333333333331</v>
      </c>
      <c r="N96" s="123">
        <v>72.7</v>
      </c>
      <c r="O96" s="123">
        <v>0</v>
      </c>
    </row>
    <row r="97" spans="1:15" x14ac:dyDescent="0.35">
      <c r="A97" s="120">
        <v>45217</v>
      </c>
      <c r="B97" s="121" t="s">
        <v>46</v>
      </c>
      <c r="C97" s="121" t="s">
        <v>44</v>
      </c>
      <c r="D97" s="121" t="s">
        <v>57</v>
      </c>
      <c r="E97" s="121" t="s">
        <v>166</v>
      </c>
      <c r="F97" s="121" t="s">
        <v>45</v>
      </c>
      <c r="G97" s="121" t="s">
        <v>234</v>
      </c>
      <c r="H97" s="121" t="s">
        <v>233</v>
      </c>
      <c r="I97" s="122">
        <v>1018</v>
      </c>
      <c r="J97" s="122">
        <v>188.66008000000002</v>
      </c>
      <c r="K97" s="122">
        <v>222.9197080291971</v>
      </c>
      <c r="L97" s="122">
        <v>41.312426277372268</v>
      </c>
      <c r="M97" s="123">
        <v>4.5666666666666664</v>
      </c>
      <c r="N97" s="123">
        <v>79</v>
      </c>
      <c r="O97" s="123">
        <v>0</v>
      </c>
    </row>
    <row r="98" spans="1:15" x14ac:dyDescent="0.35">
      <c r="A98" s="120">
        <v>45218</v>
      </c>
      <c r="B98" s="121" t="s">
        <v>46</v>
      </c>
      <c r="C98" s="121" t="s">
        <v>47</v>
      </c>
      <c r="D98" s="121" t="s">
        <v>57</v>
      </c>
      <c r="E98" s="121" t="s">
        <v>166</v>
      </c>
      <c r="F98" s="121" t="s">
        <v>45</v>
      </c>
      <c r="G98" s="121" t="s">
        <v>234</v>
      </c>
      <c r="H98" s="121" t="s">
        <v>233</v>
      </c>
      <c r="I98" s="122">
        <v>955</v>
      </c>
      <c r="J98" s="122">
        <v>156.47206000000003</v>
      </c>
      <c r="K98" s="122">
        <v>157.85123966942149</v>
      </c>
      <c r="L98" s="122">
        <v>25.863150413223146</v>
      </c>
      <c r="M98" s="123">
        <v>6.05</v>
      </c>
      <c r="N98" s="123">
        <v>84.3</v>
      </c>
      <c r="O98" s="123">
        <v>0</v>
      </c>
    </row>
    <row r="99" spans="1:15" x14ac:dyDescent="0.35">
      <c r="A99" s="120">
        <v>45221</v>
      </c>
      <c r="B99" s="121" t="s">
        <v>46</v>
      </c>
      <c r="C99" s="121" t="s">
        <v>50</v>
      </c>
      <c r="D99" s="121" t="s">
        <v>57</v>
      </c>
      <c r="E99" s="121" t="s">
        <v>69</v>
      </c>
      <c r="F99" s="121" t="s">
        <v>45</v>
      </c>
      <c r="G99" s="121" t="s">
        <v>234</v>
      </c>
      <c r="H99" s="121" t="s">
        <v>233</v>
      </c>
      <c r="I99" s="122">
        <v>1040.5</v>
      </c>
      <c r="J99" s="122">
        <v>174.95838000000001</v>
      </c>
      <c r="K99" s="122">
        <v>189.75683890577508</v>
      </c>
      <c r="L99" s="122">
        <v>31.907303343465045</v>
      </c>
      <c r="M99" s="123">
        <v>5.4833333333333334</v>
      </c>
      <c r="N99" s="123">
        <v>84.3</v>
      </c>
      <c r="O99" s="123">
        <v>0</v>
      </c>
    </row>
    <row r="100" spans="1:15" x14ac:dyDescent="0.35">
      <c r="A100" s="120">
        <v>45222</v>
      </c>
      <c r="B100" s="121" t="s">
        <v>46</v>
      </c>
      <c r="C100" s="121" t="s">
        <v>51</v>
      </c>
      <c r="D100" s="121" t="s">
        <v>57</v>
      </c>
      <c r="E100" s="121" t="s">
        <v>166</v>
      </c>
      <c r="F100" s="121" t="s">
        <v>45</v>
      </c>
      <c r="G100" s="121" t="s">
        <v>234</v>
      </c>
      <c r="H100" s="121" t="s">
        <v>233</v>
      </c>
      <c r="I100" s="122">
        <v>1279</v>
      </c>
      <c r="J100" s="122">
        <v>204.05530799999997</v>
      </c>
      <c r="K100" s="122">
        <v>229.07462686567166</v>
      </c>
      <c r="L100" s="122">
        <v>36.547219343283579</v>
      </c>
      <c r="M100" s="123">
        <v>5.583333333333333</v>
      </c>
      <c r="N100" s="123">
        <v>85.1</v>
      </c>
      <c r="O100" s="123">
        <v>4.4999999999999998E-2</v>
      </c>
    </row>
    <row r="101" spans="1:15" x14ac:dyDescent="0.35">
      <c r="A101" s="120">
        <v>45223</v>
      </c>
      <c r="B101" s="121" t="s">
        <v>42</v>
      </c>
      <c r="C101" s="121" t="s">
        <v>52</v>
      </c>
      <c r="D101" s="121" t="s">
        <v>57</v>
      </c>
      <c r="E101" s="121" t="s">
        <v>166</v>
      </c>
      <c r="F101" s="121" t="s">
        <v>55</v>
      </c>
      <c r="G101" s="121" t="s">
        <v>234</v>
      </c>
      <c r="H101" s="121" t="s">
        <v>233</v>
      </c>
      <c r="I101" s="122">
        <v>640</v>
      </c>
      <c r="J101" s="122">
        <v>102.89900799999999</v>
      </c>
      <c r="K101" s="122">
        <v>197.93814432989691</v>
      </c>
      <c r="L101" s="122">
        <v>31.824435463917524</v>
      </c>
      <c r="M101" s="123">
        <v>3.2333333333333334</v>
      </c>
      <c r="N101" s="123">
        <v>82.7</v>
      </c>
      <c r="O101" s="123">
        <v>0</v>
      </c>
    </row>
    <row r="102" spans="1:15" x14ac:dyDescent="0.35">
      <c r="A102" s="120">
        <v>45223</v>
      </c>
      <c r="B102" s="121" t="s">
        <v>46</v>
      </c>
      <c r="C102" s="121" t="s">
        <v>52</v>
      </c>
      <c r="D102" s="121" t="s">
        <v>57</v>
      </c>
      <c r="E102" s="121" t="s">
        <v>166</v>
      </c>
      <c r="F102" s="121" t="s">
        <v>55</v>
      </c>
      <c r="G102" s="121" t="s">
        <v>234</v>
      </c>
      <c r="H102" s="121" t="s">
        <v>233</v>
      </c>
      <c r="I102" s="122">
        <v>558</v>
      </c>
      <c r="J102" s="122">
        <v>90.058800000000005</v>
      </c>
      <c r="K102" s="122">
        <v>155</v>
      </c>
      <c r="L102" s="122">
        <v>25.016333333333336</v>
      </c>
      <c r="M102" s="123">
        <v>3.6</v>
      </c>
      <c r="N102" s="123">
        <v>82.7</v>
      </c>
      <c r="O102" s="123">
        <v>0</v>
      </c>
    </row>
    <row r="103" spans="1:15" x14ac:dyDescent="0.35">
      <c r="A103" s="120">
        <v>45224</v>
      </c>
      <c r="B103" s="121" t="s">
        <v>42</v>
      </c>
      <c r="C103" s="121" t="s">
        <v>44</v>
      </c>
      <c r="D103" s="121" t="s">
        <v>57</v>
      </c>
      <c r="E103" s="121" t="s">
        <v>166</v>
      </c>
      <c r="F103" s="121" t="s">
        <v>45</v>
      </c>
      <c r="G103" s="121" t="s">
        <v>234</v>
      </c>
      <c r="H103" s="121" t="s">
        <v>233</v>
      </c>
      <c r="I103" s="122">
        <v>351</v>
      </c>
      <c r="J103" s="122">
        <v>60.758799999999994</v>
      </c>
      <c r="K103" s="122">
        <v>107.44897959183673</v>
      </c>
      <c r="L103" s="122">
        <v>18.599632653061224</v>
      </c>
      <c r="M103" s="123">
        <v>3.2666666666666666</v>
      </c>
      <c r="N103" s="123">
        <v>85.6</v>
      </c>
      <c r="O103" s="123">
        <v>0</v>
      </c>
    </row>
    <row r="104" spans="1:15" x14ac:dyDescent="0.35">
      <c r="A104" s="120">
        <v>45226</v>
      </c>
      <c r="B104" s="121" t="s">
        <v>46</v>
      </c>
      <c r="C104" s="121" t="s">
        <v>48</v>
      </c>
      <c r="D104" s="121" t="s">
        <v>57</v>
      </c>
      <c r="E104" s="121" t="s">
        <v>69</v>
      </c>
      <c r="F104" s="121" t="s">
        <v>45</v>
      </c>
      <c r="G104" s="121" t="s">
        <v>234</v>
      </c>
      <c r="H104" s="121" t="s">
        <v>233</v>
      </c>
      <c r="I104" s="122">
        <v>1010</v>
      </c>
      <c r="J104" s="122">
        <v>198.68506400000001</v>
      </c>
      <c r="K104" s="122">
        <v>185.88957055214723</v>
      </c>
      <c r="L104" s="122">
        <v>36.567803190184051</v>
      </c>
      <c r="M104" s="123">
        <v>5.4333333333333336</v>
      </c>
      <c r="N104" s="123">
        <v>85.3</v>
      </c>
      <c r="O104" s="123">
        <v>4.0000000000000001E-3</v>
      </c>
    </row>
    <row r="105" spans="1:15" x14ac:dyDescent="0.35">
      <c r="A105" s="120">
        <v>45227</v>
      </c>
      <c r="B105" s="121" t="s">
        <v>46</v>
      </c>
      <c r="C105" s="121" t="s">
        <v>49</v>
      </c>
      <c r="D105" s="121" t="s">
        <v>57</v>
      </c>
      <c r="E105" s="121" t="s">
        <v>69</v>
      </c>
      <c r="F105" s="121" t="s">
        <v>45</v>
      </c>
      <c r="G105" s="121" t="s">
        <v>234</v>
      </c>
      <c r="H105" s="121" t="s">
        <v>233</v>
      </c>
      <c r="I105" s="122">
        <v>1353</v>
      </c>
      <c r="J105" s="122">
        <v>220.97762</v>
      </c>
      <c r="K105" s="122">
        <v>176.09544468546636</v>
      </c>
      <c r="L105" s="122">
        <v>28.760644685466378</v>
      </c>
      <c r="M105" s="123">
        <v>7.6833333333333336</v>
      </c>
      <c r="N105" s="123">
        <v>84.3</v>
      </c>
      <c r="O105" s="123">
        <v>0</v>
      </c>
    </row>
    <row r="106" spans="1:15" x14ac:dyDescent="0.35">
      <c r="A106" s="120">
        <v>45229</v>
      </c>
      <c r="B106" s="121" t="s">
        <v>46</v>
      </c>
      <c r="C106" s="121" t="s">
        <v>51</v>
      </c>
      <c r="D106" s="121" t="s">
        <v>57</v>
      </c>
      <c r="E106" s="121" t="s">
        <v>166</v>
      </c>
      <c r="F106" s="121" t="s">
        <v>45</v>
      </c>
      <c r="G106" s="121" t="s">
        <v>234</v>
      </c>
      <c r="H106" s="121" t="s">
        <v>233</v>
      </c>
      <c r="I106" s="122">
        <v>593</v>
      </c>
      <c r="J106" s="122">
        <v>99.087248000000002</v>
      </c>
      <c r="K106" s="122">
        <v>160.27027027027026</v>
      </c>
      <c r="L106" s="122">
        <v>26.780337297297297</v>
      </c>
      <c r="M106" s="123">
        <v>3.7</v>
      </c>
      <c r="N106" s="123">
        <v>54.7</v>
      </c>
      <c r="O106" s="123">
        <v>0</v>
      </c>
    </row>
    <row r="107" spans="1:15" x14ac:dyDescent="0.35">
      <c r="A107" s="120">
        <v>45230</v>
      </c>
      <c r="B107" s="121" t="s">
        <v>42</v>
      </c>
      <c r="C107" s="121" t="s">
        <v>52</v>
      </c>
      <c r="D107" s="121" t="s">
        <v>57</v>
      </c>
      <c r="E107" s="121" t="s">
        <v>166</v>
      </c>
      <c r="F107" s="121" t="s">
        <v>55</v>
      </c>
      <c r="G107" s="121" t="s">
        <v>234</v>
      </c>
      <c r="H107" s="121" t="s">
        <v>233</v>
      </c>
      <c r="I107" s="122">
        <v>410</v>
      </c>
      <c r="J107" s="122">
        <v>71.073899999999995</v>
      </c>
      <c r="K107" s="122">
        <v>127.46113989637306</v>
      </c>
      <c r="L107" s="122">
        <v>22.095512953367873</v>
      </c>
      <c r="M107" s="123">
        <v>3.2166666666666668</v>
      </c>
      <c r="N107" s="123">
        <v>58.1</v>
      </c>
      <c r="O107" s="123">
        <v>8.0000000000000002E-3</v>
      </c>
    </row>
    <row r="108" spans="1:15" x14ac:dyDescent="0.35">
      <c r="A108" s="120">
        <v>45230</v>
      </c>
      <c r="B108" s="121" t="s">
        <v>46</v>
      </c>
      <c r="C108" s="121" t="s">
        <v>52</v>
      </c>
      <c r="D108" s="121" t="s">
        <v>57</v>
      </c>
      <c r="E108" s="121" t="s">
        <v>166</v>
      </c>
      <c r="F108" s="121" t="s">
        <v>55</v>
      </c>
      <c r="G108" s="121" t="s">
        <v>234</v>
      </c>
      <c r="H108" s="121" t="s">
        <v>233</v>
      </c>
      <c r="I108" s="122">
        <v>603</v>
      </c>
      <c r="J108" s="122">
        <v>94.832580000000007</v>
      </c>
      <c r="K108" s="122">
        <v>166.72811059907835</v>
      </c>
      <c r="L108" s="122">
        <v>26.220989861751153</v>
      </c>
      <c r="M108" s="123">
        <v>3.6166666666666667</v>
      </c>
      <c r="N108" s="123">
        <v>58.1</v>
      </c>
      <c r="O108" s="123">
        <v>8.0000000000000002E-3</v>
      </c>
    </row>
    <row r="109" spans="1:15" x14ac:dyDescent="0.35">
      <c r="A109" s="120">
        <v>45233</v>
      </c>
      <c r="B109" s="121" t="s">
        <v>46</v>
      </c>
      <c r="C109" s="121" t="s">
        <v>48</v>
      </c>
      <c r="D109" s="121" t="s">
        <v>58</v>
      </c>
      <c r="E109" s="121" t="s">
        <v>69</v>
      </c>
      <c r="F109" s="121" t="s">
        <v>45</v>
      </c>
      <c r="G109" s="121" t="s">
        <v>234</v>
      </c>
      <c r="H109" s="121" t="s">
        <v>233</v>
      </c>
      <c r="I109" s="122">
        <v>1618.5</v>
      </c>
      <c r="J109" s="122">
        <v>333.18904399999997</v>
      </c>
      <c r="K109" s="122">
        <v>228.49411764705883</v>
      </c>
      <c r="L109" s="122">
        <v>47.038453270588235</v>
      </c>
      <c r="M109" s="123">
        <v>7.083333333333333</v>
      </c>
      <c r="N109" s="123">
        <v>74.2</v>
      </c>
      <c r="O109" s="123">
        <v>0</v>
      </c>
    </row>
    <row r="110" spans="1:15" x14ac:dyDescent="0.35">
      <c r="A110" s="120">
        <v>45234</v>
      </c>
      <c r="B110" s="121" t="s">
        <v>46</v>
      </c>
      <c r="C110" s="121" t="s">
        <v>49</v>
      </c>
      <c r="D110" s="121" t="s">
        <v>58</v>
      </c>
      <c r="E110" s="121" t="s">
        <v>69</v>
      </c>
      <c r="F110" s="121" t="s">
        <v>45</v>
      </c>
      <c r="G110" s="121" t="s">
        <v>234</v>
      </c>
      <c r="H110" s="121" t="s">
        <v>233</v>
      </c>
      <c r="I110" s="122">
        <v>1228.5</v>
      </c>
      <c r="J110" s="122">
        <v>194.315012</v>
      </c>
      <c r="K110" s="122">
        <v>179.34306569343067</v>
      </c>
      <c r="L110" s="122">
        <v>28.367155036496353</v>
      </c>
      <c r="M110" s="123">
        <v>6.85</v>
      </c>
      <c r="N110" s="123">
        <v>77.2</v>
      </c>
      <c r="O110" s="123">
        <v>0</v>
      </c>
    </row>
    <row r="111" spans="1:15" x14ac:dyDescent="0.35">
      <c r="A111" s="120">
        <v>45236</v>
      </c>
      <c r="B111" s="121" t="s">
        <v>46</v>
      </c>
      <c r="C111" s="121" t="s">
        <v>51</v>
      </c>
      <c r="D111" s="121" t="s">
        <v>58</v>
      </c>
      <c r="E111" s="121" t="s">
        <v>166</v>
      </c>
      <c r="F111" s="121" t="s">
        <v>45</v>
      </c>
      <c r="G111" s="121" t="s">
        <v>234</v>
      </c>
      <c r="H111" s="121" t="s">
        <v>233</v>
      </c>
      <c r="I111" s="122">
        <v>1127.25</v>
      </c>
      <c r="J111" s="122">
        <v>193.85134399999998</v>
      </c>
      <c r="K111" s="122">
        <v>176.1328125</v>
      </c>
      <c r="L111" s="122">
        <v>30.289272499999996</v>
      </c>
      <c r="M111" s="123">
        <v>6.4</v>
      </c>
      <c r="N111" s="123">
        <v>80</v>
      </c>
      <c r="O111" s="123">
        <v>0</v>
      </c>
    </row>
    <row r="112" spans="1:15" x14ac:dyDescent="0.35">
      <c r="A112" s="120">
        <v>45237</v>
      </c>
      <c r="B112" s="121" t="s">
        <v>42</v>
      </c>
      <c r="C112" s="121" t="s">
        <v>52</v>
      </c>
      <c r="D112" s="121" t="s">
        <v>58</v>
      </c>
      <c r="E112" s="121" t="s">
        <v>166</v>
      </c>
      <c r="F112" s="121" t="s">
        <v>55</v>
      </c>
      <c r="G112" s="121" t="s">
        <v>234</v>
      </c>
      <c r="H112" s="121" t="s">
        <v>233</v>
      </c>
      <c r="I112" s="122">
        <v>591.5</v>
      </c>
      <c r="J112" s="122">
        <v>98.136363999999986</v>
      </c>
      <c r="K112" s="122">
        <v>193.9344262295082</v>
      </c>
      <c r="L112" s="122">
        <v>32.175857049180323</v>
      </c>
      <c r="M112" s="123">
        <v>3.05</v>
      </c>
      <c r="N112" s="123">
        <v>83.3</v>
      </c>
      <c r="O112" s="123">
        <v>0</v>
      </c>
    </row>
    <row r="113" spans="1:15" x14ac:dyDescent="0.35">
      <c r="A113" s="120">
        <v>45237</v>
      </c>
      <c r="B113" s="121" t="s">
        <v>46</v>
      </c>
      <c r="C113" s="121" t="s">
        <v>52</v>
      </c>
      <c r="D113" s="121" t="s">
        <v>58</v>
      </c>
      <c r="E113" s="121" t="s">
        <v>166</v>
      </c>
      <c r="F113" s="121" t="s">
        <v>55</v>
      </c>
      <c r="G113" s="121" t="s">
        <v>234</v>
      </c>
      <c r="H113" s="121" t="s">
        <v>233</v>
      </c>
      <c r="I113" s="122">
        <v>947.5</v>
      </c>
      <c r="J113" s="122">
        <v>176.85569600000002</v>
      </c>
      <c r="K113" s="122">
        <v>188.24503311258277</v>
      </c>
      <c r="L113" s="122">
        <v>35.136893245033122</v>
      </c>
      <c r="M113" s="123">
        <v>5.0333333333333332</v>
      </c>
      <c r="N113" s="123">
        <v>83.3</v>
      </c>
      <c r="O113" s="123">
        <v>0</v>
      </c>
    </row>
    <row r="114" spans="1:15" x14ac:dyDescent="0.35">
      <c r="A114" s="120">
        <v>45240</v>
      </c>
      <c r="B114" s="121" t="s">
        <v>46</v>
      </c>
      <c r="C114" s="121" t="s">
        <v>48</v>
      </c>
      <c r="D114" s="121" t="s">
        <v>58</v>
      </c>
      <c r="E114" s="121" t="s">
        <v>69</v>
      </c>
      <c r="F114" s="121" t="s">
        <v>45</v>
      </c>
      <c r="G114" s="121" t="s">
        <v>234</v>
      </c>
      <c r="H114" s="121" t="s">
        <v>233</v>
      </c>
      <c r="I114" s="122">
        <v>1505</v>
      </c>
      <c r="J114" s="122">
        <v>236.089088</v>
      </c>
      <c r="K114" s="122">
        <v>222.41379310344828</v>
      </c>
      <c r="L114" s="122">
        <v>34.890013004926111</v>
      </c>
      <c r="M114" s="123">
        <v>6.7666666666666666</v>
      </c>
      <c r="N114" s="123">
        <v>68.099999999999994</v>
      </c>
      <c r="O114" s="123">
        <v>0.14299999999999999</v>
      </c>
    </row>
    <row r="115" spans="1:15" x14ac:dyDescent="0.35">
      <c r="A115" s="120">
        <v>45241</v>
      </c>
      <c r="B115" s="121" t="s">
        <v>46</v>
      </c>
      <c r="C115" s="121" t="s">
        <v>49</v>
      </c>
      <c r="D115" s="121" t="s">
        <v>58</v>
      </c>
      <c r="E115" s="121" t="s">
        <v>69</v>
      </c>
      <c r="F115" s="121" t="s">
        <v>45</v>
      </c>
      <c r="G115" s="121" t="s">
        <v>234</v>
      </c>
      <c r="H115" s="121" t="s">
        <v>233</v>
      </c>
      <c r="I115" s="122">
        <v>1098</v>
      </c>
      <c r="J115" s="122">
        <v>205.845732</v>
      </c>
      <c r="K115" s="122">
        <v>173.82585751978891</v>
      </c>
      <c r="L115" s="122">
        <v>32.58771482849604</v>
      </c>
      <c r="M115" s="123">
        <v>6.3166666666666664</v>
      </c>
      <c r="N115" s="123">
        <v>60.4</v>
      </c>
      <c r="O115" s="123">
        <v>0</v>
      </c>
    </row>
    <row r="116" spans="1:15" x14ac:dyDescent="0.35">
      <c r="A116" s="120">
        <v>45242</v>
      </c>
      <c r="B116" s="121" t="s">
        <v>46</v>
      </c>
      <c r="C116" s="121" t="s">
        <v>50</v>
      </c>
      <c r="D116" s="121" t="s">
        <v>58</v>
      </c>
      <c r="E116" s="121" t="s">
        <v>69</v>
      </c>
      <c r="F116" s="121" t="s">
        <v>45</v>
      </c>
      <c r="G116" s="121" t="s">
        <v>234</v>
      </c>
      <c r="H116" s="121" t="s">
        <v>233</v>
      </c>
      <c r="I116" s="122">
        <v>1284</v>
      </c>
      <c r="J116" s="122">
        <v>210.13176400000003</v>
      </c>
      <c r="K116" s="122">
        <v>196.03053435114504</v>
      </c>
      <c r="L116" s="122">
        <v>32.081185343511457</v>
      </c>
      <c r="M116" s="123">
        <v>6.55</v>
      </c>
      <c r="N116" s="123">
        <v>64.5</v>
      </c>
      <c r="O116" s="123">
        <v>8.4000000000000005E-2</v>
      </c>
    </row>
    <row r="117" spans="1:15" x14ac:dyDescent="0.35">
      <c r="A117" s="120">
        <v>45243</v>
      </c>
      <c r="B117" s="121" t="s">
        <v>42</v>
      </c>
      <c r="C117" s="121" t="s">
        <v>51</v>
      </c>
      <c r="D117" s="121" t="s">
        <v>58</v>
      </c>
      <c r="E117" s="121" t="s">
        <v>166</v>
      </c>
      <c r="F117" s="121" t="s">
        <v>45</v>
      </c>
      <c r="G117" s="121" t="s">
        <v>234</v>
      </c>
      <c r="H117" s="121" t="s">
        <v>233</v>
      </c>
      <c r="I117" s="122">
        <v>568</v>
      </c>
      <c r="J117" s="122">
        <v>97.287064000000001</v>
      </c>
      <c r="K117" s="122">
        <v>122.58992805755395</v>
      </c>
      <c r="L117" s="122">
        <v>20.997208057553955</v>
      </c>
      <c r="M117" s="123">
        <v>4.6333333333333337</v>
      </c>
      <c r="N117" s="123">
        <v>61.1</v>
      </c>
      <c r="O117" s="123">
        <v>0.60599999999999998</v>
      </c>
    </row>
    <row r="118" spans="1:15" x14ac:dyDescent="0.35">
      <c r="A118" s="120">
        <v>45244</v>
      </c>
      <c r="B118" s="121" t="s">
        <v>42</v>
      </c>
      <c r="C118" s="121" t="s">
        <v>52</v>
      </c>
      <c r="D118" s="121" t="s">
        <v>58</v>
      </c>
      <c r="E118" s="121" t="s">
        <v>166</v>
      </c>
      <c r="F118" s="121" t="s">
        <v>45</v>
      </c>
      <c r="G118" s="121" t="s">
        <v>234</v>
      </c>
      <c r="H118" s="121" t="s">
        <v>233</v>
      </c>
      <c r="I118" s="122">
        <v>988</v>
      </c>
      <c r="J118" s="122">
        <v>148.91745600000002</v>
      </c>
      <c r="K118" s="122">
        <v>217.94117647058823</v>
      </c>
      <c r="L118" s="122">
        <v>32.849438823529418</v>
      </c>
      <c r="M118" s="123">
        <v>4.5333333333333332</v>
      </c>
      <c r="N118" s="123">
        <v>69.8</v>
      </c>
      <c r="O118" s="123">
        <v>0</v>
      </c>
    </row>
    <row r="119" spans="1:15" x14ac:dyDescent="0.35">
      <c r="A119" s="120">
        <v>45245</v>
      </c>
      <c r="B119" s="121" t="s">
        <v>42</v>
      </c>
      <c r="C119" s="121" t="s">
        <v>44</v>
      </c>
      <c r="D119" s="121" t="s">
        <v>58</v>
      </c>
      <c r="E119" s="121" t="s">
        <v>166</v>
      </c>
      <c r="F119" s="121" t="s">
        <v>45</v>
      </c>
      <c r="G119" s="121" t="s">
        <v>234</v>
      </c>
      <c r="H119" s="121" t="s">
        <v>233</v>
      </c>
      <c r="I119" s="122">
        <v>731</v>
      </c>
      <c r="J119" s="122">
        <v>106.313872</v>
      </c>
      <c r="K119" s="122">
        <v>194.07079646017701</v>
      </c>
      <c r="L119" s="122">
        <v>28.224921769911507</v>
      </c>
      <c r="M119" s="123">
        <v>3.7666666666666666</v>
      </c>
      <c r="N119" s="123">
        <v>71.7</v>
      </c>
      <c r="O119" s="123">
        <v>0</v>
      </c>
    </row>
    <row r="120" spans="1:15" x14ac:dyDescent="0.35">
      <c r="A120" s="120">
        <v>45247</v>
      </c>
      <c r="B120" s="121" t="s">
        <v>46</v>
      </c>
      <c r="C120" s="121" t="s">
        <v>48</v>
      </c>
      <c r="D120" s="121" t="s">
        <v>58</v>
      </c>
      <c r="E120" s="121" t="s">
        <v>69</v>
      </c>
      <c r="F120" s="121" t="s">
        <v>45</v>
      </c>
      <c r="G120" s="121" t="s">
        <v>234</v>
      </c>
      <c r="H120" s="121" t="s">
        <v>233</v>
      </c>
      <c r="I120" s="122">
        <v>1036.5</v>
      </c>
      <c r="J120" s="122">
        <v>162.82282000000001</v>
      </c>
      <c r="K120" s="122">
        <v>177.17948717948718</v>
      </c>
      <c r="L120" s="122">
        <v>27.832960683760685</v>
      </c>
      <c r="M120" s="123">
        <v>5.85</v>
      </c>
      <c r="N120" s="123">
        <v>76.3</v>
      </c>
      <c r="O120" s="123">
        <v>0</v>
      </c>
    </row>
    <row r="121" spans="1:15" x14ac:dyDescent="0.35">
      <c r="A121" s="120">
        <v>45248</v>
      </c>
      <c r="B121" s="121" t="s">
        <v>46</v>
      </c>
      <c r="C121" s="121" t="s">
        <v>49</v>
      </c>
      <c r="D121" s="121" t="s">
        <v>58</v>
      </c>
      <c r="E121" s="121" t="s">
        <v>69</v>
      </c>
      <c r="F121" s="121" t="s">
        <v>45</v>
      </c>
      <c r="G121" s="121" t="s">
        <v>234</v>
      </c>
      <c r="H121" s="121" t="s">
        <v>233</v>
      </c>
      <c r="I121" s="122">
        <v>1264</v>
      </c>
      <c r="J121" s="122">
        <v>210.67860399999998</v>
      </c>
      <c r="K121" s="122">
        <v>275.78181818181821</v>
      </c>
      <c r="L121" s="122">
        <v>45.966240872727269</v>
      </c>
      <c r="M121" s="123">
        <v>4.583333333333333</v>
      </c>
      <c r="N121" s="123">
        <v>73.7</v>
      </c>
      <c r="O121" s="123">
        <v>0</v>
      </c>
    </row>
    <row r="122" spans="1:15" x14ac:dyDescent="0.35">
      <c r="A122" s="120">
        <v>45250</v>
      </c>
      <c r="B122" s="121" t="s">
        <v>46</v>
      </c>
      <c r="C122" s="121" t="s">
        <v>51</v>
      </c>
      <c r="D122" s="121" t="s">
        <v>58</v>
      </c>
      <c r="E122" s="121" t="s">
        <v>166</v>
      </c>
      <c r="F122" s="121" t="s">
        <v>45</v>
      </c>
      <c r="G122" s="121" t="s">
        <v>234</v>
      </c>
      <c r="H122" s="121" t="s">
        <v>233</v>
      </c>
      <c r="I122" s="122">
        <v>1271</v>
      </c>
      <c r="J122" s="122">
        <v>246.31573199999997</v>
      </c>
      <c r="K122" s="122">
        <v>197.05426356589146</v>
      </c>
      <c r="L122" s="122">
        <v>38.188485581395341</v>
      </c>
      <c r="M122" s="123">
        <v>6.45</v>
      </c>
      <c r="N122" s="123">
        <v>77.099999999999994</v>
      </c>
      <c r="O122" s="123">
        <v>5.7000000000000002E-2</v>
      </c>
    </row>
    <row r="123" spans="1:15" x14ac:dyDescent="0.35">
      <c r="A123" s="120">
        <v>45251</v>
      </c>
      <c r="B123" s="121" t="s">
        <v>42</v>
      </c>
      <c r="C123" s="121" t="s">
        <v>52</v>
      </c>
      <c r="D123" s="121" t="s">
        <v>58</v>
      </c>
      <c r="E123" s="121" t="s">
        <v>166</v>
      </c>
      <c r="F123" s="121" t="s">
        <v>55</v>
      </c>
      <c r="G123" s="121" t="s">
        <v>234</v>
      </c>
      <c r="H123" s="121" t="s">
        <v>233</v>
      </c>
      <c r="I123" s="122">
        <v>410</v>
      </c>
      <c r="J123" s="122">
        <v>69.237492000000003</v>
      </c>
      <c r="K123" s="122">
        <v>126.15384615384616</v>
      </c>
      <c r="L123" s="122">
        <v>21.303843692307694</v>
      </c>
      <c r="M123" s="123">
        <v>3.25</v>
      </c>
      <c r="N123" s="123">
        <v>64.400000000000006</v>
      </c>
      <c r="O123" s="123">
        <v>0</v>
      </c>
    </row>
    <row r="124" spans="1:15" x14ac:dyDescent="0.35">
      <c r="A124" s="120">
        <v>45251</v>
      </c>
      <c r="B124" s="121" t="s">
        <v>46</v>
      </c>
      <c r="C124" s="121" t="s">
        <v>52</v>
      </c>
      <c r="D124" s="121" t="s">
        <v>58</v>
      </c>
      <c r="E124" s="121" t="s">
        <v>166</v>
      </c>
      <c r="F124" s="121" t="s">
        <v>55</v>
      </c>
      <c r="G124" s="121" t="s">
        <v>234</v>
      </c>
      <c r="H124" s="121" t="s">
        <v>233</v>
      </c>
      <c r="I124" s="122">
        <v>1448</v>
      </c>
      <c r="J124" s="122">
        <v>241.88926000000001</v>
      </c>
      <c r="K124" s="122">
        <v>304.84210526315792</v>
      </c>
      <c r="L124" s="122">
        <v>50.924054736842109</v>
      </c>
      <c r="M124" s="123">
        <v>4.75</v>
      </c>
      <c r="N124" s="123">
        <v>64.400000000000006</v>
      </c>
      <c r="O124" s="123">
        <v>0</v>
      </c>
    </row>
    <row r="125" spans="1:15" x14ac:dyDescent="0.35">
      <c r="A125" s="120">
        <v>45252</v>
      </c>
      <c r="B125" s="121" t="s">
        <v>42</v>
      </c>
      <c r="C125" s="121" t="s">
        <v>44</v>
      </c>
      <c r="D125" s="121" t="s">
        <v>58</v>
      </c>
      <c r="E125" s="121" t="s">
        <v>166</v>
      </c>
      <c r="F125" s="121" t="s">
        <v>45</v>
      </c>
      <c r="G125" s="121" t="s">
        <v>234</v>
      </c>
      <c r="H125" s="121" t="s">
        <v>233</v>
      </c>
      <c r="I125" s="122">
        <v>306</v>
      </c>
      <c r="J125" s="122">
        <v>48.530916000000005</v>
      </c>
      <c r="K125" s="122">
        <v>66.763636363636365</v>
      </c>
      <c r="L125" s="122">
        <v>10.588563490909092</v>
      </c>
      <c r="M125" s="123">
        <v>4.583333333333333</v>
      </c>
      <c r="N125" s="123">
        <v>55.6</v>
      </c>
      <c r="O125" s="123">
        <v>0</v>
      </c>
    </row>
    <row r="126" spans="1:15" x14ac:dyDescent="0.35">
      <c r="A126" s="120">
        <v>45254</v>
      </c>
      <c r="B126" s="121" t="s">
        <v>46</v>
      </c>
      <c r="C126" s="121" t="s">
        <v>48</v>
      </c>
      <c r="D126" s="121" t="s">
        <v>58</v>
      </c>
      <c r="E126" s="121" t="s">
        <v>69</v>
      </c>
      <c r="F126" s="121" t="s">
        <v>45</v>
      </c>
      <c r="G126" s="121" t="s">
        <v>234</v>
      </c>
      <c r="H126" s="121" t="s">
        <v>233</v>
      </c>
      <c r="I126" s="122">
        <v>835.5</v>
      </c>
      <c r="J126" s="122">
        <v>124.98876000000001</v>
      </c>
      <c r="K126" s="122">
        <v>194.30232558139537</v>
      </c>
      <c r="L126" s="122">
        <v>29.067153488372096</v>
      </c>
      <c r="M126" s="123">
        <v>4.3</v>
      </c>
      <c r="N126" s="123">
        <v>64.5</v>
      </c>
      <c r="O126" s="123">
        <v>0</v>
      </c>
    </row>
    <row r="127" spans="1:15" x14ac:dyDescent="0.35">
      <c r="A127" s="120">
        <v>45257</v>
      </c>
      <c r="B127" s="121" t="s">
        <v>46</v>
      </c>
      <c r="C127" s="121" t="s">
        <v>51</v>
      </c>
      <c r="D127" s="121" t="s">
        <v>58</v>
      </c>
      <c r="E127" s="121" t="s">
        <v>166</v>
      </c>
      <c r="F127" s="121" t="s">
        <v>45</v>
      </c>
      <c r="G127" s="121" t="s">
        <v>234</v>
      </c>
      <c r="H127" s="121" t="s">
        <v>233</v>
      </c>
      <c r="I127" s="122">
        <v>535</v>
      </c>
      <c r="J127" s="122">
        <v>92.886856000000009</v>
      </c>
      <c r="K127" s="122">
        <v>101.58227848101266</v>
      </c>
      <c r="L127" s="122">
        <v>17.636744810126583</v>
      </c>
      <c r="M127" s="123">
        <v>5.2666666666666666</v>
      </c>
      <c r="N127" s="123">
        <v>55.6</v>
      </c>
      <c r="O127" s="123">
        <v>0</v>
      </c>
    </row>
    <row r="128" spans="1:15" x14ac:dyDescent="0.35">
      <c r="A128" s="120">
        <v>45258</v>
      </c>
      <c r="B128" s="121" t="s">
        <v>42</v>
      </c>
      <c r="C128" s="121" t="s">
        <v>52</v>
      </c>
      <c r="D128" s="121" t="s">
        <v>58</v>
      </c>
      <c r="E128" s="121" t="s">
        <v>166</v>
      </c>
      <c r="F128" s="121" t="s">
        <v>45</v>
      </c>
      <c r="G128" s="121" t="s">
        <v>234</v>
      </c>
      <c r="H128" s="121" t="s">
        <v>233</v>
      </c>
      <c r="I128" s="122">
        <v>509</v>
      </c>
      <c r="J128" s="122">
        <v>86.225679999999997</v>
      </c>
      <c r="K128" s="122">
        <v>113.11111111111111</v>
      </c>
      <c r="L128" s="122">
        <v>19.16126222222222</v>
      </c>
      <c r="M128" s="123">
        <v>4.5</v>
      </c>
      <c r="N128" s="123">
        <v>60.8</v>
      </c>
      <c r="O128" s="123">
        <v>0</v>
      </c>
    </row>
    <row r="129" spans="1:15" x14ac:dyDescent="0.35">
      <c r="A129" s="120">
        <v>45260</v>
      </c>
      <c r="B129" s="121" t="s">
        <v>46</v>
      </c>
      <c r="C129" s="121" t="s">
        <v>47</v>
      </c>
      <c r="D129" s="121" t="s">
        <v>58</v>
      </c>
      <c r="E129" s="121" t="s">
        <v>166</v>
      </c>
      <c r="F129" s="121" t="s">
        <v>45</v>
      </c>
      <c r="G129" s="121" t="s">
        <v>234</v>
      </c>
      <c r="H129" s="121" t="s">
        <v>233</v>
      </c>
      <c r="I129" s="122">
        <v>438.5</v>
      </c>
      <c r="J129" s="122">
        <v>83.191628000000009</v>
      </c>
      <c r="K129" s="122">
        <v>112.91845493562232</v>
      </c>
      <c r="L129" s="122">
        <v>21.422736824034338</v>
      </c>
      <c r="M129" s="123">
        <v>3.8833333333333333</v>
      </c>
      <c r="N129" s="123">
        <v>71.599999999999994</v>
      </c>
      <c r="O129" s="123">
        <v>0.70099999999999996</v>
      </c>
    </row>
    <row r="130" spans="1:15" x14ac:dyDescent="0.35">
      <c r="A130" s="120">
        <v>45261</v>
      </c>
      <c r="B130" s="121" t="s">
        <v>46</v>
      </c>
      <c r="C130" s="121" t="s">
        <v>48</v>
      </c>
      <c r="D130" s="121" t="s">
        <v>59</v>
      </c>
      <c r="E130" s="121" t="s">
        <v>69</v>
      </c>
      <c r="F130" s="121" t="s">
        <v>45</v>
      </c>
      <c r="G130" s="121" t="s">
        <v>234</v>
      </c>
      <c r="H130" s="121" t="s">
        <v>233</v>
      </c>
      <c r="I130" s="122">
        <v>1084.5</v>
      </c>
      <c r="J130" s="122">
        <v>178.117964</v>
      </c>
      <c r="K130" s="122">
        <v>195.40540540540542</v>
      </c>
      <c r="L130" s="122">
        <v>32.09332684684685</v>
      </c>
      <c r="M130" s="123">
        <v>5.55</v>
      </c>
      <c r="N130" s="123">
        <v>71.7</v>
      </c>
      <c r="O130" s="123">
        <v>0.01</v>
      </c>
    </row>
    <row r="131" spans="1:15" x14ac:dyDescent="0.35">
      <c r="A131" s="120">
        <v>45263</v>
      </c>
      <c r="B131" s="121" t="s">
        <v>46</v>
      </c>
      <c r="C131" s="121" t="s">
        <v>50</v>
      </c>
      <c r="D131" s="121" t="s">
        <v>59</v>
      </c>
      <c r="E131" s="121" t="s">
        <v>69</v>
      </c>
      <c r="F131" s="121" t="s">
        <v>45</v>
      </c>
      <c r="G131" s="121" t="s">
        <v>234</v>
      </c>
      <c r="H131" s="121" t="s">
        <v>233</v>
      </c>
      <c r="I131" s="122">
        <v>1199</v>
      </c>
      <c r="J131" s="122">
        <v>201.53945999999999</v>
      </c>
      <c r="K131" s="122">
        <v>267.43494423791822</v>
      </c>
      <c r="L131" s="122">
        <v>44.953039405204457</v>
      </c>
      <c r="M131" s="123">
        <v>4.4833333333333334</v>
      </c>
      <c r="N131" s="123">
        <v>69.900000000000006</v>
      </c>
      <c r="O131" s="123">
        <v>0</v>
      </c>
    </row>
    <row r="132" spans="1:15" x14ac:dyDescent="0.35">
      <c r="A132" s="120">
        <v>45264</v>
      </c>
      <c r="B132" s="121" t="s">
        <v>46</v>
      </c>
      <c r="C132" s="121" t="s">
        <v>51</v>
      </c>
      <c r="D132" s="121" t="s">
        <v>59</v>
      </c>
      <c r="E132" s="121" t="s">
        <v>166</v>
      </c>
      <c r="F132" s="121" t="s">
        <v>45</v>
      </c>
      <c r="G132" s="121" t="s">
        <v>234</v>
      </c>
      <c r="H132" s="121" t="s">
        <v>233</v>
      </c>
      <c r="I132" s="122">
        <v>465</v>
      </c>
      <c r="J132" s="122">
        <v>85.968488000000008</v>
      </c>
      <c r="K132" s="122">
        <v>89.42307692307692</v>
      </c>
      <c r="L132" s="122">
        <v>16.532401538461539</v>
      </c>
      <c r="M132" s="123">
        <v>5.2</v>
      </c>
      <c r="N132" s="123">
        <v>68.2</v>
      </c>
      <c r="O132" s="123">
        <v>0</v>
      </c>
    </row>
    <row r="133" spans="1:15" x14ac:dyDescent="0.35">
      <c r="A133" s="120">
        <v>45266</v>
      </c>
      <c r="B133" s="121" t="s">
        <v>42</v>
      </c>
      <c r="C133" s="121" t="s">
        <v>44</v>
      </c>
      <c r="D133" s="121" t="s">
        <v>59</v>
      </c>
      <c r="E133" s="121" t="s">
        <v>166</v>
      </c>
      <c r="F133" s="121" t="s">
        <v>45</v>
      </c>
      <c r="G133" s="121" t="s">
        <v>234</v>
      </c>
      <c r="H133" s="121" t="s">
        <v>233</v>
      </c>
      <c r="I133" s="122">
        <v>698.5</v>
      </c>
      <c r="J133" s="122">
        <v>107.33346</v>
      </c>
      <c r="K133" s="122">
        <v>154.64944649446494</v>
      </c>
      <c r="L133" s="122">
        <v>23.763865682656828</v>
      </c>
      <c r="M133" s="123">
        <v>4.5166666666666666</v>
      </c>
      <c r="N133" s="123">
        <v>65.400000000000006</v>
      </c>
      <c r="O133" s="123">
        <v>0</v>
      </c>
    </row>
    <row r="134" spans="1:15" x14ac:dyDescent="0.35">
      <c r="A134" s="120">
        <v>45268</v>
      </c>
      <c r="B134" s="121" t="s">
        <v>46</v>
      </c>
      <c r="C134" s="121" t="s">
        <v>48</v>
      </c>
      <c r="D134" s="121" t="s">
        <v>59</v>
      </c>
      <c r="E134" s="121" t="s">
        <v>69</v>
      </c>
      <c r="F134" s="121" t="s">
        <v>45</v>
      </c>
      <c r="G134" s="121" t="s">
        <v>234</v>
      </c>
      <c r="H134" s="121" t="s">
        <v>233</v>
      </c>
      <c r="I134" s="122">
        <v>1617</v>
      </c>
      <c r="J134" s="122">
        <v>260.403952</v>
      </c>
      <c r="K134" s="122">
        <v>305.09433962264154</v>
      </c>
      <c r="L134" s="122">
        <v>49.132821132075478</v>
      </c>
      <c r="M134" s="123">
        <v>5.3</v>
      </c>
      <c r="N134" s="123">
        <v>75.3</v>
      </c>
      <c r="O134" s="123">
        <v>3.1E-2</v>
      </c>
    </row>
    <row r="135" spans="1:15" x14ac:dyDescent="0.35">
      <c r="A135" s="120">
        <v>45269</v>
      </c>
      <c r="B135" s="121" t="s">
        <v>42</v>
      </c>
      <c r="C135" s="121" t="s">
        <v>49</v>
      </c>
      <c r="D135" s="121" t="s">
        <v>59</v>
      </c>
      <c r="E135" s="121" t="s">
        <v>69</v>
      </c>
      <c r="F135" s="121" t="s">
        <v>55</v>
      </c>
      <c r="G135" s="121" t="s">
        <v>234</v>
      </c>
      <c r="H135" s="121" t="s">
        <v>233</v>
      </c>
      <c r="I135" s="122">
        <v>322</v>
      </c>
      <c r="J135" s="122">
        <v>58.094623999999996</v>
      </c>
      <c r="K135" s="122">
        <v>109.77272727272728</v>
      </c>
      <c r="L135" s="122">
        <v>19.804985454545456</v>
      </c>
      <c r="M135" s="123">
        <v>2.9333333333333331</v>
      </c>
      <c r="N135" s="123">
        <v>78.900000000000006</v>
      </c>
      <c r="O135" s="123">
        <v>0.35799999999999998</v>
      </c>
    </row>
    <row r="136" spans="1:15" x14ac:dyDescent="0.35">
      <c r="A136" s="120">
        <v>45269</v>
      </c>
      <c r="B136" s="121" t="s">
        <v>46</v>
      </c>
      <c r="C136" s="121" t="s">
        <v>49</v>
      </c>
      <c r="D136" s="121" t="s">
        <v>59</v>
      </c>
      <c r="E136" s="121" t="s">
        <v>69</v>
      </c>
      <c r="F136" s="121" t="s">
        <v>55</v>
      </c>
      <c r="G136" s="121" t="s">
        <v>234</v>
      </c>
      <c r="H136" s="121" t="s">
        <v>233</v>
      </c>
      <c r="I136" s="122">
        <v>1072</v>
      </c>
      <c r="J136" s="122">
        <v>172.93660399999999</v>
      </c>
      <c r="K136" s="122">
        <v>219.52218430034128</v>
      </c>
      <c r="L136" s="122">
        <v>35.413639044368594</v>
      </c>
      <c r="M136" s="123">
        <v>4.8833333333333337</v>
      </c>
      <c r="N136" s="123">
        <v>78.900000000000006</v>
      </c>
      <c r="O136" s="123">
        <v>0.35799999999999998</v>
      </c>
    </row>
    <row r="137" spans="1:15" x14ac:dyDescent="0.35">
      <c r="A137" s="120">
        <v>45271</v>
      </c>
      <c r="B137" s="121" t="s">
        <v>46</v>
      </c>
      <c r="C137" s="121" t="s">
        <v>51</v>
      </c>
      <c r="D137" s="121" t="s">
        <v>59</v>
      </c>
      <c r="E137" s="121" t="s">
        <v>166</v>
      </c>
      <c r="F137" s="121" t="s">
        <v>45</v>
      </c>
      <c r="G137" s="121" t="s">
        <v>234</v>
      </c>
      <c r="H137" s="121" t="s">
        <v>233</v>
      </c>
      <c r="I137" s="122">
        <v>1044.5</v>
      </c>
      <c r="J137" s="122">
        <v>180.80057600000001</v>
      </c>
      <c r="K137" s="122">
        <v>250.67999999999998</v>
      </c>
      <c r="L137" s="122">
        <v>43.392138240000001</v>
      </c>
      <c r="M137" s="123">
        <v>4.166666666666667</v>
      </c>
      <c r="N137" s="123">
        <v>62.7</v>
      </c>
      <c r="O137" s="123">
        <v>0</v>
      </c>
    </row>
    <row r="138" spans="1:15" x14ac:dyDescent="0.35">
      <c r="A138" s="120">
        <v>45273</v>
      </c>
      <c r="B138" s="121" t="s">
        <v>42</v>
      </c>
      <c r="C138" s="121" t="s">
        <v>44</v>
      </c>
      <c r="D138" s="121" t="s">
        <v>59</v>
      </c>
      <c r="E138" s="121" t="s">
        <v>166</v>
      </c>
      <c r="F138" s="121" t="s">
        <v>45</v>
      </c>
      <c r="G138" s="121" t="s">
        <v>234</v>
      </c>
      <c r="H138" s="121" t="s">
        <v>233</v>
      </c>
      <c r="I138" s="122">
        <v>695</v>
      </c>
      <c r="J138" s="122">
        <v>127.98885600000001</v>
      </c>
      <c r="K138" s="122">
        <v>135.38961038961037</v>
      </c>
      <c r="L138" s="122">
        <v>24.932894025974026</v>
      </c>
      <c r="M138" s="123">
        <v>5.1333333333333337</v>
      </c>
      <c r="N138" s="123">
        <v>59.1</v>
      </c>
      <c r="O138" s="123">
        <v>1.0999999999999999E-2</v>
      </c>
    </row>
    <row r="139" spans="1:15" x14ac:dyDescent="0.35">
      <c r="A139" s="120">
        <v>45275</v>
      </c>
      <c r="B139" s="121" t="s">
        <v>46</v>
      </c>
      <c r="C139" s="121" t="s">
        <v>48</v>
      </c>
      <c r="D139" s="121" t="s">
        <v>59</v>
      </c>
      <c r="E139" s="121" t="s">
        <v>69</v>
      </c>
      <c r="F139" s="121" t="s">
        <v>45</v>
      </c>
      <c r="G139" s="121" t="s">
        <v>234</v>
      </c>
      <c r="H139" s="121" t="s">
        <v>233</v>
      </c>
      <c r="I139" s="122">
        <v>659</v>
      </c>
      <c r="J139" s="122">
        <v>121.60652</v>
      </c>
      <c r="K139" s="122">
        <v>191.94174757281556</v>
      </c>
      <c r="L139" s="122">
        <v>35.41937475728156</v>
      </c>
      <c r="M139" s="123">
        <v>3.4333333333333331</v>
      </c>
      <c r="N139" s="123">
        <v>64.400000000000006</v>
      </c>
      <c r="O139" s="123">
        <v>0.29699999999999999</v>
      </c>
    </row>
    <row r="140" spans="1:15" x14ac:dyDescent="0.35">
      <c r="A140" s="120">
        <v>45276</v>
      </c>
      <c r="B140" s="121" t="s">
        <v>46</v>
      </c>
      <c r="C140" s="121" t="s">
        <v>49</v>
      </c>
      <c r="D140" s="121" t="s">
        <v>59</v>
      </c>
      <c r="E140" s="121" t="s">
        <v>69</v>
      </c>
      <c r="F140" s="121" t="s">
        <v>45</v>
      </c>
      <c r="G140" s="121" t="s">
        <v>234</v>
      </c>
      <c r="H140" s="121" t="s">
        <v>233</v>
      </c>
      <c r="I140" s="122">
        <v>1181</v>
      </c>
      <c r="J140" s="122">
        <v>181.37616800000001</v>
      </c>
      <c r="K140" s="122">
        <v>236.2</v>
      </c>
      <c r="L140" s="122">
        <v>36.2752336</v>
      </c>
      <c r="M140" s="123">
        <v>5</v>
      </c>
      <c r="N140" s="123">
        <v>62.6</v>
      </c>
      <c r="O140" s="123">
        <v>3.7999999999999999E-2</v>
      </c>
    </row>
    <row r="141" spans="1:15" x14ac:dyDescent="0.35">
      <c r="A141" s="120">
        <v>45277</v>
      </c>
      <c r="B141" s="121" t="s">
        <v>46</v>
      </c>
      <c r="C141" s="121" t="s">
        <v>50</v>
      </c>
      <c r="D141" s="121" t="s">
        <v>59</v>
      </c>
      <c r="E141" s="121" t="s">
        <v>69</v>
      </c>
      <c r="F141" s="121" t="s">
        <v>45</v>
      </c>
      <c r="G141" s="121" t="s">
        <v>234</v>
      </c>
      <c r="H141" s="121" t="s">
        <v>233</v>
      </c>
      <c r="I141" s="122">
        <v>1390</v>
      </c>
      <c r="J141" s="122">
        <v>217.58837200000002</v>
      </c>
      <c r="K141" s="122">
        <v>247.47774480712167</v>
      </c>
      <c r="L141" s="122">
        <v>38.73976949554897</v>
      </c>
      <c r="M141" s="123">
        <v>5.6166666666666663</v>
      </c>
      <c r="N141" s="123">
        <v>66.3</v>
      </c>
      <c r="O141" s="123">
        <v>0</v>
      </c>
    </row>
    <row r="142" spans="1:15" x14ac:dyDescent="0.35">
      <c r="A142" s="120">
        <v>45278</v>
      </c>
      <c r="B142" s="121" t="s">
        <v>46</v>
      </c>
      <c r="C142" s="121" t="s">
        <v>51</v>
      </c>
      <c r="D142" s="121" t="s">
        <v>59</v>
      </c>
      <c r="E142" s="121" t="s">
        <v>166</v>
      </c>
      <c r="F142" s="121" t="s">
        <v>45</v>
      </c>
      <c r="G142" s="121" t="s">
        <v>234</v>
      </c>
      <c r="H142" s="121" t="s">
        <v>233</v>
      </c>
      <c r="I142" s="122">
        <v>1140</v>
      </c>
      <c r="J142" s="122">
        <v>187.37920400000002</v>
      </c>
      <c r="K142" s="122">
        <v>201.76991150442475</v>
      </c>
      <c r="L142" s="122">
        <v>33.164460884955751</v>
      </c>
      <c r="M142" s="123">
        <v>5.65</v>
      </c>
      <c r="N142" s="123">
        <v>70</v>
      </c>
      <c r="O142" s="123">
        <v>0</v>
      </c>
    </row>
    <row r="143" spans="1:15" x14ac:dyDescent="0.35">
      <c r="A143" s="120">
        <v>45281</v>
      </c>
      <c r="B143" s="121" t="s">
        <v>46</v>
      </c>
      <c r="C143" s="121" t="s">
        <v>47</v>
      </c>
      <c r="D143" s="121" t="s">
        <v>59</v>
      </c>
      <c r="E143" s="121" t="s">
        <v>166</v>
      </c>
      <c r="F143" s="121" t="s">
        <v>45</v>
      </c>
      <c r="G143" s="121" t="s">
        <v>234</v>
      </c>
      <c r="H143" s="121" t="s">
        <v>233</v>
      </c>
      <c r="I143" s="122">
        <v>1102</v>
      </c>
      <c r="J143" s="122">
        <v>199.11728000000002</v>
      </c>
      <c r="K143" s="122">
        <v>205.34161490683232</v>
      </c>
      <c r="L143" s="122">
        <v>37.102598757763985</v>
      </c>
      <c r="M143" s="123">
        <v>5.3666666666666663</v>
      </c>
      <c r="N143" s="123">
        <v>63.5</v>
      </c>
      <c r="O143" s="123">
        <v>0</v>
      </c>
    </row>
    <row r="144" spans="1:15" x14ac:dyDescent="0.35">
      <c r="A144" s="120">
        <v>45282</v>
      </c>
      <c r="B144" s="121" t="s">
        <v>46</v>
      </c>
      <c r="C144" s="121" t="s">
        <v>48</v>
      </c>
      <c r="D144" s="121" t="s">
        <v>59</v>
      </c>
      <c r="E144" s="121" t="s">
        <v>69</v>
      </c>
      <c r="F144" s="121" t="s">
        <v>45</v>
      </c>
      <c r="G144" s="121" t="s">
        <v>234</v>
      </c>
      <c r="H144" s="121" t="s">
        <v>233</v>
      </c>
      <c r="I144" s="122">
        <v>1445</v>
      </c>
      <c r="J144" s="122">
        <v>232.50149599999997</v>
      </c>
      <c r="K144" s="122">
        <v>272.64150943396226</v>
      </c>
      <c r="L144" s="122">
        <v>43.868206792452824</v>
      </c>
      <c r="M144" s="123">
        <v>5.3</v>
      </c>
      <c r="N144" s="123">
        <v>69.900000000000006</v>
      </c>
      <c r="O144" s="123">
        <v>1E-3</v>
      </c>
    </row>
    <row r="145" spans="1:15" x14ac:dyDescent="0.35">
      <c r="A145" s="120">
        <v>45283</v>
      </c>
      <c r="B145" s="121" t="s">
        <v>46</v>
      </c>
      <c r="C145" s="121" t="s">
        <v>49</v>
      </c>
      <c r="D145" s="121" t="s">
        <v>59</v>
      </c>
      <c r="E145" s="121" t="s">
        <v>69</v>
      </c>
      <c r="F145" s="121" t="s">
        <v>45</v>
      </c>
      <c r="G145" s="121" t="s">
        <v>234</v>
      </c>
      <c r="H145" s="121" t="s">
        <v>233</v>
      </c>
      <c r="I145" s="122">
        <v>1427</v>
      </c>
      <c r="J145" s="122">
        <v>259.20059599999996</v>
      </c>
      <c r="K145" s="122">
        <v>261.83486238532112</v>
      </c>
      <c r="L145" s="122">
        <v>47.559742385321094</v>
      </c>
      <c r="M145" s="123">
        <v>5.45</v>
      </c>
      <c r="N145" s="123">
        <v>71.7</v>
      </c>
      <c r="O145" s="123">
        <v>6.2E-2</v>
      </c>
    </row>
    <row r="146" spans="1:15" x14ac:dyDescent="0.35">
      <c r="A146" s="120">
        <v>45287</v>
      </c>
      <c r="B146" s="121" t="s">
        <v>42</v>
      </c>
      <c r="C146" s="121" t="s">
        <v>44</v>
      </c>
      <c r="D146" s="121" t="s">
        <v>59</v>
      </c>
      <c r="E146" s="121" t="s">
        <v>166</v>
      </c>
      <c r="F146" s="121" t="s">
        <v>55</v>
      </c>
      <c r="G146" s="121" t="s">
        <v>234</v>
      </c>
      <c r="H146" s="121" t="s">
        <v>233</v>
      </c>
      <c r="I146" s="122">
        <v>1065.5</v>
      </c>
      <c r="J146" s="122">
        <v>208.52860799999999</v>
      </c>
      <c r="K146" s="122">
        <v>218.93835616438358</v>
      </c>
      <c r="L146" s="122">
        <v>42.848344109589043</v>
      </c>
      <c r="M146" s="123">
        <v>4.8666666666666663</v>
      </c>
      <c r="N146" s="123">
        <v>63.5</v>
      </c>
      <c r="O146" s="123">
        <v>0</v>
      </c>
    </row>
    <row r="147" spans="1:15" x14ac:dyDescent="0.35">
      <c r="A147" s="120">
        <v>45287</v>
      </c>
      <c r="B147" s="121" t="s">
        <v>46</v>
      </c>
      <c r="C147" s="121" t="s">
        <v>44</v>
      </c>
      <c r="D147" s="121" t="s">
        <v>59</v>
      </c>
      <c r="E147" s="121" t="s">
        <v>166</v>
      </c>
      <c r="F147" s="121" t="s">
        <v>55</v>
      </c>
      <c r="G147" s="121" t="s">
        <v>234</v>
      </c>
      <c r="H147" s="121" t="s">
        <v>233</v>
      </c>
      <c r="I147" s="122">
        <v>1625.5</v>
      </c>
      <c r="J147" s="122">
        <v>286.64925200000005</v>
      </c>
      <c r="K147" s="122">
        <v>368.03773584905656</v>
      </c>
      <c r="L147" s="122">
        <v>64.901717433962276</v>
      </c>
      <c r="M147" s="123">
        <v>4.416666666666667</v>
      </c>
      <c r="N147" s="123">
        <v>63.5</v>
      </c>
      <c r="O147" s="123">
        <v>0</v>
      </c>
    </row>
    <row r="148" spans="1:15" x14ac:dyDescent="0.35">
      <c r="A148" s="120">
        <v>45289</v>
      </c>
      <c r="B148" s="121" t="s">
        <v>46</v>
      </c>
      <c r="C148" s="121" t="s">
        <v>48</v>
      </c>
      <c r="D148" s="121" t="s">
        <v>59</v>
      </c>
      <c r="E148" s="121" t="s">
        <v>69</v>
      </c>
      <c r="F148" s="121" t="s">
        <v>45</v>
      </c>
      <c r="G148" s="121" t="s">
        <v>234</v>
      </c>
      <c r="H148" s="121" t="s">
        <v>233</v>
      </c>
      <c r="I148" s="122">
        <v>1304</v>
      </c>
      <c r="J148" s="122">
        <v>216.11023999999998</v>
      </c>
      <c r="K148" s="122">
        <v>259.07284768211923</v>
      </c>
      <c r="L148" s="122">
        <v>42.935809271523176</v>
      </c>
      <c r="M148" s="123">
        <v>5.0333333333333332</v>
      </c>
      <c r="N148" s="123">
        <v>53.7</v>
      </c>
      <c r="O148" s="123">
        <v>0</v>
      </c>
    </row>
    <row r="149" spans="1:15" x14ac:dyDescent="0.35">
      <c r="A149" s="120">
        <v>45290</v>
      </c>
      <c r="B149" s="121" t="s">
        <v>46</v>
      </c>
      <c r="C149" s="121" t="s">
        <v>49</v>
      </c>
      <c r="D149" s="121" t="s">
        <v>59</v>
      </c>
      <c r="E149" s="121" t="s">
        <v>69</v>
      </c>
      <c r="F149" s="121" t="s">
        <v>45</v>
      </c>
      <c r="G149" s="121" t="s">
        <v>234</v>
      </c>
      <c r="H149" s="121" t="s">
        <v>233</v>
      </c>
      <c r="I149" s="122">
        <v>1261</v>
      </c>
      <c r="J149" s="122">
        <v>193.792216</v>
      </c>
      <c r="K149" s="122">
        <v>257.34693877551018</v>
      </c>
      <c r="L149" s="122">
        <v>39.549431836734691</v>
      </c>
      <c r="M149" s="123">
        <v>4.9000000000000004</v>
      </c>
      <c r="N149" s="123">
        <v>64.5</v>
      </c>
      <c r="O149" s="123">
        <v>0</v>
      </c>
    </row>
    <row r="150" spans="1:15" x14ac:dyDescent="0.35">
      <c r="A150" s="120">
        <v>45292</v>
      </c>
      <c r="B150" s="121" t="s">
        <v>42</v>
      </c>
      <c r="C150" s="121" t="s">
        <v>51</v>
      </c>
      <c r="D150" s="121" t="s">
        <v>60</v>
      </c>
      <c r="E150" s="121" t="s">
        <v>166</v>
      </c>
      <c r="F150" s="121" t="s">
        <v>55</v>
      </c>
      <c r="G150" s="121" t="s">
        <v>234</v>
      </c>
      <c r="H150" s="121" t="s">
        <v>233</v>
      </c>
      <c r="I150" s="122">
        <v>298</v>
      </c>
      <c r="J150" s="122">
        <v>59.834435999999997</v>
      </c>
      <c r="K150" s="122">
        <v>88.078817733990149</v>
      </c>
      <c r="L150" s="122">
        <v>17.685054975369457</v>
      </c>
      <c r="M150" s="123">
        <v>3.3833333333333333</v>
      </c>
      <c r="N150" s="123">
        <v>64.3</v>
      </c>
      <c r="O150" s="123">
        <v>1.008</v>
      </c>
    </row>
    <row r="151" spans="1:15" x14ac:dyDescent="0.35">
      <c r="A151" s="120">
        <v>45292</v>
      </c>
      <c r="B151" s="121" t="s">
        <v>46</v>
      </c>
      <c r="C151" s="121" t="s">
        <v>51</v>
      </c>
      <c r="D151" s="121" t="s">
        <v>60</v>
      </c>
      <c r="E151" s="121" t="s">
        <v>166</v>
      </c>
      <c r="F151" s="121" t="s">
        <v>55</v>
      </c>
      <c r="G151" s="121" t="s">
        <v>234</v>
      </c>
      <c r="H151" s="121" t="s">
        <v>233</v>
      </c>
      <c r="I151" s="122">
        <v>946.5</v>
      </c>
      <c r="J151" s="122">
        <v>167.03622000000001</v>
      </c>
      <c r="K151" s="122">
        <v>254.66367713004485</v>
      </c>
      <c r="L151" s="122">
        <v>44.942480717488792</v>
      </c>
      <c r="M151" s="123">
        <v>3.7166666666666668</v>
      </c>
      <c r="N151" s="123">
        <v>64.3</v>
      </c>
      <c r="O151" s="123">
        <v>1.008</v>
      </c>
    </row>
    <row r="152" spans="1:15" x14ac:dyDescent="0.35">
      <c r="A152" s="120">
        <v>45294</v>
      </c>
      <c r="B152" s="121" t="s">
        <v>46</v>
      </c>
      <c r="C152" s="121" t="s">
        <v>44</v>
      </c>
      <c r="D152" s="121" t="s">
        <v>60</v>
      </c>
      <c r="E152" s="121" t="s">
        <v>166</v>
      </c>
      <c r="F152" s="121" t="s">
        <v>45</v>
      </c>
      <c r="G152" s="121" t="s">
        <v>234</v>
      </c>
      <c r="H152" s="121" t="s">
        <v>233</v>
      </c>
      <c r="I152" s="122">
        <v>1426.5</v>
      </c>
      <c r="J152" s="122">
        <v>258.35831999999999</v>
      </c>
      <c r="K152" s="122">
        <v>221.73575129533677</v>
      </c>
      <c r="L152" s="122">
        <v>40.159324352331602</v>
      </c>
      <c r="M152" s="123">
        <v>6.4333333333333336</v>
      </c>
      <c r="N152" s="123">
        <v>57.2</v>
      </c>
      <c r="O152" s="123">
        <v>0.71399999999999997</v>
      </c>
    </row>
    <row r="153" spans="1:15" x14ac:dyDescent="0.35">
      <c r="A153" s="120">
        <v>45296</v>
      </c>
      <c r="B153" s="121" t="s">
        <v>46</v>
      </c>
      <c r="C153" s="121" t="s">
        <v>48</v>
      </c>
      <c r="D153" s="121" t="s">
        <v>60</v>
      </c>
      <c r="E153" s="121" t="s">
        <v>69</v>
      </c>
      <c r="F153" s="121" t="s">
        <v>45</v>
      </c>
      <c r="G153" s="121" t="s">
        <v>234</v>
      </c>
      <c r="H153" s="121" t="s">
        <v>233</v>
      </c>
      <c r="I153" s="122">
        <v>1373.5</v>
      </c>
      <c r="J153" s="122">
        <v>213.26584799999998</v>
      </c>
      <c r="K153" s="122">
        <v>286.14583333333337</v>
      </c>
      <c r="L153" s="122">
        <v>44.430384999999994</v>
      </c>
      <c r="M153" s="123">
        <v>4.8</v>
      </c>
      <c r="N153" s="123">
        <v>60.9</v>
      </c>
      <c r="O153" s="123">
        <v>1.109</v>
      </c>
    </row>
    <row r="154" spans="1:15" x14ac:dyDescent="0.35">
      <c r="A154" s="120">
        <v>45297</v>
      </c>
      <c r="B154" s="121" t="s">
        <v>46</v>
      </c>
      <c r="C154" s="121" t="s">
        <v>49</v>
      </c>
      <c r="D154" s="121" t="s">
        <v>60</v>
      </c>
      <c r="E154" s="121" t="s">
        <v>69</v>
      </c>
      <c r="F154" s="121" t="s">
        <v>45</v>
      </c>
      <c r="G154" s="121" t="s">
        <v>234</v>
      </c>
      <c r="H154" s="121" t="s">
        <v>233</v>
      </c>
      <c r="I154" s="122">
        <v>1280</v>
      </c>
      <c r="J154" s="122">
        <v>197.23952</v>
      </c>
      <c r="K154" s="122">
        <v>235.58282208588955</v>
      </c>
      <c r="L154" s="122">
        <v>36.301752147239263</v>
      </c>
      <c r="M154" s="123">
        <v>5.4333333333333336</v>
      </c>
      <c r="N154" s="123">
        <v>60.9</v>
      </c>
      <c r="O154" s="123">
        <v>0</v>
      </c>
    </row>
    <row r="155" spans="1:15" x14ac:dyDescent="0.35">
      <c r="A155" s="120">
        <v>45298</v>
      </c>
      <c r="B155" s="121" t="s">
        <v>46</v>
      </c>
      <c r="C155" s="121" t="s">
        <v>50</v>
      </c>
      <c r="D155" s="121" t="s">
        <v>60</v>
      </c>
      <c r="E155" s="121" t="s">
        <v>69</v>
      </c>
      <c r="F155" s="121" t="s">
        <v>45</v>
      </c>
      <c r="G155" s="121" t="s">
        <v>234</v>
      </c>
      <c r="H155" s="121" t="s">
        <v>233</v>
      </c>
      <c r="I155" s="122">
        <v>1389.5</v>
      </c>
      <c r="J155" s="122">
        <v>233.85552799999999</v>
      </c>
      <c r="K155" s="122">
        <v>265.50955414012736</v>
      </c>
      <c r="L155" s="122">
        <v>44.685769681528662</v>
      </c>
      <c r="M155" s="123">
        <v>5.2333333333333334</v>
      </c>
      <c r="N155" s="123">
        <v>59.1</v>
      </c>
      <c r="O155" s="123">
        <v>0</v>
      </c>
    </row>
    <row r="156" spans="1:15" x14ac:dyDescent="0.35">
      <c r="A156" s="120">
        <v>45299</v>
      </c>
      <c r="B156" s="121" t="s">
        <v>46</v>
      </c>
      <c r="C156" s="121" t="s">
        <v>51</v>
      </c>
      <c r="D156" s="121" t="s">
        <v>60</v>
      </c>
      <c r="E156" s="121" t="s">
        <v>166</v>
      </c>
      <c r="F156" s="121" t="s">
        <v>45</v>
      </c>
      <c r="G156" s="121" t="s">
        <v>234</v>
      </c>
      <c r="H156" s="121" t="s">
        <v>233</v>
      </c>
      <c r="I156" s="122">
        <v>491.5</v>
      </c>
      <c r="J156" s="122">
        <v>92.215599999999995</v>
      </c>
      <c r="K156" s="122">
        <v>80.135869565217391</v>
      </c>
      <c r="L156" s="122">
        <v>15.035152173913042</v>
      </c>
      <c r="M156" s="123">
        <v>6.1333333333333337</v>
      </c>
      <c r="N156" s="123">
        <v>73.400000000000006</v>
      </c>
      <c r="O156" s="123">
        <v>0.46200000000000002</v>
      </c>
    </row>
    <row r="157" spans="1:15" x14ac:dyDescent="0.35">
      <c r="A157" s="120">
        <v>45301</v>
      </c>
      <c r="B157" s="121" t="s">
        <v>46</v>
      </c>
      <c r="C157" s="121" t="s">
        <v>44</v>
      </c>
      <c r="D157" s="121" t="s">
        <v>60</v>
      </c>
      <c r="E157" s="121" t="s">
        <v>166</v>
      </c>
      <c r="F157" s="121" t="s">
        <v>45</v>
      </c>
      <c r="G157" s="121" t="s">
        <v>234</v>
      </c>
      <c r="H157" s="121" t="s">
        <v>233</v>
      </c>
      <c r="I157" s="122">
        <v>1140.5</v>
      </c>
      <c r="J157" s="122">
        <v>171.09210000000002</v>
      </c>
      <c r="K157" s="122">
        <v>196.07449856733524</v>
      </c>
      <c r="L157" s="122">
        <v>29.414114613180519</v>
      </c>
      <c r="M157" s="123">
        <v>5.8166666666666664</v>
      </c>
      <c r="N157" s="123">
        <v>66.3</v>
      </c>
      <c r="O157" s="123">
        <v>0</v>
      </c>
    </row>
    <row r="158" spans="1:15" x14ac:dyDescent="0.35">
      <c r="A158" s="120">
        <v>45303</v>
      </c>
      <c r="B158" s="121" t="s">
        <v>46</v>
      </c>
      <c r="C158" s="121" t="s">
        <v>48</v>
      </c>
      <c r="D158" s="121" t="s">
        <v>60</v>
      </c>
      <c r="E158" s="121" t="s">
        <v>69</v>
      </c>
      <c r="F158" s="121" t="s">
        <v>45</v>
      </c>
      <c r="G158" s="121" t="s">
        <v>234</v>
      </c>
      <c r="H158" s="121" t="s">
        <v>233</v>
      </c>
      <c r="I158" s="122">
        <v>1276.5</v>
      </c>
      <c r="J158" s="122">
        <v>215.94746000000001</v>
      </c>
      <c r="K158" s="122">
        <v>213.34261838440111</v>
      </c>
      <c r="L158" s="122">
        <v>36.091497493036215</v>
      </c>
      <c r="M158" s="123">
        <v>5.9833333333333334</v>
      </c>
      <c r="N158" s="123">
        <v>69.8</v>
      </c>
      <c r="O158" s="123">
        <v>0</v>
      </c>
    </row>
    <row r="159" spans="1:15" x14ac:dyDescent="0.35">
      <c r="A159" s="120">
        <v>45304</v>
      </c>
      <c r="B159" s="121" t="s">
        <v>46</v>
      </c>
      <c r="C159" s="121" t="s">
        <v>49</v>
      </c>
      <c r="D159" s="121" t="s">
        <v>60</v>
      </c>
      <c r="E159" s="121" t="s">
        <v>69</v>
      </c>
      <c r="F159" s="121" t="s">
        <v>45</v>
      </c>
      <c r="G159" s="121" t="s">
        <v>234</v>
      </c>
      <c r="H159" s="121" t="s">
        <v>233</v>
      </c>
      <c r="I159" s="122">
        <v>1227</v>
      </c>
      <c r="J159" s="122">
        <v>228.13538799999998</v>
      </c>
      <c r="K159" s="122">
        <v>195.27851458885942</v>
      </c>
      <c r="L159" s="122">
        <v>36.308019310344825</v>
      </c>
      <c r="M159" s="123">
        <v>6.2833333333333332</v>
      </c>
      <c r="N159" s="123">
        <v>62.6</v>
      </c>
      <c r="O159" s="123">
        <v>0</v>
      </c>
    </row>
    <row r="160" spans="1:15" x14ac:dyDescent="0.35">
      <c r="A160" s="120">
        <v>45308</v>
      </c>
      <c r="B160" s="121" t="s">
        <v>46</v>
      </c>
      <c r="C160" s="121" t="s">
        <v>44</v>
      </c>
      <c r="D160" s="121" t="s">
        <v>60</v>
      </c>
      <c r="E160" s="121" t="s">
        <v>166</v>
      </c>
      <c r="F160" s="121" t="s">
        <v>45</v>
      </c>
      <c r="G160" s="121" t="s">
        <v>234</v>
      </c>
      <c r="H160" s="121" t="s">
        <v>233</v>
      </c>
      <c r="I160" s="122">
        <v>454</v>
      </c>
      <c r="J160" s="122">
        <v>78.785280000000014</v>
      </c>
      <c r="K160" s="122">
        <v>83.048780487804876</v>
      </c>
      <c r="L160" s="122">
        <v>14.411941463414637</v>
      </c>
      <c r="M160" s="123">
        <v>5.4666666666666668</v>
      </c>
      <c r="N160" s="123">
        <v>42.8</v>
      </c>
      <c r="O160" s="123">
        <v>0</v>
      </c>
    </row>
    <row r="161" spans="1:15" x14ac:dyDescent="0.35">
      <c r="A161" s="120">
        <v>45309</v>
      </c>
      <c r="B161" s="121" t="s">
        <v>42</v>
      </c>
      <c r="C161" s="121" t="s">
        <v>47</v>
      </c>
      <c r="D161" s="121" t="s">
        <v>60</v>
      </c>
      <c r="E161" s="121" t="s">
        <v>166</v>
      </c>
      <c r="F161" s="121" t="s">
        <v>45</v>
      </c>
      <c r="G161" s="121" t="s">
        <v>234</v>
      </c>
      <c r="H161" s="121" t="s">
        <v>233</v>
      </c>
      <c r="I161" s="122">
        <v>919</v>
      </c>
      <c r="J161" s="122">
        <v>148.03595600000003</v>
      </c>
      <c r="K161" s="122">
        <v>175.04761904761904</v>
      </c>
      <c r="L161" s="122">
        <v>28.197324952380956</v>
      </c>
      <c r="M161" s="123">
        <v>5.25</v>
      </c>
      <c r="N161" s="123">
        <v>62.6</v>
      </c>
      <c r="O161" s="123">
        <v>0</v>
      </c>
    </row>
    <row r="162" spans="1:15" x14ac:dyDescent="0.35">
      <c r="A162" s="120">
        <v>45310</v>
      </c>
      <c r="B162" s="121" t="s">
        <v>46</v>
      </c>
      <c r="C162" s="121" t="s">
        <v>48</v>
      </c>
      <c r="D162" s="121" t="s">
        <v>60</v>
      </c>
      <c r="E162" s="121" t="s">
        <v>69</v>
      </c>
      <c r="F162" s="121" t="s">
        <v>45</v>
      </c>
      <c r="G162" s="121" t="s">
        <v>234</v>
      </c>
      <c r="H162" s="121" t="s">
        <v>233</v>
      </c>
      <c r="I162" s="122">
        <v>1417</v>
      </c>
      <c r="J162" s="122">
        <v>235.33174</v>
      </c>
      <c r="K162" s="122">
        <v>271.62939297124598</v>
      </c>
      <c r="L162" s="122">
        <v>45.111515654952072</v>
      </c>
      <c r="M162" s="123">
        <v>5.2166666666666668</v>
      </c>
      <c r="N162" s="123">
        <v>60.4</v>
      </c>
      <c r="O162" s="123">
        <v>0</v>
      </c>
    </row>
    <row r="163" spans="1:15" x14ac:dyDescent="0.35">
      <c r="A163" s="120">
        <v>45311</v>
      </c>
      <c r="B163" s="121" t="s">
        <v>46</v>
      </c>
      <c r="C163" s="121" t="s">
        <v>49</v>
      </c>
      <c r="D163" s="121" t="s">
        <v>60</v>
      </c>
      <c r="E163" s="121" t="s">
        <v>69</v>
      </c>
      <c r="F163" s="121" t="s">
        <v>45</v>
      </c>
      <c r="G163" s="121" t="s">
        <v>234</v>
      </c>
      <c r="H163" s="121" t="s">
        <v>233</v>
      </c>
      <c r="I163" s="122">
        <v>1544</v>
      </c>
      <c r="J163" s="122">
        <v>259.32637599999998</v>
      </c>
      <c r="K163" s="122">
        <v>269.30232558139534</v>
      </c>
      <c r="L163" s="122">
        <v>45.231344651162786</v>
      </c>
      <c r="M163" s="123">
        <v>5.7333333333333334</v>
      </c>
      <c r="N163" s="123">
        <v>44.7</v>
      </c>
      <c r="O163" s="123">
        <v>0</v>
      </c>
    </row>
    <row r="164" spans="1:15" x14ac:dyDescent="0.35">
      <c r="A164" s="120">
        <v>45313</v>
      </c>
      <c r="B164" s="121" t="s">
        <v>42</v>
      </c>
      <c r="C164" s="121" t="s">
        <v>51</v>
      </c>
      <c r="D164" s="121" t="s">
        <v>60</v>
      </c>
      <c r="E164" s="121" t="s">
        <v>166</v>
      </c>
      <c r="F164" s="121" t="s">
        <v>45</v>
      </c>
      <c r="G164" s="121" t="s">
        <v>234</v>
      </c>
      <c r="H164" s="121" t="s">
        <v>233</v>
      </c>
      <c r="I164" s="122">
        <v>283.5</v>
      </c>
      <c r="J164" s="122">
        <v>44.028148000000002</v>
      </c>
      <c r="K164" s="122">
        <v>99.473684210526315</v>
      </c>
      <c r="L164" s="122">
        <v>15.44847298245614</v>
      </c>
      <c r="M164" s="123">
        <v>2.85</v>
      </c>
      <c r="N164" s="123">
        <v>64.400000000000006</v>
      </c>
      <c r="O164" s="123">
        <v>0.85299999999999998</v>
      </c>
    </row>
    <row r="165" spans="1:15" x14ac:dyDescent="0.35">
      <c r="A165" s="120">
        <v>45315</v>
      </c>
      <c r="B165" s="121" t="s">
        <v>46</v>
      </c>
      <c r="C165" s="121" t="s">
        <v>44</v>
      </c>
      <c r="D165" s="121" t="s">
        <v>60</v>
      </c>
      <c r="E165" s="121" t="s">
        <v>166</v>
      </c>
      <c r="F165" s="121" t="s">
        <v>45</v>
      </c>
      <c r="G165" s="121" t="s">
        <v>234</v>
      </c>
      <c r="H165" s="121" t="s">
        <v>233</v>
      </c>
      <c r="I165" s="122">
        <v>1000</v>
      </c>
      <c r="J165" s="122">
        <v>167.29</v>
      </c>
      <c r="K165" s="122">
        <v>200</v>
      </c>
      <c r="L165" s="122">
        <v>33.457999999999998</v>
      </c>
      <c r="M165" s="123">
        <v>5</v>
      </c>
      <c r="N165" s="123">
        <v>68</v>
      </c>
      <c r="O165" s="123">
        <v>1.1879999999999999</v>
      </c>
    </row>
    <row r="166" spans="1:15" x14ac:dyDescent="0.35">
      <c r="A166" s="120">
        <v>45316</v>
      </c>
      <c r="B166" s="121" t="s">
        <v>46</v>
      </c>
      <c r="C166" s="121" t="s">
        <v>47</v>
      </c>
      <c r="D166" s="121" t="s">
        <v>60</v>
      </c>
      <c r="E166" s="121" t="s">
        <v>166</v>
      </c>
      <c r="F166" s="121" t="s">
        <v>45</v>
      </c>
      <c r="G166" s="121" t="s">
        <v>234</v>
      </c>
      <c r="H166" s="121" t="s">
        <v>233</v>
      </c>
      <c r="I166" s="122">
        <v>1739</v>
      </c>
      <c r="J166" s="122">
        <v>287.61990400000002</v>
      </c>
      <c r="K166" s="122">
        <v>256.99507389162562</v>
      </c>
      <c r="L166" s="122">
        <v>42.50540453201971</v>
      </c>
      <c r="M166" s="123">
        <v>6.7666666666666666</v>
      </c>
      <c r="N166" s="123">
        <v>69.900000000000006</v>
      </c>
      <c r="O166" s="123">
        <v>0.497</v>
      </c>
    </row>
    <row r="167" spans="1:15" x14ac:dyDescent="0.35">
      <c r="A167" s="120">
        <v>45317</v>
      </c>
      <c r="B167" s="121" t="s">
        <v>46</v>
      </c>
      <c r="C167" s="121" t="s">
        <v>48</v>
      </c>
      <c r="D167" s="121" t="s">
        <v>60</v>
      </c>
      <c r="E167" s="121" t="s">
        <v>69</v>
      </c>
      <c r="F167" s="121" t="s">
        <v>45</v>
      </c>
      <c r="G167" s="121" t="s">
        <v>234</v>
      </c>
      <c r="H167" s="121" t="s">
        <v>233</v>
      </c>
      <c r="I167" s="122">
        <v>1224</v>
      </c>
      <c r="J167" s="122">
        <v>194.26603999999998</v>
      </c>
      <c r="K167" s="122">
        <v>260.42553191489361</v>
      </c>
      <c r="L167" s="122">
        <v>41.333199999999991</v>
      </c>
      <c r="M167" s="123">
        <v>4.7</v>
      </c>
      <c r="N167" s="123">
        <v>62.6</v>
      </c>
      <c r="O167" s="123">
        <v>0.71699999999999997</v>
      </c>
    </row>
    <row r="168" spans="1:15" x14ac:dyDescent="0.35">
      <c r="A168" s="120">
        <v>45318</v>
      </c>
      <c r="B168" s="121" t="s">
        <v>42</v>
      </c>
      <c r="C168" s="121" t="s">
        <v>49</v>
      </c>
      <c r="D168" s="121" t="s">
        <v>60</v>
      </c>
      <c r="E168" s="121" t="s">
        <v>69</v>
      </c>
      <c r="F168" s="121" t="s">
        <v>55</v>
      </c>
      <c r="G168" s="121" t="s">
        <v>234</v>
      </c>
      <c r="H168" s="121" t="s">
        <v>233</v>
      </c>
      <c r="I168" s="122">
        <v>1188.5</v>
      </c>
      <c r="J168" s="122">
        <v>198.829072</v>
      </c>
      <c r="K168" s="122">
        <v>233.03921568627453</v>
      </c>
      <c r="L168" s="122">
        <v>38.98609254901961</v>
      </c>
      <c r="M168" s="123">
        <v>5.0999999999999996</v>
      </c>
      <c r="N168" s="123">
        <v>59.1</v>
      </c>
      <c r="O168" s="123">
        <v>0</v>
      </c>
    </row>
    <row r="169" spans="1:15" x14ac:dyDescent="0.35">
      <c r="A169" s="120">
        <v>45318</v>
      </c>
      <c r="B169" s="121" t="s">
        <v>46</v>
      </c>
      <c r="C169" s="121" t="s">
        <v>49</v>
      </c>
      <c r="D169" s="121" t="s">
        <v>60</v>
      </c>
      <c r="E169" s="121" t="s">
        <v>69</v>
      </c>
      <c r="F169" s="121" t="s">
        <v>55</v>
      </c>
      <c r="G169" s="121" t="s">
        <v>234</v>
      </c>
      <c r="H169" s="121" t="s">
        <v>233</v>
      </c>
      <c r="I169" s="122">
        <v>1192.5</v>
      </c>
      <c r="J169" s="122">
        <v>198.46371199999999</v>
      </c>
      <c r="K169" s="122">
        <v>273.09160305343516</v>
      </c>
      <c r="L169" s="122">
        <v>45.449705038167941</v>
      </c>
      <c r="M169" s="123">
        <v>4.3666666666666663</v>
      </c>
      <c r="N169" s="123">
        <v>59.1</v>
      </c>
      <c r="O169" s="123">
        <v>0</v>
      </c>
    </row>
    <row r="170" spans="1:15" x14ac:dyDescent="0.35">
      <c r="A170" s="120">
        <v>45319</v>
      </c>
      <c r="B170" s="121" t="s">
        <v>46</v>
      </c>
      <c r="C170" s="121" t="s">
        <v>50</v>
      </c>
      <c r="D170" s="121" t="s">
        <v>60</v>
      </c>
      <c r="E170" s="121" t="s">
        <v>69</v>
      </c>
      <c r="F170" s="121" t="s">
        <v>45</v>
      </c>
      <c r="G170" s="121" t="s">
        <v>234</v>
      </c>
      <c r="H170" s="121" t="s">
        <v>233</v>
      </c>
      <c r="I170" s="122">
        <v>908</v>
      </c>
      <c r="J170" s="122">
        <v>144.33091999999999</v>
      </c>
      <c r="K170" s="122">
        <v>209.53846153846155</v>
      </c>
      <c r="L170" s="122">
        <v>33.307135384615385</v>
      </c>
      <c r="M170" s="123">
        <v>4.333333333333333</v>
      </c>
      <c r="N170" s="123">
        <v>60.9</v>
      </c>
      <c r="O170" s="123">
        <v>0</v>
      </c>
    </row>
    <row r="171" spans="1:15" x14ac:dyDescent="0.35">
      <c r="A171" s="120">
        <v>45322</v>
      </c>
      <c r="B171" s="121" t="s">
        <v>46</v>
      </c>
      <c r="C171" s="121" t="s">
        <v>44</v>
      </c>
      <c r="D171" s="121" t="s">
        <v>60</v>
      </c>
      <c r="E171" s="121" t="s">
        <v>166</v>
      </c>
      <c r="F171" s="121" t="s">
        <v>45</v>
      </c>
      <c r="G171" s="121" t="s">
        <v>234</v>
      </c>
      <c r="H171" s="121" t="s">
        <v>233</v>
      </c>
      <c r="I171" s="122">
        <v>1320</v>
      </c>
      <c r="J171" s="122">
        <v>183.97036800000001</v>
      </c>
      <c r="K171" s="122">
        <v>210.63829787234042</v>
      </c>
      <c r="L171" s="122">
        <v>29.356973617021278</v>
      </c>
      <c r="M171" s="123">
        <v>6.2666666666666666</v>
      </c>
      <c r="N171" s="123">
        <v>73.400000000000006</v>
      </c>
      <c r="O171" s="123">
        <v>0</v>
      </c>
    </row>
    <row r="172" spans="1:15" x14ac:dyDescent="0.35">
      <c r="A172" s="120">
        <v>45323</v>
      </c>
      <c r="B172" s="121" t="s">
        <v>46</v>
      </c>
      <c r="C172" s="121" t="s">
        <v>47</v>
      </c>
      <c r="D172" s="121" t="s">
        <v>61</v>
      </c>
      <c r="E172" s="121" t="s">
        <v>166</v>
      </c>
      <c r="F172" s="121" t="s">
        <v>45</v>
      </c>
      <c r="G172" s="121" t="s">
        <v>234</v>
      </c>
      <c r="H172" s="121" t="s">
        <v>233</v>
      </c>
      <c r="I172" s="122">
        <v>1451.5</v>
      </c>
      <c r="J172" s="122">
        <v>241.10095200000001</v>
      </c>
      <c r="K172" s="122">
        <v>218.81909547738692</v>
      </c>
      <c r="L172" s="122">
        <v>36.34687718592965</v>
      </c>
      <c r="M172" s="123">
        <v>6.6333333333333337</v>
      </c>
      <c r="N172" s="123">
        <v>68.099999999999994</v>
      </c>
      <c r="O172" s="123">
        <v>0</v>
      </c>
    </row>
    <row r="173" spans="1:15" x14ac:dyDescent="0.35">
      <c r="A173" s="120">
        <v>45324</v>
      </c>
      <c r="B173" s="121" t="s">
        <v>46</v>
      </c>
      <c r="C173" s="121" t="s">
        <v>48</v>
      </c>
      <c r="D173" s="121" t="s">
        <v>61</v>
      </c>
      <c r="E173" s="121" t="s">
        <v>69</v>
      </c>
      <c r="F173" s="121" t="s">
        <v>45</v>
      </c>
      <c r="G173" s="121" t="s">
        <v>234</v>
      </c>
      <c r="H173" s="121" t="s">
        <v>233</v>
      </c>
      <c r="I173" s="122">
        <v>1462</v>
      </c>
      <c r="J173" s="122">
        <v>276.31105599999995</v>
      </c>
      <c r="K173" s="122">
        <v>183.51464435146443</v>
      </c>
      <c r="L173" s="122">
        <v>34.683396150627608</v>
      </c>
      <c r="M173" s="123">
        <v>7.9666666666666668</v>
      </c>
      <c r="N173" s="123">
        <v>71.7</v>
      </c>
      <c r="O173" s="123">
        <v>1E-3</v>
      </c>
    </row>
    <row r="174" spans="1:15" x14ac:dyDescent="0.35">
      <c r="A174" s="120">
        <v>45325</v>
      </c>
      <c r="B174" s="121" t="s">
        <v>42</v>
      </c>
      <c r="C174" s="121" t="s">
        <v>49</v>
      </c>
      <c r="D174" s="121" t="s">
        <v>61</v>
      </c>
      <c r="E174" s="121" t="s">
        <v>69</v>
      </c>
      <c r="F174" s="121" t="s">
        <v>45</v>
      </c>
      <c r="G174" s="121" t="s">
        <v>234</v>
      </c>
      <c r="H174" s="121" t="s">
        <v>233</v>
      </c>
      <c r="I174" s="122">
        <v>207</v>
      </c>
      <c r="J174" s="122">
        <v>43.126488000000002</v>
      </c>
      <c r="K174" s="122">
        <v>75.731707317073173</v>
      </c>
      <c r="L174" s="122">
        <v>15.777983414634146</v>
      </c>
      <c r="M174" s="123">
        <v>2.7333333333333334</v>
      </c>
      <c r="N174" s="123">
        <v>69.8</v>
      </c>
      <c r="O174" s="123">
        <v>1.2729999999999999</v>
      </c>
    </row>
    <row r="175" spans="1:15" x14ac:dyDescent="0.35">
      <c r="A175" s="120">
        <v>45326</v>
      </c>
      <c r="B175" s="121" t="s">
        <v>46</v>
      </c>
      <c r="C175" s="121" t="s">
        <v>50</v>
      </c>
      <c r="D175" s="121" t="s">
        <v>61</v>
      </c>
      <c r="E175" s="121" t="s">
        <v>69</v>
      </c>
      <c r="F175" s="121" t="s">
        <v>45</v>
      </c>
      <c r="G175" s="121" t="s">
        <v>234</v>
      </c>
      <c r="H175" s="121" t="s">
        <v>233</v>
      </c>
      <c r="I175" s="122">
        <v>1094.5</v>
      </c>
      <c r="J175" s="122">
        <v>187.93316000000002</v>
      </c>
      <c r="K175" s="122">
        <v>273.625</v>
      </c>
      <c r="L175" s="122">
        <v>46.983290000000004</v>
      </c>
      <c r="M175" s="123">
        <v>4</v>
      </c>
      <c r="N175" s="123">
        <v>68.099999999999994</v>
      </c>
      <c r="O175" s="123">
        <v>0</v>
      </c>
    </row>
    <row r="176" spans="1:15" x14ac:dyDescent="0.35">
      <c r="A176" s="120">
        <v>45327</v>
      </c>
      <c r="B176" s="121" t="s">
        <v>42</v>
      </c>
      <c r="C176" s="121" t="s">
        <v>51</v>
      </c>
      <c r="D176" s="121" t="s">
        <v>61</v>
      </c>
      <c r="E176" s="121" t="s">
        <v>166</v>
      </c>
      <c r="F176" s="121" t="s">
        <v>55</v>
      </c>
      <c r="G176" s="121" t="s">
        <v>234</v>
      </c>
      <c r="H176" s="121" t="s">
        <v>233</v>
      </c>
      <c r="I176" s="122">
        <v>334</v>
      </c>
      <c r="J176" s="122">
        <v>57.636924</v>
      </c>
      <c r="K176" s="122">
        <v>132.71523178807948</v>
      </c>
      <c r="L176" s="122">
        <v>22.902089006622518</v>
      </c>
      <c r="M176" s="123">
        <v>2.5166666666666666</v>
      </c>
      <c r="N176" s="123">
        <v>62.7</v>
      </c>
      <c r="O176" s="123">
        <v>0</v>
      </c>
    </row>
    <row r="177" spans="1:15" x14ac:dyDescent="0.35">
      <c r="A177" s="120">
        <v>45327</v>
      </c>
      <c r="B177" s="121" t="s">
        <v>46</v>
      </c>
      <c r="C177" s="121" t="s">
        <v>51</v>
      </c>
      <c r="D177" s="121" t="s">
        <v>61</v>
      </c>
      <c r="E177" s="121" t="s">
        <v>166</v>
      </c>
      <c r="F177" s="121" t="s">
        <v>55</v>
      </c>
      <c r="G177" s="121" t="s">
        <v>234</v>
      </c>
      <c r="H177" s="121" t="s">
        <v>233</v>
      </c>
      <c r="I177" s="122">
        <v>1044</v>
      </c>
      <c r="J177" s="122">
        <v>184.10223999999999</v>
      </c>
      <c r="K177" s="122">
        <v>230.29411764705884</v>
      </c>
      <c r="L177" s="122">
        <v>40.610788235294116</v>
      </c>
      <c r="M177" s="123">
        <v>4.5333333333333332</v>
      </c>
      <c r="N177" s="123">
        <v>62.7</v>
      </c>
      <c r="O177" s="123">
        <v>0</v>
      </c>
    </row>
    <row r="178" spans="1:15" x14ac:dyDescent="0.35">
      <c r="A178" s="120">
        <v>45329</v>
      </c>
      <c r="B178" s="121" t="s">
        <v>42</v>
      </c>
      <c r="C178" s="121" t="s">
        <v>44</v>
      </c>
      <c r="D178" s="121" t="s">
        <v>61</v>
      </c>
      <c r="E178" s="121" t="s">
        <v>166</v>
      </c>
      <c r="F178" s="121" t="s">
        <v>55</v>
      </c>
      <c r="G178" s="121" t="s">
        <v>234</v>
      </c>
      <c r="H178" s="121" t="s">
        <v>233</v>
      </c>
      <c r="I178" s="122">
        <v>980</v>
      </c>
      <c r="J178" s="122">
        <v>220.50298800000002</v>
      </c>
      <c r="K178" s="122">
        <v>259.03083700440527</v>
      </c>
      <c r="L178" s="122">
        <v>58.282728105726875</v>
      </c>
      <c r="M178" s="123">
        <v>3.7833333333333332</v>
      </c>
      <c r="N178" s="123">
        <v>68.099999999999994</v>
      </c>
      <c r="O178" s="123">
        <v>0</v>
      </c>
    </row>
    <row r="179" spans="1:15" x14ac:dyDescent="0.35">
      <c r="A179" s="120">
        <v>45329</v>
      </c>
      <c r="B179" s="121" t="s">
        <v>46</v>
      </c>
      <c r="C179" s="121" t="s">
        <v>44</v>
      </c>
      <c r="D179" s="121" t="s">
        <v>61</v>
      </c>
      <c r="E179" s="121" t="s">
        <v>166</v>
      </c>
      <c r="F179" s="121" t="s">
        <v>55</v>
      </c>
      <c r="G179" s="121" t="s">
        <v>234</v>
      </c>
      <c r="H179" s="121" t="s">
        <v>233</v>
      </c>
      <c r="I179" s="122">
        <v>1491.5</v>
      </c>
      <c r="J179" s="122">
        <v>248.87699599999996</v>
      </c>
      <c r="K179" s="122">
        <v>257.89625360230548</v>
      </c>
      <c r="L179" s="122">
        <v>43.033486340057628</v>
      </c>
      <c r="M179" s="123">
        <v>5.7833333333333332</v>
      </c>
      <c r="N179" s="123">
        <v>68.099999999999994</v>
      </c>
      <c r="O179" s="123">
        <v>0</v>
      </c>
    </row>
    <row r="180" spans="1:15" x14ac:dyDescent="0.35">
      <c r="A180" s="120">
        <v>45330</v>
      </c>
      <c r="B180" s="121" t="s">
        <v>46</v>
      </c>
      <c r="C180" s="121" t="s">
        <v>47</v>
      </c>
      <c r="D180" s="121" t="s">
        <v>61</v>
      </c>
      <c r="E180" s="121" t="s">
        <v>166</v>
      </c>
      <c r="F180" s="121" t="s">
        <v>45</v>
      </c>
      <c r="G180" s="121" t="s">
        <v>234</v>
      </c>
      <c r="H180" s="121" t="s">
        <v>233</v>
      </c>
      <c r="I180" s="122">
        <v>1198</v>
      </c>
      <c r="J180" s="122">
        <v>206.80472799999998</v>
      </c>
      <c r="K180" s="122">
        <v>195.32608695652172</v>
      </c>
      <c r="L180" s="122">
        <v>33.718162173913036</v>
      </c>
      <c r="M180" s="123">
        <v>6.1333333333333337</v>
      </c>
      <c r="N180" s="123">
        <v>73.400000000000006</v>
      </c>
      <c r="O180" s="123">
        <v>0</v>
      </c>
    </row>
    <row r="181" spans="1:15" x14ac:dyDescent="0.35">
      <c r="A181" s="120">
        <v>45332</v>
      </c>
      <c r="B181" s="121" t="s">
        <v>42</v>
      </c>
      <c r="C181" s="121" t="s">
        <v>49</v>
      </c>
      <c r="D181" s="121" t="s">
        <v>61</v>
      </c>
      <c r="E181" s="121" t="s">
        <v>69</v>
      </c>
      <c r="F181" s="121" t="s">
        <v>45</v>
      </c>
      <c r="G181" s="121" t="s">
        <v>234</v>
      </c>
      <c r="H181" s="121" t="s">
        <v>233</v>
      </c>
      <c r="I181" s="122">
        <v>908.5</v>
      </c>
      <c r="J181" s="122">
        <v>175.62089600000002</v>
      </c>
      <c r="K181" s="122">
        <v>184.15540540540539</v>
      </c>
      <c r="L181" s="122">
        <v>35.59883027027027</v>
      </c>
      <c r="M181" s="123">
        <v>4.9333333333333336</v>
      </c>
      <c r="N181" s="123">
        <v>73.400000000000006</v>
      </c>
      <c r="O181" s="123">
        <v>3.7999999999999999E-2</v>
      </c>
    </row>
    <row r="182" spans="1:15" x14ac:dyDescent="0.35">
      <c r="A182" s="120">
        <v>45333</v>
      </c>
      <c r="B182" s="121" t="s">
        <v>42</v>
      </c>
      <c r="C182" s="121" t="s">
        <v>50</v>
      </c>
      <c r="D182" s="121" t="s">
        <v>61</v>
      </c>
      <c r="E182" s="121" t="s">
        <v>69</v>
      </c>
      <c r="F182" s="121" t="s">
        <v>45</v>
      </c>
      <c r="G182" s="121" t="s">
        <v>234</v>
      </c>
      <c r="H182" s="121" t="s">
        <v>233</v>
      </c>
      <c r="I182" s="122">
        <v>513</v>
      </c>
      <c r="J182" s="122">
        <v>87.969680000000011</v>
      </c>
      <c r="K182" s="122">
        <v>139.90909090909091</v>
      </c>
      <c r="L182" s="122">
        <v>23.991730909090911</v>
      </c>
      <c r="M182" s="123">
        <v>3.6666666666666665</v>
      </c>
      <c r="N182" s="123">
        <v>75.3</v>
      </c>
      <c r="O182" s="123">
        <v>0.03</v>
      </c>
    </row>
    <row r="183" spans="1:15" x14ac:dyDescent="0.35">
      <c r="A183" s="120">
        <v>45334</v>
      </c>
      <c r="B183" s="121" t="s">
        <v>42</v>
      </c>
      <c r="C183" s="121" t="s">
        <v>51</v>
      </c>
      <c r="D183" s="121" t="s">
        <v>61</v>
      </c>
      <c r="E183" s="121" t="s">
        <v>166</v>
      </c>
      <c r="F183" s="121" t="s">
        <v>55</v>
      </c>
      <c r="G183" s="121" t="s">
        <v>234</v>
      </c>
      <c r="H183" s="121" t="s">
        <v>233</v>
      </c>
      <c r="I183" s="122">
        <v>55</v>
      </c>
      <c r="J183" s="122">
        <v>12.697699999999999</v>
      </c>
      <c r="K183" s="122">
        <v>28.695652173913043</v>
      </c>
      <c r="L183" s="122">
        <v>6.6248869565217383</v>
      </c>
      <c r="M183" s="123">
        <v>1.9166666666666667</v>
      </c>
      <c r="N183" s="123">
        <v>59.1</v>
      </c>
      <c r="O183" s="123">
        <v>0</v>
      </c>
    </row>
    <row r="184" spans="1:15" x14ac:dyDescent="0.35">
      <c r="A184" s="120">
        <v>45334</v>
      </c>
      <c r="B184" s="121" t="s">
        <v>46</v>
      </c>
      <c r="C184" s="121" t="s">
        <v>51</v>
      </c>
      <c r="D184" s="121" t="s">
        <v>61</v>
      </c>
      <c r="E184" s="121" t="s">
        <v>166</v>
      </c>
      <c r="F184" s="121" t="s">
        <v>55</v>
      </c>
      <c r="G184" s="121" t="s">
        <v>234</v>
      </c>
      <c r="H184" s="121" t="s">
        <v>233</v>
      </c>
      <c r="I184" s="122">
        <v>1041.5</v>
      </c>
      <c r="J184" s="122">
        <v>141.91920399999998</v>
      </c>
      <c r="K184" s="122">
        <v>237.60456273764257</v>
      </c>
      <c r="L184" s="122">
        <v>32.377004714828892</v>
      </c>
      <c r="M184" s="123">
        <v>4.3833333333333337</v>
      </c>
      <c r="N184" s="123">
        <v>59.1</v>
      </c>
      <c r="O184" s="123">
        <v>0</v>
      </c>
    </row>
    <row r="185" spans="1:15" x14ac:dyDescent="0.35">
      <c r="A185" s="120">
        <v>45336</v>
      </c>
      <c r="B185" s="121" t="s">
        <v>46</v>
      </c>
      <c r="C185" s="121" t="s">
        <v>44</v>
      </c>
      <c r="D185" s="121" t="s">
        <v>61</v>
      </c>
      <c r="E185" s="121" t="s">
        <v>166</v>
      </c>
      <c r="F185" s="121" t="s">
        <v>45</v>
      </c>
      <c r="G185" s="121" t="s">
        <v>234</v>
      </c>
      <c r="H185" s="121" t="s">
        <v>233</v>
      </c>
      <c r="I185" s="122">
        <v>2119</v>
      </c>
      <c r="J185" s="122">
        <v>373.043768</v>
      </c>
      <c r="K185" s="122">
        <v>327.68041237113403</v>
      </c>
      <c r="L185" s="122">
        <v>57.687180618556702</v>
      </c>
      <c r="M185" s="123">
        <v>6.4666666666666668</v>
      </c>
      <c r="N185" s="123">
        <v>64.400000000000006</v>
      </c>
      <c r="O185" s="123">
        <v>0</v>
      </c>
    </row>
    <row r="186" spans="1:15" x14ac:dyDescent="0.35">
      <c r="A186" s="120">
        <v>45337</v>
      </c>
      <c r="B186" s="121" t="s">
        <v>46</v>
      </c>
      <c r="C186" s="121" t="s">
        <v>47</v>
      </c>
      <c r="D186" s="121" t="s">
        <v>61</v>
      </c>
      <c r="E186" s="121" t="s">
        <v>166</v>
      </c>
      <c r="F186" s="121" t="s">
        <v>45</v>
      </c>
      <c r="G186" s="121" t="s">
        <v>234</v>
      </c>
      <c r="H186" s="121" t="s">
        <v>233</v>
      </c>
      <c r="I186" s="122">
        <v>1197</v>
      </c>
      <c r="J186" s="122">
        <v>211.08129200000002</v>
      </c>
      <c r="K186" s="122">
        <v>169.78723404255319</v>
      </c>
      <c r="L186" s="122">
        <v>29.940608794326245</v>
      </c>
      <c r="M186" s="123">
        <v>7.05</v>
      </c>
      <c r="N186" s="123">
        <v>71.599999999999994</v>
      </c>
      <c r="O186" s="123">
        <v>0</v>
      </c>
    </row>
    <row r="187" spans="1:15" x14ac:dyDescent="0.35">
      <c r="A187" s="120">
        <v>45339</v>
      </c>
      <c r="B187" s="121" t="s">
        <v>42</v>
      </c>
      <c r="C187" s="121" t="s">
        <v>49</v>
      </c>
      <c r="D187" s="121" t="s">
        <v>61</v>
      </c>
      <c r="E187" s="121" t="s">
        <v>69</v>
      </c>
      <c r="F187" s="121" t="s">
        <v>55</v>
      </c>
      <c r="G187" s="121" t="s">
        <v>234</v>
      </c>
      <c r="H187" s="121" t="s">
        <v>233</v>
      </c>
      <c r="I187" s="122">
        <v>1085</v>
      </c>
      <c r="J187" s="122">
        <v>163.45064799999997</v>
      </c>
      <c r="K187" s="122">
        <v>206.01265822784811</v>
      </c>
      <c r="L187" s="122">
        <v>31.034933164556957</v>
      </c>
      <c r="M187" s="123">
        <v>5.2666666666666666</v>
      </c>
      <c r="N187" s="123">
        <v>62.6</v>
      </c>
      <c r="O187" s="123">
        <v>0</v>
      </c>
    </row>
    <row r="188" spans="1:15" x14ac:dyDescent="0.35">
      <c r="A188" s="120">
        <v>45339</v>
      </c>
      <c r="B188" s="121" t="s">
        <v>46</v>
      </c>
      <c r="C188" s="121" t="s">
        <v>49</v>
      </c>
      <c r="D188" s="121" t="s">
        <v>61</v>
      </c>
      <c r="E188" s="121" t="s">
        <v>69</v>
      </c>
      <c r="F188" s="121" t="s">
        <v>55</v>
      </c>
      <c r="G188" s="121" t="s">
        <v>234</v>
      </c>
      <c r="H188" s="121" t="s">
        <v>233</v>
      </c>
      <c r="I188" s="122">
        <v>1526.5</v>
      </c>
      <c r="J188" s="122">
        <v>238.391864</v>
      </c>
      <c r="K188" s="122">
        <v>299.31372549019608</v>
      </c>
      <c r="L188" s="122">
        <v>46.743502745098041</v>
      </c>
      <c r="M188" s="123">
        <v>5.0999999999999996</v>
      </c>
      <c r="N188" s="123">
        <v>62.6</v>
      </c>
      <c r="O188" s="123">
        <v>0</v>
      </c>
    </row>
    <row r="189" spans="1:15" x14ac:dyDescent="0.35">
      <c r="A189" s="120">
        <v>45340</v>
      </c>
      <c r="B189" s="121" t="s">
        <v>42</v>
      </c>
      <c r="C189" s="121" t="s">
        <v>50</v>
      </c>
      <c r="D189" s="121" t="s">
        <v>61</v>
      </c>
      <c r="E189" s="121" t="s">
        <v>69</v>
      </c>
      <c r="F189" s="121" t="s">
        <v>55</v>
      </c>
      <c r="G189" s="121" t="s">
        <v>234</v>
      </c>
      <c r="H189" s="121" t="s">
        <v>233</v>
      </c>
      <c r="I189" s="122">
        <v>779</v>
      </c>
      <c r="J189" s="122">
        <v>134.12731199999999</v>
      </c>
      <c r="K189" s="122">
        <v>166.92857142857142</v>
      </c>
      <c r="L189" s="122">
        <v>28.741566857142853</v>
      </c>
      <c r="M189" s="123">
        <v>4.666666666666667</v>
      </c>
      <c r="N189" s="123">
        <v>55.5</v>
      </c>
      <c r="O189" s="123">
        <v>0</v>
      </c>
    </row>
    <row r="190" spans="1:15" x14ac:dyDescent="0.35">
      <c r="A190" s="120">
        <v>45340</v>
      </c>
      <c r="B190" s="121" t="s">
        <v>46</v>
      </c>
      <c r="C190" s="121" t="s">
        <v>50</v>
      </c>
      <c r="D190" s="121" t="s">
        <v>61</v>
      </c>
      <c r="E190" s="121" t="s">
        <v>69</v>
      </c>
      <c r="F190" s="121" t="s">
        <v>55</v>
      </c>
      <c r="G190" s="121" t="s">
        <v>234</v>
      </c>
      <c r="H190" s="121" t="s">
        <v>233</v>
      </c>
      <c r="I190" s="122">
        <v>1245</v>
      </c>
      <c r="J190" s="122">
        <v>235.05908399999998</v>
      </c>
      <c r="K190" s="122">
        <v>271.63636363636363</v>
      </c>
      <c r="L190" s="122">
        <v>51.285618327272729</v>
      </c>
      <c r="M190" s="123">
        <v>4.583333333333333</v>
      </c>
      <c r="N190" s="123">
        <v>55.5</v>
      </c>
      <c r="O190" s="123">
        <v>0</v>
      </c>
    </row>
    <row r="191" spans="1:15" x14ac:dyDescent="0.35">
      <c r="A191" s="120">
        <v>45341</v>
      </c>
      <c r="B191" s="121" t="s">
        <v>42</v>
      </c>
      <c r="C191" s="121" t="s">
        <v>51</v>
      </c>
      <c r="D191" s="121" t="s">
        <v>61</v>
      </c>
      <c r="E191" s="121" t="s">
        <v>166</v>
      </c>
      <c r="F191" s="121" t="s">
        <v>55</v>
      </c>
      <c r="G191" s="121" t="s">
        <v>234</v>
      </c>
      <c r="H191" s="121" t="s">
        <v>233</v>
      </c>
      <c r="I191" s="122">
        <v>566</v>
      </c>
      <c r="J191" s="122">
        <v>88.340215999999984</v>
      </c>
      <c r="K191" s="122">
        <v>141.5</v>
      </c>
      <c r="L191" s="122">
        <v>22.085053999999996</v>
      </c>
      <c r="M191" s="123">
        <v>4</v>
      </c>
      <c r="N191" s="123">
        <v>64.400000000000006</v>
      </c>
      <c r="O191" s="123">
        <v>0</v>
      </c>
    </row>
    <row r="192" spans="1:15" x14ac:dyDescent="0.35">
      <c r="A192" s="120">
        <v>45341</v>
      </c>
      <c r="B192" s="121" t="s">
        <v>46</v>
      </c>
      <c r="C192" s="121" t="s">
        <v>51</v>
      </c>
      <c r="D192" s="121" t="s">
        <v>61</v>
      </c>
      <c r="E192" s="121" t="s">
        <v>166</v>
      </c>
      <c r="F192" s="121" t="s">
        <v>55</v>
      </c>
      <c r="G192" s="121" t="s">
        <v>234</v>
      </c>
      <c r="H192" s="121" t="s">
        <v>233</v>
      </c>
      <c r="I192" s="122">
        <v>1027.5</v>
      </c>
      <c r="J192" s="122">
        <v>178.746624</v>
      </c>
      <c r="K192" s="122">
        <v>206.87919463087249</v>
      </c>
      <c r="L192" s="122">
        <v>35.989253154362416</v>
      </c>
      <c r="M192" s="123">
        <v>4.9666666666666668</v>
      </c>
      <c r="N192" s="123">
        <v>64.400000000000006</v>
      </c>
      <c r="O192" s="123">
        <v>0</v>
      </c>
    </row>
    <row r="193" spans="1:15" x14ac:dyDescent="0.35">
      <c r="A193" s="120">
        <v>45346</v>
      </c>
      <c r="B193" s="121" t="s">
        <v>46</v>
      </c>
      <c r="C193" s="121" t="s">
        <v>49</v>
      </c>
      <c r="D193" s="121" t="s">
        <v>61</v>
      </c>
      <c r="E193" s="121" t="s">
        <v>69</v>
      </c>
      <c r="F193" s="121" t="s">
        <v>45</v>
      </c>
      <c r="G193" s="121" t="s">
        <v>234</v>
      </c>
      <c r="H193" s="121" t="s">
        <v>233</v>
      </c>
      <c r="I193" s="122">
        <v>1762</v>
      </c>
      <c r="J193" s="122">
        <v>289.77713199999999</v>
      </c>
      <c r="K193" s="122">
        <v>306.43478260869563</v>
      </c>
      <c r="L193" s="122">
        <v>50.39602295652174</v>
      </c>
      <c r="M193" s="123">
        <v>5.75</v>
      </c>
      <c r="N193" s="123">
        <v>78.8</v>
      </c>
      <c r="O193" s="123">
        <v>0</v>
      </c>
    </row>
    <row r="194" spans="1:15" x14ac:dyDescent="0.35">
      <c r="A194" s="120">
        <v>45347</v>
      </c>
      <c r="B194" s="121" t="s">
        <v>46</v>
      </c>
      <c r="C194" s="121" t="s">
        <v>50</v>
      </c>
      <c r="D194" s="121" t="s">
        <v>61</v>
      </c>
      <c r="E194" s="121" t="s">
        <v>69</v>
      </c>
      <c r="F194" s="121" t="s">
        <v>45</v>
      </c>
      <c r="G194" s="121" t="s">
        <v>234</v>
      </c>
      <c r="H194" s="121" t="s">
        <v>233</v>
      </c>
      <c r="I194" s="122">
        <v>1062</v>
      </c>
      <c r="J194" s="122">
        <v>169.05556000000001</v>
      </c>
      <c r="K194" s="122">
        <v>202.92993630573247</v>
      </c>
      <c r="L194" s="122">
        <v>32.303610191082804</v>
      </c>
      <c r="M194" s="123">
        <v>5.2333333333333334</v>
      </c>
      <c r="N194" s="123">
        <v>77.099999999999994</v>
      </c>
      <c r="O194" s="123">
        <v>0</v>
      </c>
    </row>
    <row r="195" spans="1:15" x14ac:dyDescent="0.35">
      <c r="A195" s="120">
        <v>45348</v>
      </c>
      <c r="B195" s="121" t="s">
        <v>42</v>
      </c>
      <c r="C195" s="121" t="s">
        <v>51</v>
      </c>
      <c r="D195" s="121" t="s">
        <v>61</v>
      </c>
      <c r="E195" s="121" t="s">
        <v>166</v>
      </c>
      <c r="F195" s="121" t="s">
        <v>55</v>
      </c>
      <c r="G195" s="121" t="s">
        <v>234</v>
      </c>
      <c r="H195" s="121" t="s">
        <v>233</v>
      </c>
      <c r="I195" s="122">
        <v>451.5</v>
      </c>
      <c r="J195" s="122">
        <v>68.663443999999998</v>
      </c>
      <c r="K195" s="122">
        <v>149.66850828729281</v>
      </c>
      <c r="L195" s="122">
        <v>22.761362651933702</v>
      </c>
      <c r="M195" s="123">
        <v>3.0166666666666666</v>
      </c>
      <c r="N195" s="123">
        <v>77.099999999999994</v>
      </c>
      <c r="O195" s="123">
        <v>0</v>
      </c>
    </row>
    <row r="196" spans="1:15" x14ac:dyDescent="0.35">
      <c r="A196" s="120">
        <v>45348</v>
      </c>
      <c r="B196" s="121" t="s">
        <v>46</v>
      </c>
      <c r="C196" s="121" t="s">
        <v>51</v>
      </c>
      <c r="D196" s="121" t="s">
        <v>61</v>
      </c>
      <c r="E196" s="121" t="s">
        <v>166</v>
      </c>
      <c r="F196" s="121" t="s">
        <v>55</v>
      </c>
      <c r="G196" s="121" t="s">
        <v>234</v>
      </c>
      <c r="H196" s="121" t="s">
        <v>233</v>
      </c>
      <c r="I196" s="122">
        <v>975</v>
      </c>
      <c r="J196" s="122">
        <v>181.67976800000002</v>
      </c>
      <c r="K196" s="122">
        <v>179.4478527607362</v>
      </c>
      <c r="L196" s="122">
        <v>33.43799411042945</v>
      </c>
      <c r="M196" s="123">
        <v>5.4333333333333336</v>
      </c>
      <c r="N196" s="123">
        <v>77.099999999999994</v>
      </c>
      <c r="O196" s="123">
        <v>0</v>
      </c>
    </row>
    <row r="197" spans="1:15" x14ac:dyDescent="0.35">
      <c r="A197" s="120">
        <v>45350</v>
      </c>
      <c r="B197" s="121" t="s">
        <v>46</v>
      </c>
      <c r="C197" s="121" t="s">
        <v>44</v>
      </c>
      <c r="D197" s="121" t="s">
        <v>61</v>
      </c>
      <c r="E197" s="121" t="s">
        <v>166</v>
      </c>
      <c r="F197" s="121" t="s">
        <v>45</v>
      </c>
      <c r="G197" s="121" t="s">
        <v>234</v>
      </c>
      <c r="H197" s="121" t="s">
        <v>107</v>
      </c>
      <c r="I197" s="122">
        <v>992</v>
      </c>
      <c r="J197" s="122">
        <v>165.27627200000001</v>
      </c>
      <c r="K197" s="122">
        <v>165.33333333333334</v>
      </c>
      <c r="L197" s="122">
        <v>27.546045333333335</v>
      </c>
      <c r="M197" s="123">
        <v>6</v>
      </c>
      <c r="N197" s="123">
        <v>71.599999999999994</v>
      </c>
      <c r="O197" s="123">
        <v>0</v>
      </c>
    </row>
    <row r="198" spans="1:15" x14ac:dyDescent="0.35">
      <c r="A198" s="120">
        <v>45352</v>
      </c>
      <c r="B198" s="121" t="s">
        <v>42</v>
      </c>
      <c r="C198" s="121" t="s">
        <v>48</v>
      </c>
      <c r="D198" s="121" t="s">
        <v>62</v>
      </c>
      <c r="E198" s="121" t="s">
        <v>166</v>
      </c>
      <c r="F198" s="121" t="s">
        <v>45</v>
      </c>
      <c r="G198" s="121" t="s">
        <v>234</v>
      </c>
      <c r="H198" s="121" t="s">
        <v>109</v>
      </c>
      <c r="I198" s="122">
        <v>1078</v>
      </c>
      <c r="J198" s="122">
        <v>121.807196</v>
      </c>
      <c r="K198" s="122">
        <v>205.33333333333334</v>
      </c>
      <c r="L198" s="122">
        <v>23.201370666666669</v>
      </c>
      <c r="M198" s="123">
        <v>5.25</v>
      </c>
      <c r="N198" s="123">
        <v>71.599999999999994</v>
      </c>
      <c r="O198" s="123">
        <v>0</v>
      </c>
    </row>
    <row r="199" spans="1:15" x14ac:dyDescent="0.35">
      <c r="A199" s="120">
        <v>45353</v>
      </c>
      <c r="B199" s="121" t="s">
        <v>46</v>
      </c>
      <c r="C199" s="121" t="s">
        <v>49</v>
      </c>
      <c r="D199" s="121" t="s">
        <v>62</v>
      </c>
      <c r="E199" s="121" t="s">
        <v>69</v>
      </c>
      <c r="F199" s="121" t="s">
        <v>45</v>
      </c>
      <c r="G199" s="121" t="s">
        <v>234</v>
      </c>
      <c r="H199" s="121" t="s">
        <v>110</v>
      </c>
      <c r="I199" s="122">
        <v>1060</v>
      </c>
      <c r="J199" s="122">
        <v>162.63203999999999</v>
      </c>
      <c r="K199" s="122">
        <v>191.56626506024097</v>
      </c>
      <c r="L199" s="122">
        <v>29.391332530120479</v>
      </c>
      <c r="M199" s="123">
        <v>5.5333333333333332</v>
      </c>
      <c r="N199" s="123">
        <v>71.599999999999994</v>
      </c>
      <c r="O199" s="123">
        <v>0</v>
      </c>
    </row>
    <row r="200" spans="1:15" x14ac:dyDescent="0.35">
      <c r="A200" s="120">
        <v>45354</v>
      </c>
      <c r="B200" s="121" t="s">
        <v>42</v>
      </c>
      <c r="C200" s="121" t="s">
        <v>50</v>
      </c>
      <c r="D200" s="121" t="s">
        <v>62</v>
      </c>
      <c r="E200" s="121" t="s">
        <v>69</v>
      </c>
      <c r="F200" s="121" t="s">
        <v>55</v>
      </c>
      <c r="G200" s="121" t="s">
        <v>234</v>
      </c>
      <c r="H200" s="121" t="s">
        <v>111</v>
      </c>
      <c r="I200" s="122">
        <v>600</v>
      </c>
      <c r="J200" s="122">
        <v>82.839999999999989</v>
      </c>
      <c r="K200" s="122">
        <v>150</v>
      </c>
      <c r="L200" s="122">
        <v>20.709999999999997</v>
      </c>
      <c r="M200" s="123">
        <v>4</v>
      </c>
      <c r="N200" s="123">
        <v>77</v>
      </c>
      <c r="O200" s="123">
        <v>0</v>
      </c>
    </row>
    <row r="201" spans="1:15" x14ac:dyDescent="0.35">
      <c r="A201" s="120">
        <v>45354</v>
      </c>
      <c r="B201" s="121" t="s">
        <v>46</v>
      </c>
      <c r="C201" s="121" t="s">
        <v>50</v>
      </c>
      <c r="D201" s="121" t="s">
        <v>62</v>
      </c>
      <c r="E201" s="121" t="s">
        <v>69</v>
      </c>
      <c r="F201" s="121" t="s">
        <v>55</v>
      </c>
      <c r="G201" s="121" t="s">
        <v>234</v>
      </c>
      <c r="H201" s="121" t="s">
        <v>111</v>
      </c>
      <c r="I201" s="122">
        <v>2022</v>
      </c>
      <c r="J201" s="122">
        <v>283.06921599999998</v>
      </c>
      <c r="K201" s="122">
        <v>363.23353293413174</v>
      </c>
      <c r="L201" s="122">
        <v>50.850757365269459</v>
      </c>
      <c r="M201" s="123">
        <v>5.5666666666666664</v>
      </c>
      <c r="N201" s="123">
        <v>77</v>
      </c>
      <c r="O201" s="123">
        <v>0</v>
      </c>
    </row>
    <row r="202" spans="1:15" x14ac:dyDescent="0.35">
      <c r="A202" s="120">
        <v>45355</v>
      </c>
      <c r="B202" s="121" t="s">
        <v>42</v>
      </c>
      <c r="C202" s="121" t="s">
        <v>51</v>
      </c>
      <c r="D202" s="121" t="s">
        <v>62</v>
      </c>
      <c r="E202" s="121" t="s">
        <v>166</v>
      </c>
      <c r="F202" s="121" t="s">
        <v>55</v>
      </c>
      <c r="G202" s="121" t="s">
        <v>234</v>
      </c>
      <c r="H202" s="121" t="s">
        <v>112</v>
      </c>
      <c r="I202" s="122">
        <v>562</v>
      </c>
      <c r="J202" s="122">
        <v>89.287804000000008</v>
      </c>
      <c r="K202" s="122">
        <v>204.36363636363637</v>
      </c>
      <c r="L202" s="122">
        <v>32.468292363636365</v>
      </c>
      <c r="M202" s="123">
        <v>2.75</v>
      </c>
      <c r="N202" s="123">
        <v>78.900000000000006</v>
      </c>
      <c r="O202" s="123">
        <v>0</v>
      </c>
    </row>
    <row r="203" spans="1:15" x14ac:dyDescent="0.35">
      <c r="A203" s="120">
        <v>45355</v>
      </c>
      <c r="B203" s="121" t="s">
        <v>46</v>
      </c>
      <c r="C203" s="121" t="s">
        <v>51</v>
      </c>
      <c r="D203" s="121" t="s">
        <v>62</v>
      </c>
      <c r="E203" s="121" t="s">
        <v>166</v>
      </c>
      <c r="F203" s="121" t="s">
        <v>55</v>
      </c>
      <c r="G203" s="121" t="s">
        <v>234</v>
      </c>
      <c r="H203" s="121" t="s">
        <v>112</v>
      </c>
      <c r="I203" s="122">
        <v>1687</v>
      </c>
      <c r="J203" s="122">
        <v>311.89962400000002</v>
      </c>
      <c r="K203" s="122">
        <v>312.40740740740739</v>
      </c>
      <c r="L203" s="122">
        <v>57.759189629629631</v>
      </c>
      <c r="M203" s="123">
        <v>5.4</v>
      </c>
      <c r="N203" s="123">
        <v>78.900000000000006</v>
      </c>
      <c r="O203" s="123">
        <v>0</v>
      </c>
    </row>
    <row r="204" spans="1:15" x14ac:dyDescent="0.35">
      <c r="A204" s="120">
        <v>45357</v>
      </c>
      <c r="B204" s="121" t="s">
        <v>46</v>
      </c>
      <c r="C204" s="121" t="s">
        <v>44</v>
      </c>
      <c r="D204" s="121" t="s">
        <v>62</v>
      </c>
      <c r="E204" s="121" t="s">
        <v>166</v>
      </c>
      <c r="F204" s="121" t="s">
        <v>45</v>
      </c>
      <c r="G204" s="121" t="s">
        <v>234</v>
      </c>
      <c r="H204" s="121" t="s">
        <v>114</v>
      </c>
      <c r="I204" s="122">
        <v>1484</v>
      </c>
      <c r="J204" s="122">
        <v>248.45899199999999</v>
      </c>
      <c r="K204" s="122">
        <v>228.30769230769232</v>
      </c>
      <c r="L204" s="122">
        <v>38.224460307692304</v>
      </c>
      <c r="M204" s="123">
        <v>6.5</v>
      </c>
      <c r="N204" s="123">
        <v>78.900000000000006</v>
      </c>
      <c r="O204" s="123">
        <v>0</v>
      </c>
    </row>
    <row r="205" spans="1:15" x14ac:dyDescent="0.35">
      <c r="A205" s="120">
        <v>45359</v>
      </c>
      <c r="B205" s="121" t="s">
        <v>46</v>
      </c>
      <c r="C205" s="121" t="s">
        <v>48</v>
      </c>
      <c r="D205" s="121" t="s">
        <v>62</v>
      </c>
      <c r="E205" s="121" t="s">
        <v>69</v>
      </c>
      <c r="F205" s="121" t="s">
        <v>45</v>
      </c>
      <c r="G205" s="121" t="s">
        <v>234</v>
      </c>
      <c r="H205" s="121" t="s">
        <v>116</v>
      </c>
      <c r="I205" s="122">
        <v>1644</v>
      </c>
      <c r="J205" s="122">
        <v>225.74660400000002</v>
      </c>
      <c r="K205" s="122">
        <v>241.17359413202934</v>
      </c>
      <c r="L205" s="122">
        <v>33.116861222493888</v>
      </c>
      <c r="M205" s="123">
        <v>6.8166666666666664</v>
      </c>
      <c r="N205" s="123">
        <v>80.7</v>
      </c>
      <c r="O205" s="123">
        <v>0.10100000000000001</v>
      </c>
    </row>
    <row r="206" spans="1:15" x14ac:dyDescent="0.35">
      <c r="A206" s="120">
        <v>45360</v>
      </c>
      <c r="B206" s="121" t="s">
        <v>42</v>
      </c>
      <c r="C206" s="121" t="s">
        <v>49</v>
      </c>
      <c r="D206" s="121" t="s">
        <v>62</v>
      </c>
      <c r="E206" s="121" t="s">
        <v>69</v>
      </c>
      <c r="F206" s="121" t="s">
        <v>55</v>
      </c>
      <c r="G206" s="121" t="s">
        <v>234</v>
      </c>
      <c r="H206" s="121" t="s">
        <v>117</v>
      </c>
      <c r="I206" s="122">
        <v>410</v>
      </c>
      <c r="J206" s="122">
        <v>76.934904000000003</v>
      </c>
      <c r="K206" s="122">
        <v>126.80412371134021</v>
      </c>
      <c r="L206" s="122">
        <v>23.794300206185568</v>
      </c>
      <c r="M206" s="123">
        <v>3.2333333333333334</v>
      </c>
      <c r="N206" s="123">
        <v>66.3</v>
      </c>
      <c r="O206" s="123">
        <v>0</v>
      </c>
    </row>
    <row r="207" spans="1:15" x14ac:dyDescent="0.35">
      <c r="A207" s="120">
        <v>45360</v>
      </c>
      <c r="B207" s="121" t="s">
        <v>46</v>
      </c>
      <c r="C207" s="121" t="s">
        <v>49</v>
      </c>
      <c r="D207" s="121" t="s">
        <v>62</v>
      </c>
      <c r="E207" s="121" t="s">
        <v>69</v>
      </c>
      <c r="F207" s="121" t="s">
        <v>55</v>
      </c>
      <c r="G207" s="121" t="s">
        <v>234</v>
      </c>
      <c r="H207" s="121" t="s">
        <v>117</v>
      </c>
      <c r="I207" s="122">
        <v>2225.5</v>
      </c>
      <c r="J207" s="122">
        <v>344.84610399999997</v>
      </c>
      <c r="K207" s="122">
        <v>399.79041916167665</v>
      </c>
      <c r="L207" s="122">
        <v>61.948401916167661</v>
      </c>
      <c r="M207" s="123">
        <v>5.5666666666666664</v>
      </c>
      <c r="N207" s="123">
        <v>66.3</v>
      </c>
      <c r="O207" s="123">
        <v>0</v>
      </c>
    </row>
    <row r="208" spans="1:15" x14ac:dyDescent="0.35">
      <c r="A208" s="120">
        <v>45361</v>
      </c>
      <c r="B208" s="121" t="s">
        <v>42</v>
      </c>
      <c r="C208" s="121" t="s">
        <v>50</v>
      </c>
      <c r="D208" s="121" t="s">
        <v>62</v>
      </c>
      <c r="E208" s="121" t="s">
        <v>69</v>
      </c>
      <c r="F208" s="121" t="s">
        <v>55</v>
      </c>
      <c r="G208" s="121" t="s">
        <v>234</v>
      </c>
      <c r="H208" s="121" t="s">
        <v>118</v>
      </c>
      <c r="I208" s="122">
        <v>481</v>
      </c>
      <c r="J208" s="122">
        <v>78.937404000000001</v>
      </c>
      <c r="K208" s="122">
        <v>114.07114624505928</v>
      </c>
      <c r="L208" s="122">
        <v>18.720332964426877</v>
      </c>
      <c r="M208" s="123">
        <v>4.2166666666666668</v>
      </c>
      <c r="N208" s="123">
        <v>66.3</v>
      </c>
      <c r="O208" s="123">
        <v>0</v>
      </c>
    </row>
    <row r="209" spans="1:15" x14ac:dyDescent="0.35">
      <c r="A209" s="120">
        <v>45361</v>
      </c>
      <c r="B209" s="121" t="s">
        <v>46</v>
      </c>
      <c r="C209" s="121" t="s">
        <v>50</v>
      </c>
      <c r="D209" s="121" t="s">
        <v>62</v>
      </c>
      <c r="E209" s="121" t="s">
        <v>69</v>
      </c>
      <c r="F209" s="121" t="s">
        <v>55</v>
      </c>
      <c r="G209" s="121" t="s">
        <v>234</v>
      </c>
      <c r="H209" s="121" t="s">
        <v>118</v>
      </c>
      <c r="I209" s="122">
        <v>1184</v>
      </c>
      <c r="J209" s="122">
        <v>172.90884799999998</v>
      </c>
      <c r="K209" s="122">
        <v>257.39130434782612</v>
      </c>
      <c r="L209" s="122">
        <v>37.588879999999996</v>
      </c>
      <c r="M209" s="123">
        <v>4.5999999999999996</v>
      </c>
      <c r="N209" s="123">
        <v>66.3</v>
      </c>
      <c r="O209" s="123">
        <v>0</v>
      </c>
    </row>
    <row r="210" spans="1:15" x14ac:dyDescent="0.35">
      <c r="A210" s="120">
        <v>45362</v>
      </c>
      <c r="B210" s="121" t="s">
        <v>46</v>
      </c>
      <c r="C210" s="121" t="s">
        <v>51</v>
      </c>
      <c r="D210" s="121" t="s">
        <v>62</v>
      </c>
      <c r="E210" s="121" t="s">
        <v>166</v>
      </c>
      <c r="F210" s="121" t="s">
        <v>45</v>
      </c>
      <c r="G210" s="121" t="s">
        <v>234</v>
      </c>
      <c r="H210" s="121" t="s">
        <v>119</v>
      </c>
      <c r="I210" s="122">
        <v>2178.5</v>
      </c>
      <c r="J210" s="122">
        <v>347.55293999999998</v>
      </c>
      <c r="K210" s="122">
        <v>341.2793733681462</v>
      </c>
      <c r="L210" s="122">
        <v>54.44693577023498</v>
      </c>
      <c r="M210" s="123">
        <v>6.3833333333333337</v>
      </c>
      <c r="N210" s="123">
        <v>69.8</v>
      </c>
      <c r="O210" s="123">
        <v>0</v>
      </c>
    </row>
    <row r="211" spans="1:15" x14ac:dyDescent="0.35">
      <c r="A211" s="120">
        <v>45364</v>
      </c>
      <c r="B211" s="121" t="s">
        <v>46</v>
      </c>
      <c r="C211" s="121" t="s">
        <v>44</v>
      </c>
      <c r="D211" s="121" t="s">
        <v>62</v>
      </c>
      <c r="E211" s="121" t="s">
        <v>166</v>
      </c>
      <c r="F211" s="121" t="s">
        <v>45</v>
      </c>
      <c r="G211" s="121" t="s">
        <v>234</v>
      </c>
      <c r="H211" s="121" t="s">
        <v>121</v>
      </c>
      <c r="I211" s="122">
        <v>1915</v>
      </c>
      <c r="J211" s="122">
        <v>326.54312000000004</v>
      </c>
      <c r="K211" s="122">
        <v>288.6934673366834</v>
      </c>
      <c r="L211" s="122">
        <v>49.22760603015076</v>
      </c>
      <c r="M211" s="123">
        <v>6.6333333333333337</v>
      </c>
      <c r="N211" s="123">
        <v>77.099999999999994</v>
      </c>
      <c r="O211" s="123">
        <v>1.0999999999999999E-2</v>
      </c>
    </row>
    <row r="212" spans="1:15" x14ac:dyDescent="0.35">
      <c r="A212" s="120">
        <v>45366</v>
      </c>
      <c r="B212" s="121" t="s">
        <v>46</v>
      </c>
      <c r="C212" s="121" t="s">
        <v>48</v>
      </c>
      <c r="D212" s="121" t="s">
        <v>62</v>
      </c>
      <c r="E212" s="121" t="s">
        <v>69</v>
      </c>
      <c r="F212" s="121" t="s">
        <v>45</v>
      </c>
      <c r="G212" s="121" t="s">
        <v>234</v>
      </c>
      <c r="H212" s="121" t="s">
        <v>123</v>
      </c>
      <c r="I212" s="122">
        <v>1924.5</v>
      </c>
      <c r="J212" s="122">
        <v>298.03705200000002</v>
      </c>
      <c r="K212" s="122">
        <v>234.21906693711966</v>
      </c>
      <c r="L212" s="122">
        <v>36.27225784989858</v>
      </c>
      <c r="M212" s="123">
        <v>8.2166666666666668</v>
      </c>
      <c r="N212" s="123">
        <v>82.4</v>
      </c>
      <c r="O212" s="123">
        <v>1.532</v>
      </c>
    </row>
    <row r="213" spans="1:15" x14ac:dyDescent="0.35">
      <c r="A213" s="120">
        <v>45367</v>
      </c>
      <c r="B213" s="121" t="s">
        <v>42</v>
      </c>
      <c r="C213" s="121" t="s">
        <v>49</v>
      </c>
      <c r="D213" s="121" t="s">
        <v>62</v>
      </c>
      <c r="E213" s="121" t="s">
        <v>69</v>
      </c>
      <c r="F213" s="121" t="s">
        <v>55</v>
      </c>
      <c r="G213" s="121" t="s">
        <v>234</v>
      </c>
      <c r="H213" s="121" t="s">
        <v>124</v>
      </c>
      <c r="I213" s="122">
        <v>567</v>
      </c>
      <c r="J213" s="122">
        <v>95.098060000000004</v>
      </c>
      <c r="K213" s="122">
        <v>136.62650602409639</v>
      </c>
      <c r="L213" s="122">
        <v>22.91519518072289</v>
      </c>
      <c r="M213" s="123">
        <v>4.1500000000000004</v>
      </c>
      <c r="N213" s="123">
        <v>69.900000000000006</v>
      </c>
      <c r="O213" s="123">
        <v>4.2999999999999997E-2</v>
      </c>
    </row>
    <row r="214" spans="1:15" x14ac:dyDescent="0.35">
      <c r="A214" s="120">
        <v>45367</v>
      </c>
      <c r="B214" s="121" t="s">
        <v>46</v>
      </c>
      <c r="C214" s="121" t="s">
        <v>49</v>
      </c>
      <c r="D214" s="121" t="s">
        <v>62</v>
      </c>
      <c r="E214" s="121" t="s">
        <v>69</v>
      </c>
      <c r="F214" s="121" t="s">
        <v>55</v>
      </c>
      <c r="G214" s="121" t="s">
        <v>234</v>
      </c>
      <c r="H214" s="121" t="s">
        <v>124</v>
      </c>
      <c r="I214" s="122">
        <v>1429</v>
      </c>
      <c r="J214" s="122">
        <v>219.94739200000001</v>
      </c>
      <c r="K214" s="122">
        <v>340.23809523809524</v>
      </c>
      <c r="L214" s="122">
        <v>52.368426666666664</v>
      </c>
      <c r="M214" s="123">
        <v>4.2</v>
      </c>
      <c r="N214" s="123">
        <v>69.900000000000006</v>
      </c>
      <c r="O214" s="123">
        <v>4.2999999999999997E-2</v>
      </c>
    </row>
    <row r="215" spans="1:15" x14ac:dyDescent="0.35">
      <c r="A215" s="120">
        <v>45368</v>
      </c>
      <c r="B215" s="121" t="s">
        <v>42</v>
      </c>
      <c r="C215" s="121" t="s">
        <v>50</v>
      </c>
      <c r="D215" s="121" t="s">
        <v>62</v>
      </c>
      <c r="E215" s="121" t="s">
        <v>69</v>
      </c>
      <c r="F215" s="121" t="s">
        <v>45</v>
      </c>
      <c r="G215" s="121" t="s">
        <v>234</v>
      </c>
      <c r="H215" s="121" t="s">
        <v>125</v>
      </c>
      <c r="I215" s="122">
        <v>357.5</v>
      </c>
      <c r="J215" s="122">
        <v>66.363367999999994</v>
      </c>
      <c r="K215" s="122">
        <v>76.063829787234042</v>
      </c>
      <c r="L215" s="122">
        <v>14.119865531914892</v>
      </c>
      <c r="M215" s="123">
        <v>4.7</v>
      </c>
      <c r="N215" s="123">
        <v>75.099999999999994</v>
      </c>
      <c r="O215" s="123">
        <v>0.55600000000000005</v>
      </c>
    </row>
    <row r="216" spans="1:15" x14ac:dyDescent="0.35">
      <c r="A216" s="120">
        <v>45369</v>
      </c>
      <c r="B216" s="121" t="s">
        <v>42</v>
      </c>
      <c r="C216" s="121" t="s">
        <v>51</v>
      </c>
      <c r="D216" s="121" t="s">
        <v>62</v>
      </c>
      <c r="E216" s="121" t="s">
        <v>166</v>
      </c>
      <c r="F216" s="121" t="s">
        <v>55</v>
      </c>
      <c r="G216" s="121" t="s">
        <v>234</v>
      </c>
      <c r="H216" s="121" t="s">
        <v>233</v>
      </c>
      <c r="I216" s="122">
        <v>578.58000000000004</v>
      </c>
      <c r="J216" s="122">
        <v>90.931659999999994</v>
      </c>
      <c r="K216" s="122">
        <v>167.70434782608697</v>
      </c>
      <c r="L216" s="122">
        <v>26.357002898550721</v>
      </c>
      <c r="M216" s="123">
        <v>3.45</v>
      </c>
      <c r="N216" s="123">
        <v>68.099999999999994</v>
      </c>
      <c r="O216" s="123">
        <v>0</v>
      </c>
    </row>
    <row r="217" spans="1:15" x14ac:dyDescent="0.35">
      <c r="A217" s="120">
        <v>45369</v>
      </c>
      <c r="B217" s="121" t="s">
        <v>46</v>
      </c>
      <c r="C217" s="121" t="s">
        <v>51</v>
      </c>
      <c r="D217" s="121" t="s">
        <v>62</v>
      </c>
      <c r="E217" s="121" t="s">
        <v>166</v>
      </c>
      <c r="F217" s="121" t="s">
        <v>55</v>
      </c>
      <c r="G217" s="121" t="s">
        <v>234</v>
      </c>
      <c r="H217" s="121" t="s">
        <v>233</v>
      </c>
      <c r="I217" s="122">
        <v>1089</v>
      </c>
      <c r="J217" s="122">
        <v>173.95813999999999</v>
      </c>
      <c r="K217" s="122">
        <v>241.1070110701107</v>
      </c>
      <c r="L217" s="122">
        <v>38.51471734317343</v>
      </c>
      <c r="M217" s="123">
        <v>4.5166666666666666</v>
      </c>
      <c r="N217" s="123">
        <v>68.099999999999994</v>
      </c>
      <c r="O217" s="123">
        <v>0</v>
      </c>
    </row>
    <row r="218" spans="1:15" x14ac:dyDescent="0.35">
      <c r="A218" s="120">
        <v>45371</v>
      </c>
      <c r="B218" s="121" t="s">
        <v>46</v>
      </c>
      <c r="C218" s="121" t="s">
        <v>44</v>
      </c>
      <c r="D218" s="121" t="s">
        <v>62</v>
      </c>
      <c r="E218" s="121" t="s">
        <v>166</v>
      </c>
      <c r="F218" s="121" t="s">
        <v>45</v>
      </c>
      <c r="G218" s="121" t="s">
        <v>234</v>
      </c>
      <c r="H218" s="121" t="s">
        <v>233</v>
      </c>
      <c r="I218" s="122">
        <v>365</v>
      </c>
      <c r="J218" s="122">
        <v>53.015720000000002</v>
      </c>
      <c r="K218" s="122">
        <v>86.220472440944874</v>
      </c>
      <c r="L218" s="122">
        <v>12.52339842519685</v>
      </c>
      <c r="M218" s="123">
        <v>4.2333333333333334</v>
      </c>
      <c r="N218" s="123">
        <v>68.400000000000006</v>
      </c>
      <c r="O218" s="123">
        <v>1.2999999999999999E-2</v>
      </c>
    </row>
    <row r="219" spans="1:15" x14ac:dyDescent="0.35">
      <c r="A219" s="120">
        <v>45374</v>
      </c>
      <c r="B219" s="121" t="s">
        <v>46</v>
      </c>
      <c r="C219" s="121" t="s">
        <v>49</v>
      </c>
      <c r="D219" s="121" t="s">
        <v>62</v>
      </c>
      <c r="E219" s="121" t="s">
        <v>69</v>
      </c>
      <c r="F219" s="121" t="s">
        <v>45</v>
      </c>
      <c r="G219" s="121" t="s">
        <v>234</v>
      </c>
      <c r="H219" s="121" t="s">
        <v>233</v>
      </c>
      <c r="I219" s="122">
        <v>1565.5</v>
      </c>
      <c r="J219" s="122">
        <v>230.48858799999996</v>
      </c>
      <c r="K219" s="122">
        <v>231.92592592592592</v>
      </c>
      <c r="L219" s="122">
        <v>34.146457481481477</v>
      </c>
      <c r="M219" s="123">
        <v>6.75</v>
      </c>
      <c r="N219" s="123">
        <v>77</v>
      </c>
      <c r="O219" s="123">
        <v>0</v>
      </c>
    </row>
    <row r="220" spans="1:15" x14ac:dyDescent="0.35">
      <c r="A220" s="120">
        <v>45375</v>
      </c>
      <c r="B220" s="121" t="s">
        <v>42</v>
      </c>
      <c r="C220" s="121" t="s">
        <v>50</v>
      </c>
      <c r="D220" s="121" t="s">
        <v>62</v>
      </c>
      <c r="E220" s="121" t="s">
        <v>69</v>
      </c>
      <c r="F220" s="121" t="s">
        <v>45</v>
      </c>
      <c r="G220" s="121" t="s">
        <v>234</v>
      </c>
      <c r="H220" s="121" t="s">
        <v>233</v>
      </c>
      <c r="I220" s="122">
        <v>913</v>
      </c>
      <c r="J220" s="122">
        <v>155.60628</v>
      </c>
      <c r="K220" s="122">
        <v>182.6</v>
      </c>
      <c r="L220" s="122">
        <v>31.121255999999999</v>
      </c>
      <c r="M220" s="123">
        <v>5</v>
      </c>
      <c r="N220" s="123">
        <v>69.900000000000006</v>
      </c>
      <c r="O220" s="123">
        <v>0</v>
      </c>
    </row>
    <row r="221" spans="1:15" x14ac:dyDescent="0.35">
      <c r="A221" s="120">
        <v>45376</v>
      </c>
      <c r="B221" s="121" t="s">
        <v>42</v>
      </c>
      <c r="C221" s="121" t="s">
        <v>51</v>
      </c>
      <c r="D221" s="121" t="s">
        <v>62</v>
      </c>
      <c r="E221" s="121" t="s">
        <v>166</v>
      </c>
      <c r="F221" s="121" t="s">
        <v>55</v>
      </c>
      <c r="G221" s="121" t="s">
        <v>234</v>
      </c>
      <c r="H221" s="121" t="s">
        <v>233</v>
      </c>
      <c r="I221" s="122">
        <v>341.5</v>
      </c>
      <c r="J221" s="122">
        <v>55.795068000000001</v>
      </c>
      <c r="K221" s="122">
        <v>99.951219512195124</v>
      </c>
      <c r="L221" s="122">
        <v>16.330263804878051</v>
      </c>
      <c r="M221" s="123">
        <v>3.4166666666666665</v>
      </c>
      <c r="N221" s="123">
        <v>75.3</v>
      </c>
      <c r="O221" s="123">
        <v>7.8E-2</v>
      </c>
    </row>
    <row r="222" spans="1:15" x14ac:dyDescent="0.35">
      <c r="A222" s="120">
        <v>45376</v>
      </c>
      <c r="B222" s="121" t="s">
        <v>46</v>
      </c>
      <c r="C222" s="121" t="s">
        <v>51</v>
      </c>
      <c r="D222" s="121" t="s">
        <v>62</v>
      </c>
      <c r="E222" s="121" t="s">
        <v>166</v>
      </c>
      <c r="F222" s="121" t="s">
        <v>55</v>
      </c>
      <c r="G222" s="121" t="s">
        <v>234</v>
      </c>
      <c r="H222" s="121" t="s">
        <v>233</v>
      </c>
      <c r="I222" s="122">
        <v>1253.5</v>
      </c>
      <c r="J222" s="122">
        <v>212.710452</v>
      </c>
      <c r="K222" s="122">
        <v>210.67226890756302</v>
      </c>
      <c r="L222" s="122">
        <v>35.749655798319324</v>
      </c>
      <c r="M222" s="123">
        <v>5.95</v>
      </c>
      <c r="N222" s="123">
        <v>75.3</v>
      </c>
      <c r="O222" s="123">
        <v>7.8E-2</v>
      </c>
    </row>
    <row r="223" spans="1:15" x14ac:dyDescent="0.35">
      <c r="A223" s="120">
        <v>45380</v>
      </c>
      <c r="B223" s="121" t="s">
        <v>46</v>
      </c>
      <c r="C223" s="121" t="s">
        <v>48</v>
      </c>
      <c r="D223" s="121" t="s">
        <v>62</v>
      </c>
      <c r="E223" s="121" t="s">
        <v>69</v>
      </c>
      <c r="F223" s="121" t="s">
        <v>45</v>
      </c>
      <c r="G223" s="121" t="s">
        <v>242</v>
      </c>
      <c r="H223" s="121" t="s">
        <v>233</v>
      </c>
      <c r="I223" s="122">
        <v>2191.5</v>
      </c>
      <c r="J223" s="122">
        <v>345.4649</v>
      </c>
      <c r="K223" s="122">
        <v>280.36247334754796</v>
      </c>
      <c r="L223" s="122">
        <v>44.195936034115142</v>
      </c>
      <c r="M223" s="123">
        <v>7.8166666666666664</v>
      </c>
      <c r="N223" s="123">
        <v>73.599999999999994</v>
      </c>
      <c r="O223" s="123">
        <v>0</v>
      </c>
    </row>
    <row r="224" spans="1:15" x14ac:dyDescent="0.35">
      <c r="A224" s="120">
        <v>45381</v>
      </c>
      <c r="B224" s="121" t="s">
        <v>46</v>
      </c>
      <c r="C224" s="121" t="s">
        <v>49</v>
      </c>
      <c r="D224" s="121" t="s">
        <v>62</v>
      </c>
      <c r="E224" s="121" t="s">
        <v>69</v>
      </c>
      <c r="F224" s="121" t="s">
        <v>45</v>
      </c>
      <c r="G224" s="121" t="s">
        <v>242</v>
      </c>
      <c r="H224" s="121" t="s">
        <v>233</v>
      </c>
      <c r="I224" s="122">
        <v>953.5</v>
      </c>
      <c r="J224" s="122">
        <v>155.63970399999999</v>
      </c>
      <c r="K224" s="122">
        <v>185.74675324675323</v>
      </c>
      <c r="L224" s="122">
        <v>30.319422857142854</v>
      </c>
      <c r="M224" s="123">
        <v>5.1333333333333337</v>
      </c>
      <c r="N224" s="123">
        <v>75.3</v>
      </c>
      <c r="O224" s="123">
        <v>0</v>
      </c>
    </row>
    <row r="225" spans="1:15" x14ac:dyDescent="0.35">
      <c r="A225" s="120">
        <v>45382</v>
      </c>
      <c r="B225" s="121" t="s">
        <v>42</v>
      </c>
      <c r="C225" s="121" t="s">
        <v>50</v>
      </c>
      <c r="D225" s="121" t="s">
        <v>62</v>
      </c>
      <c r="E225" s="121" t="s">
        <v>69</v>
      </c>
      <c r="F225" s="121" t="s">
        <v>55</v>
      </c>
      <c r="G225" s="121" t="s">
        <v>242</v>
      </c>
      <c r="H225" s="121" t="s">
        <v>233</v>
      </c>
      <c r="I225" s="122">
        <v>815.5</v>
      </c>
      <c r="J225" s="122">
        <v>103.476812</v>
      </c>
      <c r="K225" s="122">
        <v>206.45569620253164</v>
      </c>
      <c r="L225" s="122">
        <v>26.196661265822783</v>
      </c>
      <c r="M225" s="123">
        <v>3.95</v>
      </c>
      <c r="N225" s="123">
        <v>78.900000000000006</v>
      </c>
      <c r="O225" s="123">
        <v>0</v>
      </c>
    </row>
    <row r="226" spans="1:15" x14ac:dyDescent="0.35">
      <c r="A226" s="120">
        <v>45382</v>
      </c>
      <c r="B226" s="121" t="s">
        <v>46</v>
      </c>
      <c r="C226" s="121" t="s">
        <v>50</v>
      </c>
      <c r="D226" s="121" t="s">
        <v>62</v>
      </c>
      <c r="E226" s="121" t="s">
        <v>69</v>
      </c>
      <c r="F226" s="121" t="s">
        <v>55</v>
      </c>
      <c r="G226" s="121" t="s">
        <v>242</v>
      </c>
      <c r="H226" s="121" t="s">
        <v>233</v>
      </c>
      <c r="I226" s="122">
        <v>1087</v>
      </c>
      <c r="J226" s="122">
        <v>166.80110400000001</v>
      </c>
      <c r="K226" s="122">
        <v>215.96026490066225</v>
      </c>
      <c r="L226" s="122">
        <v>33.139292185430463</v>
      </c>
      <c r="M226" s="123">
        <v>5.0333333333333332</v>
      </c>
      <c r="N226" s="123">
        <v>78.900000000000006</v>
      </c>
      <c r="O226" s="123">
        <v>0</v>
      </c>
    </row>
    <row r="227" spans="1:15" x14ac:dyDescent="0.35">
      <c r="A227" s="120">
        <v>45383</v>
      </c>
      <c r="B227" s="121" t="s">
        <v>42</v>
      </c>
      <c r="C227" s="121" t="s">
        <v>51</v>
      </c>
      <c r="D227" s="121" t="s">
        <v>63</v>
      </c>
      <c r="E227" s="121" t="s">
        <v>166</v>
      </c>
      <c r="F227" s="121" t="s">
        <v>55</v>
      </c>
      <c r="G227" s="121" t="s">
        <v>247</v>
      </c>
      <c r="H227" s="121" t="s">
        <v>233</v>
      </c>
      <c r="I227" s="122">
        <v>770.5</v>
      </c>
      <c r="J227" s="122">
        <v>147.19654799999998</v>
      </c>
      <c r="K227" s="122">
        <v>187.16599190283404</v>
      </c>
      <c r="L227" s="122">
        <v>35.756246477732795</v>
      </c>
      <c r="M227" s="123">
        <v>4.1166666666666663</v>
      </c>
      <c r="N227" s="123">
        <v>78.900000000000006</v>
      </c>
      <c r="O227" s="123">
        <v>0</v>
      </c>
    </row>
    <row r="228" spans="1:15" x14ac:dyDescent="0.35">
      <c r="A228" s="120">
        <v>45383</v>
      </c>
      <c r="B228" s="121" t="s">
        <v>46</v>
      </c>
      <c r="C228" s="121" t="s">
        <v>51</v>
      </c>
      <c r="D228" s="121" t="s">
        <v>63</v>
      </c>
      <c r="E228" s="121" t="s">
        <v>166</v>
      </c>
      <c r="F228" s="121" t="s">
        <v>55</v>
      </c>
      <c r="G228" s="121" t="s">
        <v>247</v>
      </c>
      <c r="H228" s="121" t="s">
        <v>233</v>
      </c>
      <c r="I228" s="122">
        <v>858</v>
      </c>
      <c r="J228" s="122">
        <v>167.286216</v>
      </c>
      <c r="K228" s="122">
        <v>202.6771653543307</v>
      </c>
      <c r="L228" s="122">
        <v>39.516428976377952</v>
      </c>
      <c r="M228" s="123">
        <v>4.2333333333333334</v>
      </c>
      <c r="N228" s="123">
        <v>78.900000000000006</v>
      </c>
      <c r="O228" s="123">
        <v>0</v>
      </c>
    </row>
    <row r="229" spans="1:15" x14ac:dyDescent="0.35">
      <c r="A229" s="120">
        <v>45384</v>
      </c>
      <c r="B229" s="121" t="s">
        <v>46</v>
      </c>
      <c r="C229" s="121" t="s">
        <v>52</v>
      </c>
      <c r="D229" s="121" t="s">
        <v>63</v>
      </c>
      <c r="E229" s="121" t="s">
        <v>166</v>
      </c>
      <c r="F229" s="121" t="s">
        <v>45</v>
      </c>
      <c r="G229" s="121" t="s">
        <v>247</v>
      </c>
      <c r="H229" s="121" t="s">
        <v>233</v>
      </c>
      <c r="I229" s="122">
        <v>1193.5</v>
      </c>
      <c r="J229" s="122">
        <v>212.50799999999998</v>
      </c>
      <c r="K229" s="122">
        <v>193.54054054054052</v>
      </c>
      <c r="L229" s="122">
        <v>34.460756756756751</v>
      </c>
      <c r="M229" s="123">
        <v>6.166666666666667</v>
      </c>
      <c r="N229" s="123">
        <v>82.5</v>
      </c>
      <c r="O229" s="123">
        <v>0</v>
      </c>
    </row>
    <row r="230" spans="1:15" x14ac:dyDescent="0.35">
      <c r="A230" s="120">
        <v>45385</v>
      </c>
      <c r="B230" s="121" t="s">
        <v>42</v>
      </c>
      <c r="C230" s="121" t="s">
        <v>44</v>
      </c>
      <c r="D230" s="121" t="s">
        <v>63</v>
      </c>
      <c r="E230" s="121" t="s">
        <v>166</v>
      </c>
      <c r="F230" s="121" t="s">
        <v>55</v>
      </c>
      <c r="G230" s="121" t="s">
        <v>247</v>
      </c>
      <c r="H230" s="121" t="s">
        <v>233</v>
      </c>
      <c r="I230" s="122">
        <v>591</v>
      </c>
      <c r="J230" s="122">
        <v>90.533100000000005</v>
      </c>
      <c r="K230" s="122">
        <v>157.6</v>
      </c>
      <c r="L230" s="122">
        <v>24.142160000000001</v>
      </c>
      <c r="M230" s="123">
        <v>3.75</v>
      </c>
      <c r="N230" s="123">
        <v>75.3</v>
      </c>
      <c r="O230" s="123">
        <v>0</v>
      </c>
    </row>
    <row r="231" spans="1:15" x14ac:dyDescent="0.35">
      <c r="A231" s="120">
        <v>45385</v>
      </c>
      <c r="B231" s="121" t="s">
        <v>46</v>
      </c>
      <c r="C231" s="121" t="s">
        <v>44</v>
      </c>
      <c r="D231" s="121" t="s">
        <v>63</v>
      </c>
      <c r="E231" s="121" t="s">
        <v>166</v>
      </c>
      <c r="F231" s="121" t="s">
        <v>55</v>
      </c>
      <c r="G231" s="121" t="s">
        <v>247</v>
      </c>
      <c r="H231" s="121" t="s">
        <v>233</v>
      </c>
      <c r="I231" s="122">
        <v>368</v>
      </c>
      <c r="J231" s="122">
        <v>63.631980000000006</v>
      </c>
      <c r="K231" s="122">
        <v>113.23076923076923</v>
      </c>
      <c r="L231" s="122">
        <v>19.579070769230771</v>
      </c>
      <c r="M231" s="123">
        <v>3.25</v>
      </c>
      <c r="N231" s="123">
        <v>75.3</v>
      </c>
      <c r="O231" s="123">
        <v>0</v>
      </c>
    </row>
    <row r="232" spans="1:15" x14ac:dyDescent="0.35">
      <c r="A232" s="120">
        <v>45387</v>
      </c>
      <c r="B232" s="121" t="s">
        <v>46</v>
      </c>
      <c r="C232" s="121" t="s">
        <v>48</v>
      </c>
      <c r="D232" s="121" t="s">
        <v>63</v>
      </c>
      <c r="E232" s="121" t="s">
        <v>69</v>
      </c>
      <c r="F232" s="121" t="s">
        <v>45</v>
      </c>
      <c r="G232" s="121" t="s">
        <v>234</v>
      </c>
      <c r="H232" s="121" t="s">
        <v>233</v>
      </c>
      <c r="I232" s="122">
        <v>1198</v>
      </c>
      <c r="J232" s="122">
        <v>198.61344399999999</v>
      </c>
      <c r="K232" s="122">
        <v>181.97468354430382</v>
      </c>
      <c r="L232" s="122">
        <v>30.169130734177216</v>
      </c>
      <c r="M232" s="123">
        <v>6.583333333333333</v>
      </c>
      <c r="N232" s="123">
        <v>82.5</v>
      </c>
      <c r="O232" s="123">
        <v>0</v>
      </c>
    </row>
    <row r="233" spans="1:15" x14ac:dyDescent="0.35">
      <c r="A233" s="120">
        <v>45389</v>
      </c>
      <c r="B233" s="121" t="s">
        <v>46</v>
      </c>
      <c r="C233" s="121" t="s">
        <v>50</v>
      </c>
      <c r="D233" s="121" t="s">
        <v>63</v>
      </c>
      <c r="E233" s="121" t="s">
        <v>69</v>
      </c>
      <c r="F233" s="121" t="s">
        <v>45</v>
      </c>
      <c r="G233" s="121" t="s">
        <v>234</v>
      </c>
      <c r="H233" s="121" t="s">
        <v>233</v>
      </c>
      <c r="I233" s="122">
        <v>975</v>
      </c>
      <c r="J233" s="122">
        <v>147.77316000000002</v>
      </c>
      <c r="K233" s="122">
        <v>166.19318181818184</v>
      </c>
      <c r="L233" s="122">
        <v>25.188606818181825</v>
      </c>
      <c r="M233" s="123">
        <v>5.8666666666666663</v>
      </c>
      <c r="N233" s="123">
        <v>84.1</v>
      </c>
      <c r="O233" s="123">
        <v>0</v>
      </c>
    </row>
    <row r="234" spans="1:15" x14ac:dyDescent="0.35">
      <c r="A234" s="120">
        <v>45390</v>
      </c>
      <c r="B234" s="121" t="s">
        <v>42</v>
      </c>
      <c r="C234" s="121" t="s">
        <v>51</v>
      </c>
      <c r="D234" s="121" t="s">
        <v>63</v>
      </c>
      <c r="E234" s="121" t="s">
        <v>166</v>
      </c>
      <c r="F234" s="121" t="s">
        <v>55</v>
      </c>
      <c r="G234" s="121" t="s">
        <v>234</v>
      </c>
      <c r="H234" s="121" t="s">
        <v>233</v>
      </c>
      <c r="I234" s="122">
        <v>99</v>
      </c>
      <c r="J234" s="122">
        <v>17.499027999999999</v>
      </c>
      <c r="K234" s="122">
        <v>65.27472527472527</v>
      </c>
      <c r="L234" s="122">
        <v>11.537820659340658</v>
      </c>
      <c r="M234" s="123">
        <v>1.5166666666666666</v>
      </c>
      <c r="N234" s="123">
        <v>77.099999999999994</v>
      </c>
      <c r="O234" s="123">
        <v>1.2E-2</v>
      </c>
    </row>
    <row r="235" spans="1:15" x14ac:dyDescent="0.35">
      <c r="A235" s="120">
        <v>45390</v>
      </c>
      <c r="B235" s="121" t="s">
        <v>46</v>
      </c>
      <c r="C235" s="121" t="s">
        <v>51</v>
      </c>
      <c r="D235" s="121" t="s">
        <v>63</v>
      </c>
      <c r="E235" s="121" t="s">
        <v>166</v>
      </c>
      <c r="F235" s="121" t="s">
        <v>55</v>
      </c>
      <c r="G235" s="121" t="s">
        <v>234</v>
      </c>
      <c r="H235" s="121" t="s">
        <v>233</v>
      </c>
      <c r="I235" s="122">
        <v>594</v>
      </c>
      <c r="J235" s="122">
        <v>106.895884</v>
      </c>
      <c r="K235" s="122">
        <v>155.63318777292577</v>
      </c>
      <c r="L235" s="122">
        <v>28.007655196506548</v>
      </c>
      <c r="M235" s="123">
        <v>3.8166666666666669</v>
      </c>
      <c r="N235" s="123">
        <v>77.099999999999994</v>
      </c>
      <c r="O235" s="123">
        <v>1.2E-2</v>
      </c>
    </row>
    <row r="236" spans="1:15" x14ac:dyDescent="0.35">
      <c r="A236" s="120">
        <v>45392</v>
      </c>
      <c r="B236" s="121" t="s">
        <v>42</v>
      </c>
      <c r="C236" s="121" t="s">
        <v>44</v>
      </c>
      <c r="D236" s="121" t="s">
        <v>63</v>
      </c>
      <c r="E236" s="121" t="s">
        <v>166</v>
      </c>
      <c r="F236" s="121" t="s">
        <v>55</v>
      </c>
      <c r="G236" s="121" t="s">
        <v>234</v>
      </c>
      <c r="H236" s="121" t="s">
        <v>233</v>
      </c>
      <c r="I236" s="122">
        <v>319</v>
      </c>
      <c r="J236" s="122">
        <v>56.53566</v>
      </c>
      <c r="K236" s="122">
        <v>103.45945945945945</v>
      </c>
      <c r="L236" s="122">
        <v>18.335889729729729</v>
      </c>
      <c r="M236" s="123">
        <v>3.0833333333333335</v>
      </c>
      <c r="N236" s="123">
        <v>73.400000000000006</v>
      </c>
      <c r="O236" s="123">
        <v>0.78400000000000003</v>
      </c>
    </row>
    <row r="237" spans="1:15" x14ac:dyDescent="0.35">
      <c r="A237" s="120">
        <v>45392</v>
      </c>
      <c r="B237" s="121" t="s">
        <v>46</v>
      </c>
      <c r="C237" s="121" t="s">
        <v>44</v>
      </c>
      <c r="D237" s="121" t="s">
        <v>63</v>
      </c>
      <c r="E237" s="121" t="s">
        <v>166</v>
      </c>
      <c r="F237" s="121" t="s">
        <v>55</v>
      </c>
      <c r="G237" s="121" t="s">
        <v>234</v>
      </c>
      <c r="H237" s="121" t="s">
        <v>233</v>
      </c>
      <c r="I237" s="122">
        <v>856</v>
      </c>
      <c r="J237" s="122">
        <v>189.01321999999999</v>
      </c>
      <c r="K237" s="122">
        <v>196.78160919540232</v>
      </c>
      <c r="L237" s="122">
        <v>43.451314942528739</v>
      </c>
      <c r="M237" s="123">
        <v>4.3499999999999996</v>
      </c>
      <c r="N237" s="123">
        <v>73.400000000000006</v>
      </c>
      <c r="O237" s="123">
        <v>0.78400000000000003</v>
      </c>
    </row>
    <row r="238" spans="1:15" x14ac:dyDescent="0.35">
      <c r="A238" s="120">
        <v>45394</v>
      </c>
      <c r="B238" s="121" t="s">
        <v>42</v>
      </c>
      <c r="C238" s="121" t="s">
        <v>48</v>
      </c>
      <c r="D238" s="121" t="s">
        <v>63</v>
      </c>
      <c r="E238" s="121" t="s">
        <v>166</v>
      </c>
      <c r="F238" s="121" t="s">
        <v>55</v>
      </c>
      <c r="G238" s="121" t="s">
        <v>237</v>
      </c>
      <c r="H238" s="121" t="s">
        <v>233</v>
      </c>
      <c r="I238" s="122">
        <v>369.5</v>
      </c>
      <c r="J238" s="122">
        <v>72.763332000000005</v>
      </c>
      <c r="K238" s="122">
        <v>117.3015873015873</v>
      </c>
      <c r="L238" s="122">
        <v>23.099470476190479</v>
      </c>
      <c r="M238" s="123">
        <v>3.15</v>
      </c>
      <c r="N238" s="123">
        <v>80.599999999999994</v>
      </c>
      <c r="O238" s="123">
        <v>0</v>
      </c>
    </row>
    <row r="239" spans="1:15" x14ac:dyDescent="0.35">
      <c r="A239" s="120">
        <v>45394</v>
      </c>
      <c r="B239" s="121" t="s">
        <v>46</v>
      </c>
      <c r="C239" s="121" t="s">
        <v>48</v>
      </c>
      <c r="D239" s="121" t="s">
        <v>63</v>
      </c>
      <c r="E239" s="121" t="s">
        <v>69</v>
      </c>
      <c r="F239" s="121" t="s">
        <v>55</v>
      </c>
      <c r="G239" s="121" t="s">
        <v>237</v>
      </c>
      <c r="H239" s="121" t="s">
        <v>233</v>
      </c>
      <c r="I239" s="122">
        <v>1566.5</v>
      </c>
      <c r="J239" s="122">
        <v>251.99614399999996</v>
      </c>
      <c r="K239" s="122">
        <v>299.33121019108279</v>
      </c>
      <c r="L239" s="122">
        <v>48.152129426751586</v>
      </c>
      <c r="M239" s="123">
        <v>5.2333333333333334</v>
      </c>
      <c r="N239" s="123">
        <v>80.599999999999994</v>
      </c>
      <c r="O239" s="123">
        <v>0</v>
      </c>
    </row>
    <row r="240" spans="1:15" x14ac:dyDescent="0.35">
      <c r="A240" s="120">
        <v>45395</v>
      </c>
      <c r="B240" s="121" t="s">
        <v>42</v>
      </c>
      <c r="C240" s="121" t="s">
        <v>49</v>
      </c>
      <c r="D240" s="121" t="s">
        <v>63</v>
      </c>
      <c r="E240" s="121" t="s">
        <v>69</v>
      </c>
      <c r="F240" s="121" t="s">
        <v>55</v>
      </c>
      <c r="G240" s="121" t="s">
        <v>237</v>
      </c>
      <c r="H240" s="121" t="s">
        <v>233</v>
      </c>
      <c r="I240" s="122">
        <v>1278.25</v>
      </c>
      <c r="J240" s="122">
        <v>219.69695200000001</v>
      </c>
      <c r="K240" s="122">
        <v>255.65</v>
      </c>
      <c r="L240" s="122">
        <v>43.939390400000001</v>
      </c>
      <c r="M240" s="123">
        <v>5</v>
      </c>
      <c r="N240" s="123">
        <v>78.900000000000006</v>
      </c>
      <c r="O240" s="123">
        <v>0</v>
      </c>
    </row>
    <row r="241" spans="1:15" x14ac:dyDescent="0.35">
      <c r="A241" s="120">
        <v>45395</v>
      </c>
      <c r="B241" s="121" t="s">
        <v>46</v>
      </c>
      <c r="C241" s="121" t="s">
        <v>49</v>
      </c>
      <c r="D241" s="121" t="s">
        <v>63</v>
      </c>
      <c r="E241" s="121" t="s">
        <v>69</v>
      </c>
      <c r="F241" s="121" t="s">
        <v>55</v>
      </c>
      <c r="G241" s="121" t="s">
        <v>237</v>
      </c>
      <c r="H241" s="121" t="s">
        <v>233</v>
      </c>
      <c r="I241" s="122">
        <v>1278.25</v>
      </c>
      <c r="J241" s="122">
        <v>219.69695200000001</v>
      </c>
      <c r="K241" s="122">
        <v>255.65</v>
      </c>
      <c r="L241" s="122">
        <v>43.939390400000001</v>
      </c>
      <c r="M241" s="123">
        <v>5</v>
      </c>
      <c r="N241" s="123">
        <v>78.900000000000006</v>
      </c>
      <c r="O241" s="123">
        <v>0</v>
      </c>
    </row>
    <row r="242" spans="1:15" x14ac:dyDescent="0.35">
      <c r="A242" s="120">
        <v>45396</v>
      </c>
      <c r="B242" s="121" t="s">
        <v>46</v>
      </c>
      <c r="C242" s="121" t="s">
        <v>50</v>
      </c>
      <c r="D242" s="121" t="s">
        <v>63</v>
      </c>
      <c r="E242" s="121" t="s">
        <v>69</v>
      </c>
      <c r="F242" s="121" t="s">
        <v>45</v>
      </c>
      <c r="G242" s="121" t="s">
        <v>237</v>
      </c>
      <c r="H242" s="121" t="s">
        <v>233</v>
      </c>
      <c r="I242" s="122">
        <v>2054.5</v>
      </c>
      <c r="J242" s="122">
        <v>341.546808</v>
      </c>
      <c r="K242" s="122">
        <v>314.46428571428572</v>
      </c>
      <c r="L242" s="122">
        <v>52.277572653061227</v>
      </c>
      <c r="M242" s="123">
        <v>6.5333333333333332</v>
      </c>
      <c r="N242" s="123">
        <v>78.900000000000006</v>
      </c>
      <c r="O242" s="123">
        <v>0</v>
      </c>
    </row>
    <row r="243" spans="1:15" x14ac:dyDescent="0.35">
      <c r="A243" s="120">
        <v>45398</v>
      </c>
      <c r="B243" s="121" t="s">
        <v>42</v>
      </c>
      <c r="C243" s="121" t="s">
        <v>52</v>
      </c>
      <c r="D243" s="121" t="s">
        <v>63</v>
      </c>
      <c r="E243" s="121" t="s">
        <v>166</v>
      </c>
      <c r="F243" s="121" t="s">
        <v>55</v>
      </c>
      <c r="G243" s="121" t="s">
        <v>248</v>
      </c>
      <c r="H243" s="121" t="s">
        <v>233</v>
      </c>
      <c r="I243" s="122">
        <v>677</v>
      </c>
      <c r="J243" s="122">
        <v>131.962042</v>
      </c>
      <c r="K243" s="122">
        <v>127.53532182103611</v>
      </c>
      <c r="L243" s="122">
        <v>24.859411365777078</v>
      </c>
      <c r="M243" s="123">
        <v>5.3083333333333336</v>
      </c>
      <c r="N243" s="123">
        <v>78.900000000000006</v>
      </c>
      <c r="O243" s="123">
        <v>0</v>
      </c>
    </row>
    <row r="244" spans="1:15" x14ac:dyDescent="0.35">
      <c r="A244" s="120">
        <v>45398</v>
      </c>
      <c r="B244" s="121" t="s">
        <v>46</v>
      </c>
      <c r="C244" s="121" t="s">
        <v>52</v>
      </c>
      <c r="D244" s="121" t="s">
        <v>63</v>
      </c>
      <c r="E244" s="121" t="s">
        <v>166</v>
      </c>
      <c r="F244" s="121" t="s">
        <v>55</v>
      </c>
      <c r="G244" s="121" t="s">
        <v>248</v>
      </c>
      <c r="H244" s="121" t="s">
        <v>233</v>
      </c>
      <c r="I244" s="122">
        <v>677</v>
      </c>
      <c r="J244" s="122">
        <v>131.962042</v>
      </c>
      <c r="K244" s="122">
        <v>127.53532182103611</v>
      </c>
      <c r="L244" s="122">
        <v>24.859411365777078</v>
      </c>
      <c r="M244" s="123">
        <v>5.3083333333333336</v>
      </c>
      <c r="N244" s="123">
        <v>78.900000000000006</v>
      </c>
      <c r="O244" s="123">
        <v>0</v>
      </c>
    </row>
    <row r="245" spans="1:15" x14ac:dyDescent="0.35">
      <c r="A245" s="120">
        <v>45399</v>
      </c>
      <c r="B245" s="121" t="s">
        <v>42</v>
      </c>
      <c r="C245" s="121" t="s">
        <v>44</v>
      </c>
      <c r="D245" s="121" t="s">
        <v>63</v>
      </c>
      <c r="E245" s="121" t="s">
        <v>166</v>
      </c>
      <c r="F245" s="121" t="s">
        <v>55</v>
      </c>
      <c r="G245" s="121" t="s">
        <v>248</v>
      </c>
      <c r="H245" s="121" t="s">
        <v>233</v>
      </c>
      <c r="I245" s="122">
        <v>421</v>
      </c>
      <c r="J245" s="122">
        <v>69.276480000000006</v>
      </c>
      <c r="K245" s="122">
        <v>122.62135922330098</v>
      </c>
      <c r="L245" s="122">
        <v>20.177615533980585</v>
      </c>
      <c r="M245" s="123">
        <v>3.4333333333333331</v>
      </c>
      <c r="N245" s="123">
        <v>80.599999999999994</v>
      </c>
      <c r="O245" s="123">
        <v>0</v>
      </c>
    </row>
    <row r="246" spans="1:15" x14ac:dyDescent="0.35">
      <c r="A246" s="120">
        <v>45399</v>
      </c>
      <c r="B246" s="121" t="s">
        <v>46</v>
      </c>
      <c r="C246" s="121" t="s">
        <v>44</v>
      </c>
      <c r="D246" s="121" t="s">
        <v>63</v>
      </c>
      <c r="E246" s="121" t="s">
        <v>166</v>
      </c>
      <c r="F246" s="121" t="s">
        <v>55</v>
      </c>
      <c r="G246" s="121" t="s">
        <v>248</v>
      </c>
      <c r="H246" s="121" t="s">
        <v>233</v>
      </c>
      <c r="I246" s="122">
        <v>801.5</v>
      </c>
      <c r="J246" s="122">
        <v>145.55123599999999</v>
      </c>
      <c r="K246" s="122">
        <v>202.91139240506328</v>
      </c>
      <c r="L246" s="122">
        <v>36.848414177215183</v>
      </c>
      <c r="M246" s="123">
        <v>3.95</v>
      </c>
      <c r="N246" s="123">
        <v>80.599999999999994</v>
      </c>
      <c r="O246" s="123">
        <v>0</v>
      </c>
    </row>
    <row r="247" spans="1:15" x14ac:dyDescent="0.35">
      <c r="A247" s="120">
        <v>45400</v>
      </c>
      <c r="B247" s="121" t="s">
        <v>42</v>
      </c>
      <c r="C247" s="121" t="s">
        <v>47</v>
      </c>
      <c r="D247" s="121" t="s">
        <v>63</v>
      </c>
      <c r="E247" s="121" t="s">
        <v>166</v>
      </c>
      <c r="F247" s="121" t="s">
        <v>55</v>
      </c>
      <c r="G247" s="121" t="s">
        <v>234</v>
      </c>
      <c r="H247" s="121" t="s">
        <v>233</v>
      </c>
      <c r="I247" s="122">
        <v>602.5</v>
      </c>
      <c r="J247" s="122">
        <v>100.37970200000001</v>
      </c>
      <c r="K247" s="122">
        <v>136.67296786389414</v>
      </c>
      <c r="L247" s="122">
        <v>22.770442797731572</v>
      </c>
      <c r="M247" s="123">
        <v>4.4083333333333332</v>
      </c>
      <c r="N247" s="123">
        <v>82.5</v>
      </c>
      <c r="O247" s="123">
        <v>0</v>
      </c>
    </row>
    <row r="248" spans="1:15" x14ac:dyDescent="0.35">
      <c r="A248" s="120">
        <v>45400</v>
      </c>
      <c r="B248" s="121" t="s">
        <v>46</v>
      </c>
      <c r="C248" s="121" t="s">
        <v>47</v>
      </c>
      <c r="D248" s="121" t="s">
        <v>63</v>
      </c>
      <c r="E248" s="121" t="s">
        <v>166</v>
      </c>
      <c r="F248" s="121" t="s">
        <v>55</v>
      </c>
      <c r="G248" s="121" t="s">
        <v>234</v>
      </c>
      <c r="H248" s="121" t="s">
        <v>233</v>
      </c>
      <c r="I248" s="122">
        <v>602.5</v>
      </c>
      <c r="J248" s="122">
        <v>100.37970200000001</v>
      </c>
      <c r="K248" s="122">
        <v>136.67296786389414</v>
      </c>
      <c r="L248" s="122">
        <v>22.770442797731572</v>
      </c>
      <c r="M248" s="123">
        <v>4.4083333333333332</v>
      </c>
      <c r="N248" s="123">
        <v>82.5</v>
      </c>
      <c r="O248" s="123">
        <v>0</v>
      </c>
    </row>
    <row r="249" spans="1:15" x14ac:dyDescent="0.35">
      <c r="A249" s="120">
        <v>45401</v>
      </c>
      <c r="B249" s="121" t="s">
        <v>46</v>
      </c>
      <c r="C249" s="121" t="s">
        <v>48</v>
      </c>
      <c r="D249" s="121" t="s">
        <v>63</v>
      </c>
      <c r="E249" s="121" t="s">
        <v>69</v>
      </c>
      <c r="F249" s="121" t="s">
        <v>45</v>
      </c>
      <c r="G249" s="121" t="s">
        <v>234</v>
      </c>
      <c r="H249" s="121" t="s">
        <v>233</v>
      </c>
      <c r="I249" s="122">
        <v>1313.5</v>
      </c>
      <c r="J249" s="122">
        <v>216.12048000000001</v>
      </c>
      <c r="K249" s="122">
        <v>203.11855670103091</v>
      </c>
      <c r="L249" s="122">
        <v>33.420692783505153</v>
      </c>
      <c r="M249" s="123">
        <v>6.4666666666666668</v>
      </c>
      <c r="N249" s="123">
        <v>84.2</v>
      </c>
      <c r="O249" s="123">
        <v>0</v>
      </c>
    </row>
    <row r="250" spans="1:15" x14ac:dyDescent="0.35">
      <c r="A250" s="120">
        <v>45402</v>
      </c>
      <c r="B250" s="121" t="s">
        <v>42</v>
      </c>
      <c r="C250" s="121" t="s">
        <v>49</v>
      </c>
      <c r="D250" s="121" t="s">
        <v>63</v>
      </c>
      <c r="E250" s="121" t="s">
        <v>69</v>
      </c>
      <c r="F250" s="121" t="s">
        <v>55</v>
      </c>
      <c r="G250" s="121" t="s">
        <v>234</v>
      </c>
      <c r="H250" s="121" t="s">
        <v>233</v>
      </c>
      <c r="I250" s="122">
        <v>1112</v>
      </c>
      <c r="J250" s="122">
        <v>203.769158</v>
      </c>
      <c r="K250" s="122">
        <v>253.2068311195446</v>
      </c>
      <c r="L250" s="122">
        <v>46.399049259962048</v>
      </c>
      <c r="M250" s="123">
        <v>4.3916666666666666</v>
      </c>
      <c r="N250" s="123">
        <v>80.7</v>
      </c>
      <c r="O250" s="123">
        <v>0</v>
      </c>
    </row>
    <row r="251" spans="1:15" x14ac:dyDescent="0.35">
      <c r="A251" s="120">
        <v>45402</v>
      </c>
      <c r="B251" s="121" t="s">
        <v>46</v>
      </c>
      <c r="C251" s="121" t="s">
        <v>49</v>
      </c>
      <c r="D251" s="121" t="s">
        <v>63</v>
      </c>
      <c r="E251" s="121" t="s">
        <v>69</v>
      </c>
      <c r="F251" s="121" t="s">
        <v>55</v>
      </c>
      <c r="G251" s="121" t="s">
        <v>234</v>
      </c>
      <c r="H251" s="121" t="s">
        <v>233</v>
      </c>
      <c r="I251" s="122">
        <v>1112</v>
      </c>
      <c r="J251" s="122">
        <v>205.899158</v>
      </c>
      <c r="K251" s="122">
        <v>206.24420401854715</v>
      </c>
      <c r="L251" s="122">
        <v>38.188406429675425</v>
      </c>
      <c r="M251" s="123">
        <v>5.3916666666666666</v>
      </c>
      <c r="N251" s="123">
        <v>80.7</v>
      </c>
      <c r="O251" s="123">
        <v>0</v>
      </c>
    </row>
    <row r="252" spans="1:15" x14ac:dyDescent="0.35">
      <c r="A252" s="120">
        <v>45404</v>
      </c>
      <c r="B252" s="121" t="s">
        <v>42</v>
      </c>
      <c r="C252" s="121" t="s">
        <v>51</v>
      </c>
      <c r="D252" s="121" t="s">
        <v>63</v>
      </c>
      <c r="E252" s="121" t="s">
        <v>166</v>
      </c>
      <c r="F252" s="121" t="s">
        <v>45</v>
      </c>
      <c r="G252" s="121" t="s">
        <v>234</v>
      </c>
      <c r="H252" s="121" t="s">
        <v>233</v>
      </c>
      <c r="I252" s="122">
        <v>240</v>
      </c>
      <c r="J252" s="122">
        <v>37.632892000000005</v>
      </c>
      <c r="K252" s="122">
        <v>109.92366412213741</v>
      </c>
      <c r="L252" s="122">
        <v>17.236439083969469</v>
      </c>
      <c r="M252" s="123">
        <v>2.1833333333333331</v>
      </c>
      <c r="N252" s="123">
        <v>69.900000000000006</v>
      </c>
      <c r="O252" s="123">
        <v>0</v>
      </c>
    </row>
    <row r="253" spans="1:15" x14ac:dyDescent="0.35">
      <c r="A253" s="120">
        <v>45408</v>
      </c>
      <c r="B253" s="121" t="s">
        <v>46</v>
      </c>
      <c r="C253" s="121" t="s">
        <v>48</v>
      </c>
      <c r="D253" s="121" t="s">
        <v>63</v>
      </c>
      <c r="E253" s="121" t="s">
        <v>69</v>
      </c>
      <c r="F253" s="121" t="s">
        <v>45</v>
      </c>
      <c r="G253" s="121" t="s">
        <v>234</v>
      </c>
      <c r="H253" s="121" t="s">
        <v>233</v>
      </c>
      <c r="I253" s="122">
        <v>1526</v>
      </c>
      <c r="J253" s="122">
        <v>284.76803999999998</v>
      </c>
      <c r="K253" s="122">
        <v>212.93023255813952</v>
      </c>
      <c r="L253" s="122">
        <v>39.735075348837206</v>
      </c>
      <c r="M253" s="123">
        <v>7.166666666666667</v>
      </c>
      <c r="N253" s="123">
        <v>80.599999999999994</v>
      </c>
      <c r="O253" s="123">
        <v>0</v>
      </c>
    </row>
    <row r="254" spans="1:15" x14ac:dyDescent="0.35">
      <c r="A254" s="120">
        <v>45409</v>
      </c>
      <c r="B254" s="121" t="s">
        <v>42</v>
      </c>
      <c r="C254" s="121" t="s">
        <v>49</v>
      </c>
      <c r="D254" s="121" t="s">
        <v>63</v>
      </c>
      <c r="E254" s="121" t="s">
        <v>69</v>
      </c>
      <c r="F254" s="121" t="s">
        <v>55</v>
      </c>
      <c r="G254" s="121" t="s">
        <v>234</v>
      </c>
      <c r="H254" s="121" t="s">
        <v>233</v>
      </c>
      <c r="I254" s="122">
        <v>1427</v>
      </c>
      <c r="J254" s="122">
        <v>234.53430800000001</v>
      </c>
      <c r="K254" s="122">
        <v>278.89250814332252</v>
      </c>
      <c r="L254" s="122">
        <v>45.837324039087953</v>
      </c>
      <c r="M254" s="123">
        <v>5.1166666666666663</v>
      </c>
      <c r="N254" s="123">
        <v>80.599999999999994</v>
      </c>
      <c r="O254" s="123">
        <v>0</v>
      </c>
    </row>
    <row r="255" spans="1:15" x14ac:dyDescent="0.35">
      <c r="A255" s="120">
        <v>45409</v>
      </c>
      <c r="B255" s="121" t="s">
        <v>46</v>
      </c>
      <c r="C255" s="121" t="s">
        <v>49</v>
      </c>
      <c r="D255" s="121" t="s">
        <v>63</v>
      </c>
      <c r="E255" s="121" t="s">
        <v>69</v>
      </c>
      <c r="F255" s="121" t="s">
        <v>55</v>
      </c>
      <c r="G255" s="121" t="s">
        <v>234</v>
      </c>
      <c r="H255" s="121" t="s">
        <v>233</v>
      </c>
      <c r="I255" s="122">
        <v>1427</v>
      </c>
      <c r="J255" s="122">
        <v>234.53430800000001</v>
      </c>
      <c r="K255" s="122">
        <v>278.89250814332252</v>
      </c>
      <c r="L255" s="122">
        <v>45.837324039087953</v>
      </c>
      <c r="M255" s="123">
        <v>5.1166666666666663</v>
      </c>
      <c r="N255" s="123">
        <v>80.599999999999994</v>
      </c>
      <c r="O255" s="123">
        <v>0</v>
      </c>
    </row>
    <row r="256" spans="1:15" x14ac:dyDescent="0.35">
      <c r="A256" s="120">
        <v>45410</v>
      </c>
      <c r="B256" s="121" t="s">
        <v>46</v>
      </c>
      <c r="C256" s="121" t="s">
        <v>50</v>
      </c>
      <c r="D256" s="121" t="s">
        <v>63</v>
      </c>
      <c r="E256" s="121" t="s">
        <v>69</v>
      </c>
      <c r="F256" s="121" t="s">
        <v>45</v>
      </c>
      <c r="G256" s="121" t="s">
        <v>234</v>
      </c>
      <c r="H256" s="121" t="s">
        <v>233</v>
      </c>
      <c r="I256" s="122">
        <v>1798.5</v>
      </c>
      <c r="J256" s="122">
        <v>309.659424</v>
      </c>
      <c r="K256" s="122">
        <v>328.9939024390244</v>
      </c>
      <c r="L256" s="122">
        <v>56.645016585365852</v>
      </c>
      <c r="M256" s="123">
        <v>5.4666666666666668</v>
      </c>
      <c r="N256" s="123">
        <v>80.7</v>
      </c>
      <c r="O256" s="123">
        <v>1E-3</v>
      </c>
    </row>
    <row r="257" spans="1:15" x14ac:dyDescent="0.35">
      <c r="A257" s="120">
        <v>45411</v>
      </c>
      <c r="B257" s="121" t="s">
        <v>42</v>
      </c>
      <c r="C257" s="121" t="s">
        <v>51</v>
      </c>
      <c r="D257" s="121" t="s">
        <v>63</v>
      </c>
      <c r="E257" s="121" t="s">
        <v>166</v>
      </c>
      <c r="F257" s="121" t="s">
        <v>55</v>
      </c>
      <c r="G257" s="121" t="s">
        <v>234</v>
      </c>
      <c r="H257" s="121" t="s">
        <v>233</v>
      </c>
      <c r="I257" s="122">
        <v>538</v>
      </c>
      <c r="J257" s="122">
        <v>104.67538</v>
      </c>
      <c r="K257" s="122">
        <v>133.94190871369295</v>
      </c>
      <c r="L257" s="122">
        <v>26.060260580912864</v>
      </c>
      <c r="M257" s="123">
        <v>4.0166666666666666</v>
      </c>
      <c r="N257" s="123">
        <v>78.900000000000006</v>
      </c>
      <c r="O257" s="123">
        <v>4.2999999999999997E-2</v>
      </c>
    </row>
    <row r="258" spans="1:15" x14ac:dyDescent="0.35">
      <c r="A258" s="120">
        <v>45411</v>
      </c>
      <c r="B258" s="121" t="s">
        <v>46</v>
      </c>
      <c r="C258" s="121" t="s">
        <v>51</v>
      </c>
      <c r="D258" s="121" t="s">
        <v>63</v>
      </c>
      <c r="E258" s="121" t="s">
        <v>166</v>
      </c>
      <c r="F258" s="121" t="s">
        <v>55</v>
      </c>
      <c r="G258" s="121" t="s">
        <v>234</v>
      </c>
      <c r="H258" s="121" t="s">
        <v>233</v>
      </c>
      <c r="I258" s="122">
        <v>766.5</v>
      </c>
      <c r="J258" s="122">
        <v>117.92331999999999</v>
      </c>
      <c r="K258" s="122">
        <v>183.95999999999998</v>
      </c>
      <c r="L258" s="122">
        <v>28.301596799999995</v>
      </c>
      <c r="M258" s="123">
        <v>4.166666666666667</v>
      </c>
      <c r="N258" s="123">
        <v>78.900000000000006</v>
      </c>
      <c r="O258" s="123">
        <v>4.2999999999999997E-2</v>
      </c>
    </row>
    <row r="259" spans="1:15" x14ac:dyDescent="0.35">
      <c r="A259" s="120">
        <v>45413</v>
      </c>
      <c r="B259" s="121" t="s">
        <v>42</v>
      </c>
      <c r="C259" s="121" t="s">
        <v>44</v>
      </c>
      <c r="D259" s="121" t="s">
        <v>64</v>
      </c>
      <c r="E259" s="121" t="s">
        <v>166</v>
      </c>
      <c r="F259" s="121" t="s">
        <v>55</v>
      </c>
      <c r="G259" s="121" t="s">
        <v>239</v>
      </c>
      <c r="H259" s="121" t="s">
        <v>233</v>
      </c>
      <c r="I259" s="122">
        <v>724</v>
      </c>
      <c r="J259" s="122">
        <v>121.366584</v>
      </c>
      <c r="K259" s="122">
        <v>176.58536585365854</v>
      </c>
      <c r="L259" s="122">
        <v>29.60160585365854</v>
      </c>
      <c r="M259" s="123">
        <v>4.0999999999999996</v>
      </c>
      <c r="N259" s="123">
        <v>80.7</v>
      </c>
      <c r="O259" s="123">
        <v>0</v>
      </c>
    </row>
    <row r="260" spans="1:15" x14ac:dyDescent="0.35">
      <c r="A260" s="120">
        <v>45413</v>
      </c>
      <c r="B260" s="121" t="s">
        <v>46</v>
      </c>
      <c r="C260" s="121" t="s">
        <v>44</v>
      </c>
      <c r="D260" s="121" t="s">
        <v>64</v>
      </c>
      <c r="E260" s="121" t="s">
        <v>166</v>
      </c>
      <c r="F260" s="121" t="s">
        <v>55</v>
      </c>
      <c r="G260" s="121" t="s">
        <v>239</v>
      </c>
      <c r="H260" s="121" t="s">
        <v>233</v>
      </c>
      <c r="I260" s="122">
        <v>968.5</v>
      </c>
      <c r="J260" s="122">
        <v>155.88106400000001</v>
      </c>
      <c r="K260" s="122">
        <v>216.82835820895522</v>
      </c>
      <c r="L260" s="122">
        <v>34.898745671641791</v>
      </c>
      <c r="M260" s="123">
        <v>4.4666666666666668</v>
      </c>
      <c r="N260" s="123">
        <v>80.7</v>
      </c>
      <c r="O260" s="123">
        <v>0</v>
      </c>
    </row>
    <row r="261" spans="1:15" x14ac:dyDescent="0.35">
      <c r="A261" s="120">
        <v>45415</v>
      </c>
      <c r="B261" s="121" t="s">
        <v>46</v>
      </c>
      <c r="C261" s="121" t="s">
        <v>48</v>
      </c>
      <c r="D261" s="121" t="s">
        <v>64</v>
      </c>
      <c r="E261" s="121" t="s">
        <v>69</v>
      </c>
      <c r="F261" s="121" t="s">
        <v>45</v>
      </c>
      <c r="G261" s="121" t="s">
        <v>236</v>
      </c>
      <c r="H261" s="121" t="s">
        <v>233</v>
      </c>
      <c r="I261" s="122">
        <v>1715.5</v>
      </c>
      <c r="J261" s="122">
        <v>262.33873999999997</v>
      </c>
      <c r="K261" s="122">
        <v>227.21854304635761</v>
      </c>
      <c r="L261" s="122">
        <v>34.746852980132445</v>
      </c>
      <c r="M261" s="123">
        <v>7.55</v>
      </c>
      <c r="N261" s="123">
        <v>78.900000000000006</v>
      </c>
      <c r="O261" s="123">
        <v>1.2999999999999999E-2</v>
      </c>
    </row>
    <row r="262" spans="1:15" x14ac:dyDescent="0.35">
      <c r="A262" s="120">
        <v>45416</v>
      </c>
      <c r="B262" s="121" t="s">
        <v>42</v>
      </c>
      <c r="C262" s="121" t="s">
        <v>49</v>
      </c>
      <c r="D262" s="121" t="s">
        <v>64</v>
      </c>
      <c r="E262" s="121" t="s">
        <v>69</v>
      </c>
      <c r="F262" s="121" t="s">
        <v>55</v>
      </c>
      <c r="G262" s="121" t="s">
        <v>236</v>
      </c>
      <c r="H262" s="121" t="s">
        <v>233</v>
      </c>
      <c r="I262" s="122">
        <v>1198.335</v>
      </c>
      <c r="J262" s="122">
        <v>194.77481399999999</v>
      </c>
      <c r="K262" s="122">
        <v>233.06353322528363</v>
      </c>
      <c r="L262" s="122">
        <v>37.88164940032415</v>
      </c>
      <c r="M262" s="123">
        <v>5.1416666666666666</v>
      </c>
      <c r="N262" s="123">
        <v>82.5</v>
      </c>
      <c r="O262" s="123">
        <v>0</v>
      </c>
    </row>
    <row r="263" spans="1:15" x14ac:dyDescent="0.35">
      <c r="A263" s="120">
        <v>45416</v>
      </c>
      <c r="B263" s="121" t="s">
        <v>46</v>
      </c>
      <c r="C263" s="121" t="s">
        <v>49</v>
      </c>
      <c r="D263" s="121" t="s">
        <v>64</v>
      </c>
      <c r="E263" s="121" t="s">
        <v>69</v>
      </c>
      <c r="F263" s="121" t="s">
        <v>55</v>
      </c>
      <c r="G263" s="121" t="s">
        <v>236</v>
      </c>
      <c r="H263" s="121" t="s">
        <v>233</v>
      </c>
      <c r="I263" s="122">
        <v>1198.335</v>
      </c>
      <c r="J263" s="122">
        <v>194.77481399999999</v>
      </c>
      <c r="K263" s="122">
        <v>233.06353322528363</v>
      </c>
      <c r="L263" s="122">
        <v>37.88164940032415</v>
      </c>
      <c r="M263" s="123">
        <v>5.1416666666666666</v>
      </c>
      <c r="N263" s="123">
        <v>82.5</v>
      </c>
      <c r="O263" s="123">
        <v>0</v>
      </c>
    </row>
    <row r="264" spans="1:15" x14ac:dyDescent="0.35">
      <c r="A264" s="120">
        <v>45417</v>
      </c>
      <c r="B264" s="121" t="s">
        <v>46</v>
      </c>
      <c r="C264" s="121" t="s">
        <v>50</v>
      </c>
      <c r="D264" s="121" t="s">
        <v>64</v>
      </c>
      <c r="E264" s="121" t="s">
        <v>69</v>
      </c>
      <c r="F264" s="121" t="s">
        <v>45</v>
      </c>
      <c r="G264" s="121" t="s">
        <v>236</v>
      </c>
      <c r="H264" s="121" t="s">
        <v>233</v>
      </c>
      <c r="I264" s="122">
        <v>1314.5</v>
      </c>
      <c r="J264" s="122">
        <v>330.93636000000004</v>
      </c>
      <c r="K264" s="122">
        <v>213.16216216216216</v>
      </c>
      <c r="L264" s="122">
        <v>53.665355675675677</v>
      </c>
      <c r="M264" s="123">
        <v>6.166666666666667</v>
      </c>
      <c r="N264" s="123">
        <v>77.099999999999994</v>
      </c>
      <c r="O264" s="123">
        <v>1.2E-2</v>
      </c>
    </row>
    <row r="265" spans="1:15" x14ac:dyDescent="0.35">
      <c r="A265" s="120">
        <v>45418</v>
      </c>
      <c r="B265" s="121" t="s">
        <v>46</v>
      </c>
      <c r="C265" s="121" t="s">
        <v>51</v>
      </c>
      <c r="D265" s="121" t="s">
        <v>64</v>
      </c>
      <c r="E265" s="121" t="s">
        <v>166</v>
      </c>
      <c r="F265" s="121" t="s">
        <v>45</v>
      </c>
      <c r="G265" s="121" t="s">
        <v>234</v>
      </c>
      <c r="H265" s="121" t="s">
        <v>233</v>
      </c>
      <c r="I265" s="122">
        <v>1397.5</v>
      </c>
      <c r="J265" s="122">
        <v>219.89998</v>
      </c>
      <c r="K265" s="122">
        <v>292.16027874564463</v>
      </c>
      <c r="L265" s="122">
        <v>45.9721212543554</v>
      </c>
      <c r="M265" s="123">
        <v>4.7833333333333332</v>
      </c>
      <c r="N265" s="123">
        <v>82.5</v>
      </c>
      <c r="O265" s="123">
        <v>0</v>
      </c>
    </row>
    <row r="266" spans="1:15" x14ac:dyDescent="0.35">
      <c r="A266" s="120">
        <v>45420</v>
      </c>
      <c r="B266" s="121" t="s">
        <v>46</v>
      </c>
      <c r="C266" s="121" t="s">
        <v>44</v>
      </c>
      <c r="D266" s="121" t="s">
        <v>64</v>
      </c>
      <c r="E266" s="121" t="s">
        <v>166</v>
      </c>
      <c r="F266" s="121" t="s">
        <v>45</v>
      </c>
      <c r="G266" s="121" t="s">
        <v>234</v>
      </c>
      <c r="H266" s="121" t="s">
        <v>233</v>
      </c>
      <c r="I266" s="122">
        <v>570.5</v>
      </c>
      <c r="J266" s="122">
        <v>98.66968</v>
      </c>
      <c r="K266" s="122">
        <v>142.625</v>
      </c>
      <c r="L266" s="122">
        <v>24.66742</v>
      </c>
      <c r="M266" s="123">
        <v>4</v>
      </c>
      <c r="N266" s="123">
        <v>86</v>
      </c>
      <c r="O266" s="123">
        <v>0</v>
      </c>
    </row>
    <row r="267" spans="1:15" x14ac:dyDescent="0.35">
      <c r="A267" s="120">
        <v>45422</v>
      </c>
      <c r="B267" s="121" t="s">
        <v>46</v>
      </c>
      <c r="C267" s="121" t="s">
        <v>48</v>
      </c>
      <c r="D267" s="121" t="s">
        <v>64</v>
      </c>
      <c r="E267" s="121" t="s">
        <v>69</v>
      </c>
      <c r="F267" s="121" t="s">
        <v>45</v>
      </c>
      <c r="G267" s="121" t="s">
        <v>234</v>
      </c>
      <c r="H267" s="121" t="s">
        <v>233</v>
      </c>
      <c r="I267" s="122">
        <v>1527.5</v>
      </c>
      <c r="J267" s="122">
        <v>220.57392000000004</v>
      </c>
      <c r="K267" s="122">
        <v>208.29545454545456</v>
      </c>
      <c r="L267" s="122">
        <v>30.078261818181826</v>
      </c>
      <c r="M267" s="123">
        <v>7.333333333333333</v>
      </c>
      <c r="N267" s="123">
        <v>86.1</v>
      </c>
      <c r="O267" s="123">
        <v>0</v>
      </c>
    </row>
    <row r="268" spans="1:15" x14ac:dyDescent="0.35">
      <c r="A268" s="120">
        <v>45423</v>
      </c>
      <c r="B268" s="121" t="s">
        <v>42</v>
      </c>
      <c r="C268" s="121" t="s">
        <v>49</v>
      </c>
      <c r="D268" s="121" t="s">
        <v>64</v>
      </c>
      <c r="E268" s="121" t="s">
        <v>69</v>
      </c>
      <c r="F268" s="121" t="s">
        <v>55</v>
      </c>
      <c r="G268" s="121" t="s">
        <v>234</v>
      </c>
      <c r="H268" s="121" t="s">
        <v>233</v>
      </c>
      <c r="I268" s="122">
        <v>1165</v>
      </c>
      <c r="J268" s="122">
        <v>180.02605600000001</v>
      </c>
      <c r="K268" s="122">
        <v>215.74074074074073</v>
      </c>
      <c r="L268" s="122">
        <v>33.338158518518519</v>
      </c>
      <c r="M268" s="123">
        <v>5.4</v>
      </c>
      <c r="N268" s="123">
        <v>78.900000000000006</v>
      </c>
      <c r="O268" s="123">
        <v>0</v>
      </c>
    </row>
    <row r="269" spans="1:15" x14ac:dyDescent="0.35">
      <c r="A269" s="120">
        <v>45423</v>
      </c>
      <c r="B269" s="121" t="s">
        <v>46</v>
      </c>
      <c r="C269" s="121" t="s">
        <v>49</v>
      </c>
      <c r="D269" s="121" t="s">
        <v>64</v>
      </c>
      <c r="E269" s="121" t="s">
        <v>69</v>
      </c>
      <c r="F269" s="121" t="s">
        <v>55</v>
      </c>
      <c r="G269" s="121" t="s">
        <v>234</v>
      </c>
      <c r="H269" s="121" t="s">
        <v>233</v>
      </c>
      <c r="I269" s="122">
        <v>1165</v>
      </c>
      <c r="J269" s="122">
        <v>180.02605600000001</v>
      </c>
      <c r="K269" s="122">
        <v>215.74074074074073</v>
      </c>
      <c r="L269" s="122">
        <v>33.338158518518519</v>
      </c>
      <c r="M269" s="123">
        <v>5.4</v>
      </c>
      <c r="N269" s="123">
        <v>78.900000000000006</v>
      </c>
      <c r="O269" s="123">
        <v>0</v>
      </c>
    </row>
    <row r="270" spans="1:15" x14ac:dyDescent="0.35">
      <c r="A270" s="120">
        <v>45424</v>
      </c>
      <c r="B270" s="121" t="s">
        <v>46</v>
      </c>
      <c r="C270" s="121" t="s">
        <v>50</v>
      </c>
      <c r="D270" s="121" t="s">
        <v>64</v>
      </c>
      <c r="E270" s="121" t="s">
        <v>69</v>
      </c>
      <c r="F270" s="121" t="s">
        <v>45</v>
      </c>
      <c r="G270" s="121" t="s">
        <v>234</v>
      </c>
      <c r="H270" s="121" t="s">
        <v>233</v>
      </c>
      <c r="I270" s="122">
        <v>2631.5</v>
      </c>
      <c r="J270" s="122">
        <v>441.84240000000005</v>
      </c>
      <c r="K270" s="122">
        <v>375.92857142857144</v>
      </c>
      <c r="L270" s="122">
        <v>63.120342857142866</v>
      </c>
      <c r="M270" s="123">
        <v>7</v>
      </c>
      <c r="N270" s="123">
        <v>82.5</v>
      </c>
      <c r="O270" s="123">
        <v>1.4999999999999999E-2</v>
      </c>
    </row>
    <row r="271" spans="1:15" x14ac:dyDescent="0.35">
      <c r="A271" s="120">
        <v>45425</v>
      </c>
      <c r="B271" s="121" t="s">
        <v>42</v>
      </c>
      <c r="C271" s="121" t="s">
        <v>51</v>
      </c>
      <c r="D271" s="121" t="s">
        <v>64</v>
      </c>
      <c r="E271" s="121" t="s">
        <v>166</v>
      </c>
      <c r="F271" s="121" t="s">
        <v>45</v>
      </c>
      <c r="G271" s="121" t="s">
        <v>244</v>
      </c>
      <c r="H271" s="121" t="s">
        <v>233</v>
      </c>
      <c r="I271" s="122">
        <v>390.5</v>
      </c>
      <c r="J271" s="122">
        <v>68.12</v>
      </c>
      <c r="K271" s="122">
        <v>0</v>
      </c>
      <c r="L271" s="122">
        <v>0</v>
      </c>
      <c r="M271" s="123">
        <v>0</v>
      </c>
      <c r="N271" s="123">
        <v>87.7</v>
      </c>
      <c r="O271" s="123">
        <v>5.3999999999999999E-2</v>
      </c>
    </row>
    <row r="272" spans="1:15" x14ac:dyDescent="0.35">
      <c r="A272" s="120">
        <v>45427</v>
      </c>
      <c r="B272" s="121" t="s">
        <v>46</v>
      </c>
      <c r="C272" s="121" t="s">
        <v>44</v>
      </c>
      <c r="D272" s="121" t="s">
        <v>64</v>
      </c>
      <c r="E272" s="121" t="s">
        <v>166</v>
      </c>
      <c r="F272" s="121" t="s">
        <v>45</v>
      </c>
      <c r="G272" s="121" t="s">
        <v>244</v>
      </c>
      <c r="H272" s="121" t="s">
        <v>233</v>
      </c>
      <c r="I272" s="122">
        <v>904</v>
      </c>
      <c r="J272" s="122">
        <v>151.49395200000001</v>
      </c>
      <c r="K272" s="122">
        <v>207.02290076335879</v>
      </c>
      <c r="L272" s="122">
        <v>34.693271450381687</v>
      </c>
      <c r="M272" s="123">
        <v>4.3666666666666663</v>
      </c>
      <c r="N272" s="123">
        <v>91.4</v>
      </c>
      <c r="O272" s="123">
        <v>0</v>
      </c>
    </row>
    <row r="273" spans="1:15" x14ac:dyDescent="0.35">
      <c r="A273" s="120">
        <v>45428</v>
      </c>
      <c r="B273" s="121" t="s">
        <v>46</v>
      </c>
      <c r="C273" s="121" t="s">
        <v>47</v>
      </c>
      <c r="D273" s="121" t="s">
        <v>64</v>
      </c>
      <c r="E273" s="121" t="s">
        <v>166</v>
      </c>
      <c r="F273" s="121" t="s">
        <v>45</v>
      </c>
      <c r="G273" s="121" t="s">
        <v>244</v>
      </c>
      <c r="H273" s="121" t="s">
        <v>233</v>
      </c>
      <c r="I273" s="122">
        <v>1066.5</v>
      </c>
      <c r="J273" s="122">
        <v>158.003232</v>
      </c>
      <c r="K273" s="122">
        <v>213.3</v>
      </c>
      <c r="L273" s="122">
        <v>31.600646399999999</v>
      </c>
      <c r="M273" s="123">
        <v>5</v>
      </c>
      <c r="N273" s="123">
        <v>80.7</v>
      </c>
      <c r="O273" s="123">
        <v>4.9000000000000002E-2</v>
      </c>
    </row>
    <row r="274" spans="1:15" x14ac:dyDescent="0.35">
      <c r="A274" s="120">
        <v>45430</v>
      </c>
      <c r="B274" s="121" t="s">
        <v>42</v>
      </c>
      <c r="C274" s="121" t="s">
        <v>49</v>
      </c>
      <c r="D274" s="121" t="s">
        <v>64</v>
      </c>
      <c r="E274" s="121" t="s">
        <v>166</v>
      </c>
      <c r="F274" s="121" t="s">
        <v>45</v>
      </c>
      <c r="G274" s="121" t="s">
        <v>249</v>
      </c>
      <c r="H274" s="121" t="s">
        <v>233</v>
      </c>
      <c r="I274" s="122">
        <v>1385.5</v>
      </c>
      <c r="J274" s="122">
        <v>158.691464</v>
      </c>
      <c r="K274" s="122">
        <v>0</v>
      </c>
      <c r="L274" s="122">
        <v>0</v>
      </c>
      <c r="M274" s="123">
        <v>0</v>
      </c>
      <c r="N274" s="123">
        <v>89.6</v>
      </c>
      <c r="O274" s="123">
        <v>0</v>
      </c>
    </row>
    <row r="275" spans="1:15" x14ac:dyDescent="0.35">
      <c r="A275" s="120">
        <v>45430</v>
      </c>
      <c r="B275" s="121" t="s">
        <v>46</v>
      </c>
      <c r="C275" s="121" t="s">
        <v>49</v>
      </c>
      <c r="D275" s="121" t="s">
        <v>64</v>
      </c>
      <c r="E275" s="121" t="s">
        <v>69</v>
      </c>
      <c r="F275" s="121" t="s">
        <v>45</v>
      </c>
      <c r="G275" s="121" t="s">
        <v>249</v>
      </c>
      <c r="H275" s="121" t="s">
        <v>233</v>
      </c>
      <c r="I275" s="122">
        <v>1555</v>
      </c>
      <c r="J275" s="122">
        <v>280.04757199999995</v>
      </c>
      <c r="K275" s="122">
        <v>294.32176656151421</v>
      </c>
      <c r="L275" s="122">
        <v>53.005849589905353</v>
      </c>
      <c r="M275" s="123">
        <v>5.2833333333333332</v>
      </c>
      <c r="N275" s="123">
        <v>89.6</v>
      </c>
      <c r="O275" s="123">
        <v>0</v>
      </c>
    </row>
    <row r="276" spans="1:15" x14ac:dyDescent="0.35">
      <c r="A276" s="120">
        <v>45431</v>
      </c>
      <c r="B276" s="121" t="s">
        <v>42</v>
      </c>
      <c r="C276" s="121" t="s">
        <v>50</v>
      </c>
      <c r="D276" s="121" t="s">
        <v>64</v>
      </c>
      <c r="E276" s="121" t="s">
        <v>69</v>
      </c>
      <c r="F276" s="121" t="s">
        <v>55</v>
      </c>
      <c r="G276" s="121" t="s">
        <v>249</v>
      </c>
      <c r="H276" s="121" t="s">
        <v>233</v>
      </c>
      <c r="I276" s="122">
        <v>525</v>
      </c>
      <c r="J276" s="122">
        <v>103.512664</v>
      </c>
      <c r="K276" s="122">
        <v>108.62068965517243</v>
      </c>
      <c r="L276" s="122">
        <v>21.416413241379313</v>
      </c>
      <c r="M276" s="123">
        <v>4.833333333333333</v>
      </c>
      <c r="N276" s="123">
        <v>89.6</v>
      </c>
      <c r="O276" s="123">
        <v>0</v>
      </c>
    </row>
    <row r="277" spans="1:15" x14ac:dyDescent="0.35">
      <c r="A277" s="120">
        <v>45431</v>
      </c>
      <c r="B277" s="121" t="s">
        <v>46</v>
      </c>
      <c r="C277" s="121" t="s">
        <v>50</v>
      </c>
      <c r="D277" s="121" t="s">
        <v>64</v>
      </c>
      <c r="E277" s="121" t="s">
        <v>69</v>
      </c>
      <c r="F277" s="121" t="s">
        <v>55</v>
      </c>
      <c r="G277" s="121" t="s">
        <v>249</v>
      </c>
      <c r="H277" s="121" t="s">
        <v>233</v>
      </c>
      <c r="I277" s="122">
        <v>1435</v>
      </c>
      <c r="J277" s="122">
        <v>213.52000400000003</v>
      </c>
      <c r="K277" s="122">
        <v>293.85665529010237</v>
      </c>
      <c r="L277" s="122">
        <v>43.724232901023896</v>
      </c>
      <c r="M277" s="123">
        <v>4.8833333333333337</v>
      </c>
      <c r="N277" s="123">
        <v>89.6</v>
      </c>
      <c r="O277" s="123">
        <v>0</v>
      </c>
    </row>
    <row r="278" spans="1:15" x14ac:dyDescent="0.35">
      <c r="A278" s="120">
        <v>45432</v>
      </c>
      <c r="B278" s="121" t="s">
        <v>46</v>
      </c>
      <c r="C278" s="121" t="s">
        <v>51</v>
      </c>
      <c r="D278" s="121" t="s">
        <v>64</v>
      </c>
      <c r="E278" s="121" t="s">
        <v>166</v>
      </c>
      <c r="F278" s="121" t="s">
        <v>45</v>
      </c>
      <c r="G278" s="121" t="s">
        <v>240</v>
      </c>
      <c r="H278" s="121" t="s">
        <v>233</v>
      </c>
      <c r="I278" s="122">
        <v>57</v>
      </c>
      <c r="J278" s="122">
        <v>132.661508</v>
      </c>
      <c r="K278" s="122">
        <v>14.430379746835442</v>
      </c>
      <c r="L278" s="122">
        <v>33.585191898734173</v>
      </c>
      <c r="M278" s="123">
        <v>3.95</v>
      </c>
      <c r="N278" s="123">
        <v>89.6</v>
      </c>
      <c r="O278" s="123">
        <v>0</v>
      </c>
    </row>
    <row r="279" spans="1:15" x14ac:dyDescent="0.35">
      <c r="A279" s="120">
        <v>45434</v>
      </c>
      <c r="B279" s="121" t="s">
        <v>46</v>
      </c>
      <c r="C279" s="121" t="s">
        <v>44</v>
      </c>
      <c r="D279" s="121" t="s">
        <v>64</v>
      </c>
      <c r="E279" s="121" t="s">
        <v>166</v>
      </c>
      <c r="F279" s="121" t="s">
        <v>45</v>
      </c>
      <c r="G279" s="121" t="s">
        <v>240</v>
      </c>
      <c r="H279" s="121" t="s">
        <v>233</v>
      </c>
      <c r="I279" s="122">
        <v>1368</v>
      </c>
      <c r="J279" s="122">
        <v>236.30309999999997</v>
      </c>
      <c r="K279" s="122">
        <v>227.36842105263159</v>
      </c>
      <c r="L279" s="122">
        <v>39.274753462603876</v>
      </c>
      <c r="M279" s="123">
        <v>6.0166666666666666</v>
      </c>
      <c r="N279" s="123">
        <v>87.8</v>
      </c>
      <c r="O279" s="123">
        <v>0</v>
      </c>
    </row>
    <row r="280" spans="1:15" x14ac:dyDescent="0.35">
      <c r="A280" s="120">
        <v>45435</v>
      </c>
      <c r="B280" s="121" t="s">
        <v>46</v>
      </c>
      <c r="C280" s="121" t="s">
        <v>47</v>
      </c>
      <c r="D280" s="121" t="s">
        <v>64</v>
      </c>
      <c r="E280" s="121" t="s">
        <v>166</v>
      </c>
      <c r="F280" s="121" t="s">
        <v>45</v>
      </c>
      <c r="G280" s="121" t="s">
        <v>234</v>
      </c>
      <c r="H280" s="121" t="s">
        <v>233</v>
      </c>
      <c r="I280" s="122">
        <v>1300.5</v>
      </c>
      <c r="J280" s="122">
        <v>210.908976</v>
      </c>
      <c r="K280" s="122">
        <v>269.06896551724139</v>
      </c>
      <c r="L280" s="122">
        <v>43.636339862068965</v>
      </c>
      <c r="M280" s="123">
        <v>4.833333333333333</v>
      </c>
      <c r="N280" s="123">
        <v>89.7</v>
      </c>
      <c r="O280" s="123">
        <v>0</v>
      </c>
    </row>
    <row r="281" spans="1:15" x14ac:dyDescent="0.35">
      <c r="A281" s="120">
        <v>45436</v>
      </c>
      <c r="B281" s="121" t="s">
        <v>42</v>
      </c>
      <c r="C281" s="121" t="s">
        <v>48</v>
      </c>
      <c r="D281" s="121" t="s">
        <v>64</v>
      </c>
      <c r="E281" s="121" t="s">
        <v>166</v>
      </c>
      <c r="F281" s="121" t="s">
        <v>55</v>
      </c>
      <c r="G281" s="121" t="s">
        <v>234</v>
      </c>
      <c r="H281" s="121" t="s">
        <v>233</v>
      </c>
      <c r="I281" s="122">
        <v>571</v>
      </c>
      <c r="J281" s="122">
        <v>92.010459999999995</v>
      </c>
      <c r="K281" s="122">
        <v>159.34883720930233</v>
      </c>
      <c r="L281" s="122">
        <v>25.677337674418602</v>
      </c>
      <c r="M281" s="123">
        <v>3.5833333333333335</v>
      </c>
      <c r="N281" s="123">
        <v>87.9</v>
      </c>
      <c r="O281" s="123">
        <v>0</v>
      </c>
    </row>
    <row r="282" spans="1:15" x14ac:dyDescent="0.35">
      <c r="A282" s="120">
        <v>45436</v>
      </c>
      <c r="B282" s="121" t="s">
        <v>46</v>
      </c>
      <c r="C282" s="121" t="s">
        <v>48</v>
      </c>
      <c r="D282" s="121" t="s">
        <v>64</v>
      </c>
      <c r="E282" s="121" t="s">
        <v>69</v>
      </c>
      <c r="F282" s="121" t="s">
        <v>55</v>
      </c>
      <c r="G282" s="121" t="s">
        <v>234</v>
      </c>
      <c r="H282" s="121" t="s">
        <v>233</v>
      </c>
      <c r="I282" s="122">
        <v>1434.5</v>
      </c>
      <c r="J282" s="122">
        <v>223.43648400000001</v>
      </c>
      <c r="K282" s="122">
        <v>280.3583061889251</v>
      </c>
      <c r="L282" s="122">
        <v>43.668368208469062</v>
      </c>
      <c r="M282" s="123">
        <v>5.1166666666666663</v>
      </c>
      <c r="N282" s="123">
        <v>87.9</v>
      </c>
      <c r="O282" s="123">
        <v>0</v>
      </c>
    </row>
    <row r="283" spans="1:15" x14ac:dyDescent="0.35">
      <c r="A283" s="120">
        <v>45437</v>
      </c>
      <c r="B283" s="121" t="s">
        <v>42</v>
      </c>
      <c r="C283" s="121" t="s">
        <v>49</v>
      </c>
      <c r="D283" s="121" t="s">
        <v>64</v>
      </c>
      <c r="E283" s="121" t="s">
        <v>69</v>
      </c>
      <c r="F283" s="121" t="s">
        <v>55</v>
      </c>
      <c r="G283" s="121" t="s">
        <v>234</v>
      </c>
      <c r="H283" s="121" t="s">
        <v>233</v>
      </c>
      <c r="I283" s="122">
        <v>943.5</v>
      </c>
      <c r="J283" s="122">
        <v>138.638608</v>
      </c>
      <c r="K283" s="122">
        <v>230.12195121951223</v>
      </c>
      <c r="L283" s="122">
        <v>33.814294634146343</v>
      </c>
      <c r="M283" s="123">
        <v>4.0999999999999996</v>
      </c>
      <c r="N283" s="123">
        <v>91.5</v>
      </c>
      <c r="O283" s="123">
        <v>0</v>
      </c>
    </row>
    <row r="284" spans="1:15" x14ac:dyDescent="0.35">
      <c r="A284" s="120">
        <v>45437</v>
      </c>
      <c r="B284" s="121" t="s">
        <v>46</v>
      </c>
      <c r="C284" s="121" t="s">
        <v>49</v>
      </c>
      <c r="D284" s="121" t="s">
        <v>64</v>
      </c>
      <c r="E284" s="121" t="s">
        <v>69</v>
      </c>
      <c r="F284" s="121" t="s">
        <v>55</v>
      </c>
      <c r="G284" s="121" t="s">
        <v>234</v>
      </c>
      <c r="H284" s="121" t="s">
        <v>233</v>
      </c>
      <c r="I284" s="122">
        <v>943.5</v>
      </c>
      <c r="J284" s="122">
        <v>138.638608</v>
      </c>
      <c r="K284" s="122">
        <v>230.12195121951223</v>
      </c>
      <c r="L284" s="122">
        <v>33.814294634146343</v>
      </c>
      <c r="M284" s="123">
        <v>4.0999999999999996</v>
      </c>
      <c r="N284" s="123">
        <v>91.5</v>
      </c>
      <c r="O284" s="123">
        <v>0</v>
      </c>
    </row>
    <row r="285" spans="1:15" x14ac:dyDescent="0.35">
      <c r="A285" s="120">
        <v>45438</v>
      </c>
      <c r="B285" s="121" t="s">
        <v>42</v>
      </c>
      <c r="C285" s="121" t="s">
        <v>50</v>
      </c>
      <c r="D285" s="121" t="s">
        <v>64</v>
      </c>
      <c r="E285" s="121" t="s">
        <v>69</v>
      </c>
      <c r="F285" s="121" t="s">
        <v>45</v>
      </c>
      <c r="G285" s="121" t="s">
        <v>234</v>
      </c>
      <c r="H285" s="121" t="s">
        <v>233</v>
      </c>
      <c r="I285" s="122">
        <v>613.5</v>
      </c>
      <c r="J285" s="122">
        <v>110.51574399999998</v>
      </c>
      <c r="K285" s="122">
        <v>167.31818181818181</v>
      </c>
      <c r="L285" s="122">
        <v>30.140657454545451</v>
      </c>
      <c r="M285" s="123">
        <v>3.6666666666666665</v>
      </c>
      <c r="N285" s="123">
        <v>89.7</v>
      </c>
      <c r="O285" s="123">
        <v>0</v>
      </c>
    </row>
    <row r="286" spans="1:15" x14ac:dyDescent="0.35">
      <c r="A286" s="120">
        <v>45444</v>
      </c>
      <c r="B286" s="121" t="s">
        <v>42</v>
      </c>
      <c r="C286" s="121" t="s">
        <v>49</v>
      </c>
      <c r="D286" s="121" t="s">
        <v>43</v>
      </c>
      <c r="E286" s="121" t="s">
        <v>69</v>
      </c>
      <c r="F286" s="121" t="s">
        <v>45</v>
      </c>
      <c r="G286" s="121" t="s">
        <v>250</v>
      </c>
      <c r="H286" s="121" t="s">
        <v>233</v>
      </c>
      <c r="I286" s="122">
        <v>872</v>
      </c>
      <c r="J286" s="122">
        <v>158.522908</v>
      </c>
      <c r="K286" s="122">
        <v>159.02735562310031</v>
      </c>
      <c r="L286" s="122">
        <v>28.90995282674772</v>
      </c>
      <c r="M286" s="123">
        <v>5.4833333333333334</v>
      </c>
      <c r="N286" s="123">
        <v>87.8</v>
      </c>
      <c r="O286" s="123">
        <v>6.0000000000000001E-3</v>
      </c>
    </row>
    <row r="287" spans="1:15" x14ac:dyDescent="0.35">
      <c r="A287" s="120">
        <v>45445</v>
      </c>
      <c r="B287" s="121" t="s">
        <v>42</v>
      </c>
      <c r="C287" s="121" t="s">
        <v>50</v>
      </c>
      <c r="D287" s="121" t="s">
        <v>43</v>
      </c>
      <c r="E287" s="121" t="s">
        <v>69</v>
      </c>
      <c r="F287" s="121" t="s">
        <v>45</v>
      </c>
      <c r="G287" s="121" t="s">
        <v>250</v>
      </c>
      <c r="H287" s="121" t="s">
        <v>233</v>
      </c>
      <c r="I287" s="122">
        <v>782</v>
      </c>
      <c r="J287" s="122">
        <v>132.892088</v>
      </c>
      <c r="K287" s="122">
        <v>151.35483870967741</v>
      </c>
      <c r="L287" s="122">
        <v>25.721049290322579</v>
      </c>
      <c r="M287" s="123">
        <v>5.166666666666667</v>
      </c>
      <c r="N287" s="123">
        <v>91.4</v>
      </c>
      <c r="O287" s="123">
        <v>3.0000000000000001E-3</v>
      </c>
    </row>
    <row r="288" spans="1:15" x14ac:dyDescent="0.35">
      <c r="A288" s="120">
        <v>45446</v>
      </c>
      <c r="B288" s="121" t="s">
        <v>46</v>
      </c>
      <c r="C288" s="121" t="s">
        <v>51</v>
      </c>
      <c r="D288" s="121" t="s">
        <v>43</v>
      </c>
      <c r="E288" s="121" t="s">
        <v>166</v>
      </c>
      <c r="F288" s="121" t="s">
        <v>45</v>
      </c>
      <c r="G288" s="121" t="s">
        <v>251</v>
      </c>
      <c r="H288" s="121" t="s">
        <v>233</v>
      </c>
      <c r="I288" s="122">
        <v>586</v>
      </c>
      <c r="J288" s="122">
        <v>99.568080000000009</v>
      </c>
      <c r="K288" s="122">
        <v>134.19847328244276</v>
      </c>
      <c r="L288" s="122">
        <v>22.801850381679394</v>
      </c>
      <c r="M288" s="123">
        <v>4.3666666666666663</v>
      </c>
      <c r="N288" s="123">
        <v>87.9</v>
      </c>
      <c r="O288" s="123">
        <v>0</v>
      </c>
    </row>
    <row r="289" spans="1:15" x14ac:dyDescent="0.35">
      <c r="A289" s="120">
        <v>45448</v>
      </c>
      <c r="B289" s="121" t="s">
        <v>46</v>
      </c>
      <c r="C289" s="121" t="s">
        <v>44</v>
      </c>
      <c r="D289" s="121" t="s">
        <v>43</v>
      </c>
      <c r="E289" s="121" t="s">
        <v>166</v>
      </c>
      <c r="F289" s="121" t="s">
        <v>45</v>
      </c>
      <c r="G289" s="121" t="s">
        <v>251</v>
      </c>
      <c r="H289" s="121" t="s">
        <v>233</v>
      </c>
      <c r="I289" s="122">
        <v>1027</v>
      </c>
      <c r="J289" s="122">
        <v>179.55335600000001</v>
      </c>
      <c r="K289" s="122">
        <v>176.56160458452723</v>
      </c>
      <c r="L289" s="122">
        <v>30.868771805157596</v>
      </c>
      <c r="M289" s="123">
        <v>5.8166666666666664</v>
      </c>
      <c r="N289" s="123">
        <v>84.2</v>
      </c>
      <c r="O289" s="123">
        <v>2.5000000000000001E-2</v>
      </c>
    </row>
    <row r="290" spans="1:15" x14ac:dyDescent="0.35">
      <c r="A290" s="120">
        <v>45449</v>
      </c>
      <c r="B290" s="121" t="s">
        <v>46</v>
      </c>
      <c r="C290" s="121" t="s">
        <v>47</v>
      </c>
      <c r="D290" s="121" t="s">
        <v>43</v>
      </c>
      <c r="E290" s="121" t="s">
        <v>166</v>
      </c>
      <c r="F290" s="121" t="s">
        <v>45</v>
      </c>
      <c r="G290" s="121" t="s">
        <v>234</v>
      </c>
      <c r="H290" s="121" t="s">
        <v>233</v>
      </c>
      <c r="I290" s="122">
        <v>1121</v>
      </c>
      <c r="J290" s="122">
        <v>211.11614399999999</v>
      </c>
      <c r="K290" s="122">
        <v>212.84810126582278</v>
      </c>
      <c r="L290" s="122">
        <v>40.085343797468354</v>
      </c>
      <c r="M290" s="123">
        <v>5.2666666666666666</v>
      </c>
      <c r="N290" s="123">
        <v>94.9</v>
      </c>
      <c r="O290" s="123">
        <v>0</v>
      </c>
    </row>
    <row r="291" spans="1:15" x14ac:dyDescent="0.35">
      <c r="A291" s="120">
        <v>45451</v>
      </c>
      <c r="B291" s="121" t="s">
        <v>42</v>
      </c>
      <c r="C291" s="121" t="s">
        <v>49</v>
      </c>
      <c r="D291" s="121" t="s">
        <v>43</v>
      </c>
      <c r="E291" s="121" t="s">
        <v>69</v>
      </c>
      <c r="F291" s="121" t="s">
        <v>55</v>
      </c>
      <c r="G291" s="121" t="s">
        <v>234</v>
      </c>
      <c r="H291" s="121" t="s">
        <v>233</v>
      </c>
      <c r="I291" s="122">
        <v>1216</v>
      </c>
      <c r="J291" s="122">
        <v>222.51209999999998</v>
      </c>
      <c r="K291" s="122">
        <v>237.65472312703585</v>
      </c>
      <c r="L291" s="122">
        <v>43.487706840390878</v>
      </c>
      <c r="M291" s="123">
        <v>5.1166666666666663</v>
      </c>
      <c r="N291" s="123">
        <v>91.4</v>
      </c>
      <c r="O291" s="123">
        <v>0</v>
      </c>
    </row>
    <row r="292" spans="1:15" x14ac:dyDescent="0.35">
      <c r="A292" s="120">
        <v>45451</v>
      </c>
      <c r="B292" s="121" t="s">
        <v>46</v>
      </c>
      <c r="C292" s="121" t="s">
        <v>49</v>
      </c>
      <c r="D292" s="121" t="s">
        <v>43</v>
      </c>
      <c r="E292" s="121" t="s">
        <v>69</v>
      </c>
      <c r="F292" s="121" t="s">
        <v>55</v>
      </c>
      <c r="G292" s="121" t="s">
        <v>234</v>
      </c>
      <c r="H292" s="121" t="s">
        <v>233</v>
      </c>
      <c r="I292" s="122">
        <v>1351</v>
      </c>
      <c r="J292" s="122">
        <v>237.050104</v>
      </c>
      <c r="K292" s="122">
        <v>334.95867768595042</v>
      </c>
      <c r="L292" s="122">
        <v>58.77275305785124</v>
      </c>
      <c r="M292" s="123">
        <v>4.0333333333333332</v>
      </c>
      <c r="N292" s="123">
        <v>91.4</v>
      </c>
      <c r="O292" s="123">
        <v>0</v>
      </c>
    </row>
    <row r="293" spans="1:15" x14ac:dyDescent="0.35">
      <c r="A293" s="120">
        <v>45452</v>
      </c>
      <c r="B293" s="121" t="s">
        <v>42</v>
      </c>
      <c r="C293" s="121" t="s">
        <v>50</v>
      </c>
      <c r="D293" s="121" t="s">
        <v>43</v>
      </c>
      <c r="E293" s="121" t="s">
        <v>69</v>
      </c>
      <c r="F293" s="121" t="s">
        <v>55</v>
      </c>
      <c r="G293" s="121" t="s">
        <v>234</v>
      </c>
      <c r="H293" s="121" t="s">
        <v>233</v>
      </c>
      <c r="I293" s="122">
        <v>615.5</v>
      </c>
      <c r="J293" s="122">
        <v>111.141576</v>
      </c>
      <c r="K293" s="122">
        <v>153.23651452282158</v>
      </c>
      <c r="L293" s="122">
        <v>27.670101908713693</v>
      </c>
      <c r="M293" s="123">
        <v>4.0166666666666666</v>
      </c>
      <c r="N293" s="123">
        <v>89.5</v>
      </c>
      <c r="O293" s="123">
        <v>0</v>
      </c>
    </row>
    <row r="294" spans="1:15" x14ac:dyDescent="0.35">
      <c r="A294" s="120">
        <v>45452</v>
      </c>
      <c r="B294" s="121" t="s">
        <v>46</v>
      </c>
      <c r="C294" s="121" t="s">
        <v>50</v>
      </c>
      <c r="D294" s="121" t="s">
        <v>43</v>
      </c>
      <c r="E294" s="121" t="s">
        <v>69</v>
      </c>
      <c r="F294" s="121" t="s">
        <v>55</v>
      </c>
      <c r="G294" s="121" t="s">
        <v>234</v>
      </c>
      <c r="H294" s="121" t="s">
        <v>233</v>
      </c>
      <c r="I294" s="122">
        <v>615.5</v>
      </c>
      <c r="J294" s="122">
        <v>111.141576</v>
      </c>
      <c r="K294" s="122">
        <v>153.23651452282158</v>
      </c>
      <c r="L294" s="122">
        <v>27.670101908713693</v>
      </c>
      <c r="M294" s="123">
        <v>4.0166666666666666</v>
      </c>
      <c r="N294" s="123">
        <v>89.5</v>
      </c>
      <c r="O294" s="123">
        <v>0</v>
      </c>
    </row>
    <row r="295" spans="1:15" x14ac:dyDescent="0.35">
      <c r="A295" s="120">
        <v>45455</v>
      </c>
      <c r="B295" s="121" t="s">
        <v>46</v>
      </c>
      <c r="C295" s="121" t="s">
        <v>44</v>
      </c>
      <c r="D295" s="121" t="s">
        <v>43</v>
      </c>
      <c r="E295" s="121" t="s">
        <v>166</v>
      </c>
      <c r="F295" s="121" t="s">
        <v>45</v>
      </c>
      <c r="G295" s="121" t="s">
        <v>234</v>
      </c>
      <c r="H295" s="121" t="s">
        <v>233</v>
      </c>
      <c r="I295" s="122">
        <v>966.5</v>
      </c>
      <c r="J295" s="122">
        <v>214.95384799999997</v>
      </c>
      <c r="K295" s="122">
        <v>148.69230769230768</v>
      </c>
      <c r="L295" s="122">
        <v>33.069822769230761</v>
      </c>
      <c r="M295" s="123">
        <v>6.5</v>
      </c>
      <c r="N295" s="123">
        <v>89.6</v>
      </c>
      <c r="O295" s="123">
        <v>8.0000000000000002E-3</v>
      </c>
    </row>
    <row r="296" spans="1:15" x14ac:dyDescent="0.35">
      <c r="A296" s="120">
        <v>45457</v>
      </c>
      <c r="B296" s="121" t="s">
        <v>42</v>
      </c>
      <c r="C296" s="121" t="s">
        <v>48</v>
      </c>
      <c r="D296" s="121" t="s">
        <v>43</v>
      </c>
      <c r="E296" s="121" t="s">
        <v>166</v>
      </c>
      <c r="F296" s="121" t="s">
        <v>45</v>
      </c>
      <c r="G296" s="121" t="s">
        <v>252</v>
      </c>
      <c r="H296" s="121" t="s">
        <v>233</v>
      </c>
      <c r="I296" s="122">
        <v>761</v>
      </c>
      <c r="J296" s="122">
        <v>126.74560399999999</v>
      </c>
      <c r="K296" s="122">
        <v>154.77966101694915</v>
      </c>
      <c r="L296" s="122">
        <v>25.778766915254234</v>
      </c>
      <c r="M296" s="123">
        <v>4.916666666666667</v>
      </c>
      <c r="N296" s="123">
        <v>94.9</v>
      </c>
      <c r="O296" s="123">
        <v>0</v>
      </c>
    </row>
    <row r="297" spans="1:15" x14ac:dyDescent="0.35">
      <c r="A297" s="120">
        <v>45458</v>
      </c>
      <c r="B297" s="121" t="s">
        <v>42</v>
      </c>
      <c r="C297" s="121" t="s">
        <v>49</v>
      </c>
      <c r="D297" s="121" t="s">
        <v>43</v>
      </c>
      <c r="E297" s="121" t="s">
        <v>69</v>
      </c>
      <c r="F297" s="121" t="s">
        <v>55</v>
      </c>
      <c r="G297" s="121" t="s">
        <v>252</v>
      </c>
      <c r="H297" s="121" t="s">
        <v>233</v>
      </c>
      <c r="I297" s="122">
        <v>460</v>
      </c>
      <c r="J297" s="122">
        <v>82.762343999999999</v>
      </c>
      <c r="K297" s="122">
        <v>95.172413793103459</v>
      </c>
      <c r="L297" s="122">
        <v>17.123243586206897</v>
      </c>
      <c r="M297" s="123">
        <v>4.833333333333333</v>
      </c>
      <c r="N297" s="123">
        <v>91.5</v>
      </c>
      <c r="O297" s="123">
        <v>0</v>
      </c>
    </row>
    <row r="298" spans="1:15" x14ac:dyDescent="0.35">
      <c r="A298" s="120">
        <v>45458</v>
      </c>
      <c r="B298" s="121" t="s">
        <v>46</v>
      </c>
      <c r="C298" s="121" t="s">
        <v>49</v>
      </c>
      <c r="D298" s="121" t="s">
        <v>43</v>
      </c>
      <c r="E298" s="121" t="s">
        <v>69</v>
      </c>
      <c r="F298" s="121" t="s">
        <v>55</v>
      </c>
      <c r="G298" s="121" t="s">
        <v>252</v>
      </c>
      <c r="H298" s="121" t="s">
        <v>233</v>
      </c>
      <c r="I298" s="122">
        <v>1515</v>
      </c>
      <c r="J298" s="122">
        <v>237.54638799999998</v>
      </c>
      <c r="K298" s="122">
        <v>306.06060606060606</v>
      </c>
      <c r="L298" s="122">
        <v>47.98916929292929</v>
      </c>
      <c r="M298" s="123">
        <v>4.95</v>
      </c>
      <c r="N298" s="123">
        <v>91.5</v>
      </c>
      <c r="O298" s="123">
        <v>0</v>
      </c>
    </row>
    <row r="299" spans="1:15" x14ac:dyDescent="0.35">
      <c r="A299" s="120">
        <v>45459</v>
      </c>
      <c r="B299" s="121" t="s">
        <v>42</v>
      </c>
      <c r="C299" s="121" t="s">
        <v>50</v>
      </c>
      <c r="D299" s="121" t="s">
        <v>43</v>
      </c>
      <c r="E299" s="121" t="s">
        <v>69</v>
      </c>
      <c r="F299" s="121" t="s">
        <v>55</v>
      </c>
      <c r="G299" s="121" t="s">
        <v>252</v>
      </c>
      <c r="H299" s="121" t="s">
        <v>233</v>
      </c>
      <c r="I299" s="122">
        <v>1295.25</v>
      </c>
      <c r="J299" s="122">
        <v>209.43259599999999</v>
      </c>
      <c r="K299" s="122">
        <v>261.66666666666669</v>
      </c>
      <c r="L299" s="122">
        <v>42.309615353535349</v>
      </c>
      <c r="M299" s="123">
        <v>4.95</v>
      </c>
      <c r="N299" s="123">
        <v>93.2</v>
      </c>
      <c r="O299" s="123">
        <v>0</v>
      </c>
    </row>
    <row r="300" spans="1:15" x14ac:dyDescent="0.35">
      <c r="A300" s="120">
        <v>45459</v>
      </c>
      <c r="B300" s="121" t="s">
        <v>46</v>
      </c>
      <c r="C300" s="121" t="s">
        <v>50</v>
      </c>
      <c r="D300" s="121" t="s">
        <v>43</v>
      </c>
      <c r="E300" s="121" t="s">
        <v>69</v>
      </c>
      <c r="F300" s="121" t="s">
        <v>55</v>
      </c>
      <c r="G300" s="121" t="s">
        <v>252</v>
      </c>
      <c r="H300" s="121" t="s">
        <v>233</v>
      </c>
      <c r="I300" s="122">
        <v>1295.25</v>
      </c>
      <c r="J300" s="122">
        <v>209.43259599999999</v>
      </c>
      <c r="K300" s="122">
        <v>261.66666666666669</v>
      </c>
      <c r="L300" s="122">
        <v>42.309615353535349</v>
      </c>
      <c r="M300" s="123">
        <v>4.95</v>
      </c>
      <c r="N300" s="123">
        <v>93.2</v>
      </c>
      <c r="O300" s="123">
        <v>0</v>
      </c>
    </row>
    <row r="301" spans="1:15" x14ac:dyDescent="0.35">
      <c r="A301" s="120">
        <v>45462</v>
      </c>
      <c r="B301" s="121" t="s">
        <v>46</v>
      </c>
      <c r="C301" s="121" t="s">
        <v>44</v>
      </c>
      <c r="D301" s="121" t="s">
        <v>43</v>
      </c>
      <c r="E301" s="121" t="s">
        <v>166</v>
      </c>
      <c r="F301" s="121" t="s">
        <v>45</v>
      </c>
      <c r="G301" s="121" t="s">
        <v>234</v>
      </c>
      <c r="H301" s="121" t="s">
        <v>233</v>
      </c>
      <c r="I301" s="122">
        <v>753</v>
      </c>
      <c r="J301" s="122">
        <v>123.729696</v>
      </c>
      <c r="K301" s="122">
        <v>139.44444444444443</v>
      </c>
      <c r="L301" s="122">
        <v>22.912906666666665</v>
      </c>
      <c r="M301" s="123">
        <v>5.4</v>
      </c>
      <c r="N301" s="123">
        <v>78.900000000000006</v>
      </c>
      <c r="O301" s="123">
        <v>5.7000000000000002E-2</v>
      </c>
    </row>
    <row r="302" spans="1:15" x14ac:dyDescent="0.35">
      <c r="A302" s="120">
        <v>45464</v>
      </c>
      <c r="B302" s="121" t="s">
        <v>42</v>
      </c>
      <c r="C302" s="121" t="s">
        <v>48</v>
      </c>
      <c r="D302" s="121" t="s">
        <v>43</v>
      </c>
      <c r="E302" s="121" t="s">
        <v>166</v>
      </c>
      <c r="F302" s="121" t="s">
        <v>45</v>
      </c>
      <c r="G302" s="121" t="s">
        <v>245</v>
      </c>
      <c r="H302" s="121" t="s">
        <v>233</v>
      </c>
      <c r="I302" s="122">
        <v>323.5</v>
      </c>
      <c r="J302" s="122">
        <v>57.147619999999996</v>
      </c>
      <c r="K302" s="122">
        <v>97.537688442211049</v>
      </c>
      <c r="L302" s="122">
        <v>17.230438190954771</v>
      </c>
      <c r="M302" s="123">
        <v>3.3166666666666669</v>
      </c>
      <c r="N302" s="123">
        <v>89.7</v>
      </c>
      <c r="O302" s="123">
        <v>0</v>
      </c>
    </row>
    <row r="303" spans="1:15" x14ac:dyDescent="0.35">
      <c r="A303" s="120">
        <v>45465</v>
      </c>
      <c r="B303" s="121" t="s">
        <v>42</v>
      </c>
      <c r="C303" s="121" t="s">
        <v>49</v>
      </c>
      <c r="D303" s="121" t="s">
        <v>43</v>
      </c>
      <c r="E303" s="121" t="s">
        <v>69</v>
      </c>
      <c r="F303" s="121" t="s">
        <v>45</v>
      </c>
      <c r="G303" s="121" t="s">
        <v>245</v>
      </c>
      <c r="H303" s="121" t="s">
        <v>233</v>
      </c>
      <c r="I303" s="122">
        <v>1123.5</v>
      </c>
      <c r="J303" s="122">
        <v>184.09456400000002</v>
      </c>
      <c r="K303" s="122">
        <v>260.27027027027026</v>
      </c>
      <c r="L303" s="122">
        <v>42.647389343629349</v>
      </c>
      <c r="M303" s="123">
        <v>4.3166666666666664</v>
      </c>
      <c r="N303" s="123">
        <v>89.7</v>
      </c>
      <c r="O303" s="123">
        <v>0</v>
      </c>
    </row>
    <row r="304" spans="1:15" x14ac:dyDescent="0.35">
      <c r="A304" s="120">
        <v>45466</v>
      </c>
      <c r="B304" s="121" t="s">
        <v>42</v>
      </c>
      <c r="C304" s="121" t="s">
        <v>50</v>
      </c>
      <c r="D304" s="121" t="s">
        <v>43</v>
      </c>
      <c r="E304" s="121" t="s">
        <v>69</v>
      </c>
      <c r="F304" s="121" t="s">
        <v>55</v>
      </c>
      <c r="G304" s="121" t="s">
        <v>245</v>
      </c>
      <c r="H304" s="121" t="s">
        <v>233</v>
      </c>
      <c r="I304" s="122">
        <v>621</v>
      </c>
      <c r="J304" s="122">
        <v>111.53288000000001</v>
      </c>
      <c r="K304" s="122">
        <v>164.86725663716814</v>
      </c>
      <c r="L304" s="122">
        <v>29.610499115044249</v>
      </c>
      <c r="M304" s="123">
        <v>3.7666666666666666</v>
      </c>
      <c r="N304" s="123">
        <v>91.4</v>
      </c>
      <c r="O304" s="123">
        <v>0</v>
      </c>
    </row>
    <row r="305" spans="1:15" x14ac:dyDescent="0.35">
      <c r="A305" s="120">
        <v>45466</v>
      </c>
      <c r="B305" s="121" t="s">
        <v>46</v>
      </c>
      <c r="C305" s="121" t="s">
        <v>50</v>
      </c>
      <c r="D305" s="121" t="s">
        <v>43</v>
      </c>
      <c r="E305" s="121" t="s">
        <v>69</v>
      </c>
      <c r="F305" s="121" t="s">
        <v>55</v>
      </c>
      <c r="G305" s="121" t="s">
        <v>245</v>
      </c>
      <c r="H305" s="121" t="s">
        <v>233</v>
      </c>
      <c r="I305" s="122">
        <v>1017.5</v>
      </c>
      <c r="J305" s="122">
        <v>182.21433999999999</v>
      </c>
      <c r="K305" s="122">
        <v>249.18367346938777</v>
      </c>
      <c r="L305" s="122">
        <v>44.623919999999998</v>
      </c>
      <c r="M305" s="123">
        <v>4.083333333333333</v>
      </c>
      <c r="N305" s="123">
        <v>91.4</v>
      </c>
      <c r="O305" s="123">
        <v>0</v>
      </c>
    </row>
    <row r="306" spans="1:15" x14ac:dyDescent="0.35">
      <c r="A306" s="120">
        <v>45467</v>
      </c>
      <c r="B306" s="121" t="s">
        <v>46</v>
      </c>
      <c r="C306" s="121" t="s">
        <v>51</v>
      </c>
      <c r="D306" s="121" t="s">
        <v>43</v>
      </c>
      <c r="E306" s="121" t="s">
        <v>166</v>
      </c>
      <c r="F306" s="121" t="s">
        <v>45</v>
      </c>
      <c r="G306" s="121" t="s">
        <v>234</v>
      </c>
      <c r="H306" s="121" t="s">
        <v>233</v>
      </c>
      <c r="I306" s="122">
        <v>508</v>
      </c>
      <c r="J306" s="122">
        <v>93.586739999999992</v>
      </c>
      <c r="K306" s="122">
        <v>114.15730337078651</v>
      </c>
      <c r="L306" s="122">
        <v>21.030728089887639</v>
      </c>
      <c r="M306" s="123">
        <v>4.45</v>
      </c>
      <c r="N306" s="123">
        <v>91.4</v>
      </c>
      <c r="O306" s="123">
        <v>0</v>
      </c>
    </row>
    <row r="307" spans="1:15" x14ac:dyDescent="0.35">
      <c r="A307" s="120">
        <v>45469</v>
      </c>
      <c r="B307" s="121" t="s">
        <v>46</v>
      </c>
      <c r="C307" s="121" t="s">
        <v>44</v>
      </c>
      <c r="D307" s="121" t="s">
        <v>43</v>
      </c>
      <c r="E307" s="121" t="s">
        <v>166</v>
      </c>
      <c r="F307" s="121" t="s">
        <v>45</v>
      </c>
      <c r="G307" s="121" t="s">
        <v>235</v>
      </c>
      <c r="H307" s="121" t="s">
        <v>233</v>
      </c>
      <c r="I307" s="122">
        <v>997</v>
      </c>
      <c r="J307" s="122">
        <v>139.57476400000002</v>
      </c>
      <c r="K307" s="122">
        <v>172.39193083573488</v>
      </c>
      <c r="L307" s="122">
        <v>24.133964956772338</v>
      </c>
      <c r="M307" s="123">
        <v>5.7833333333333332</v>
      </c>
      <c r="N307" s="123">
        <v>93.2</v>
      </c>
      <c r="O307" s="123">
        <v>2E-3</v>
      </c>
    </row>
    <row r="308" spans="1:15" x14ac:dyDescent="0.35">
      <c r="A308" s="120">
        <v>45471</v>
      </c>
      <c r="B308" s="121" t="s">
        <v>42</v>
      </c>
      <c r="C308" s="121" t="s">
        <v>48</v>
      </c>
      <c r="D308" s="121" t="s">
        <v>43</v>
      </c>
      <c r="E308" s="121" t="s">
        <v>166</v>
      </c>
      <c r="F308" s="121" t="s">
        <v>55</v>
      </c>
      <c r="G308" s="121" t="s">
        <v>234</v>
      </c>
      <c r="H308" s="121" t="s">
        <v>233</v>
      </c>
      <c r="I308" s="122">
        <v>468</v>
      </c>
      <c r="J308" s="122">
        <v>74.405467999999999</v>
      </c>
      <c r="K308" s="122">
        <v>110.98814229249011</v>
      </c>
      <c r="L308" s="122">
        <v>17.645565533596837</v>
      </c>
      <c r="M308" s="123">
        <v>4.2166666666666668</v>
      </c>
      <c r="N308" s="123">
        <v>91.5</v>
      </c>
      <c r="O308" s="123">
        <v>0</v>
      </c>
    </row>
    <row r="309" spans="1:15" x14ac:dyDescent="0.35">
      <c r="A309" s="120">
        <v>45471</v>
      </c>
      <c r="B309" s="121" t="s">
        <v>46</v>
      </c>
      <c r="C309" s="121" t="s">
        <v>48</v>
      </c>
      <c r="D309" s="121" t="s">
        <v>43</v>
      </c>
      <c r="E309" s="121" t="s">
        <v>69</v>
      </c>
      <c r="F309" s="121" t="s">
        <v>55</v>
      </c>
      <c r="G309" s="121" t="s">
        <v>234</v>
      </c>
      <c r="H309" s="121" t="s">
        <v>233</v>
      </c>
      <c r="I309" s="122">
        <v>1204.5</v>
      </c>
      <c r="J309" s="122">
        <v>197.65393599999999</v>
      </c>
      <c r="K309" s="122">
        <v>314.21739130434781</v>
      </c>
      <c r="L309" s="122">
        <v>51.561896347826085</v>
      </c>
      <c r="M309" s="123">
        <v>3.8333333333333335</v>
      </c>
      <c r="N309" s="123">
        <v>91.5</v>
      </c>
      <c r="O309" s="123">
        <v>0</v>
      </c>
    </row>
    <row r="310" spans="1:15" x14ac:dyDescent="0.35">
      <c r="A310" s="120">
        <v>45472</v>
      </c>
      <c r="B310" s="121" t="s">
        <v>42</v>
      </c>
      <c r="C310" s="121" t="s">
        <v>49</v>
      </c>
      <c r="D310" s="121" t="s">
        <v>43</v>
      </c>
      <c r="E310" s="121" t="s">
        <v>69</v>
      </c>
      <c r="F310" s="121" t="s">
        <v>55</v>
      </c>
      <c r="G310" s="121" t="s">
        <v>234</v>
      </c>
      <c r="H310" s="121" t="s">
        <v>233</v>
      </c>
      <c r="I310" s="122">
        <v>190</v>
      </c>
      <c r="J310" s="122">
        <v>26.718888</v>
      </c>
      <c r="K310" s="122">
        <v>60</v>
      </c>
      <c r="L310" s="122">
        <v>8.4375435789473681</v>
      </c>
      <c r="M310" s="123">
        <v>3.1666666666666665</v>
      </c>
      <c r="N310" s="123">
        <v>95</v>
      </c>
      <c r="O310" s="123">
        <v>1E-3</v>
      </c>
    </row>
    <row r="311" spans="1:15" x14ac:dyDescent="0.35">
      <c r="A311" s="120">
        <v>45472</v>
      </c>
      <c r="B311" s="121" t="s">
        <v>46</v>
      </c>
      <c r="C311" s="121" t="s">
        <v>49</v>
      </c>
      <c r="D311" s="121" t="s">
        <v>43</v>
      </c>
      <c r="E311" s="121" t="s">
        <v>69</v>
      </c>
      <c r="F311" s="121" t="s">
        <v>55</v>
      </c>
      <c r="G311" s="121" t="s">
        <v>234</v>
      </c>
      <c r="H311" s="121" t="s">
        <v>233</v>
      </c>
      <c r="I311" s="122">
        <v>1205.5</v>
      </c>
      <c r="J311" s="122">
        <v>195.04674800000001</v>
      </c>
      <c r="K311" s="122">
        <v>252.02090592334494</v>
      </c>
      <c r="L311" s="122">
        <v>40.776323623693379</v>
      </c>
      <c r="M311" s="123">
        <v>4.7833333333333332</v>
      </c>
      <c r="N311" s="123">
        <v>95</v>
      </c>
      <c r="O311" s="123">
        <v>1E-3</v>
      </c>
    </row>
    <row r="312" spans="1:15" x14ac:dyDescent="0.35">
      <c r="A312" s="120">
        <v>45473</v>
      </c>
      <c r="B312" s="121" t="s">
        <v>46</v>
      </c>
      <c r="C312" s="121" t="s">
        <v>50</v>
      </c>
      <c r="D312" s="121" t="s">
        <v>43</v>
      </c>
      <c r="E312" s="121" t="s">
        <v>69</v>
      </c>
      <c r="F312" s="121" t="s">
        <v>45</v>
      </c>
      <c r="G312" s="121" t="s">
        <v>234</v>
      </c>
      <c r="H312" s="121" t="s">
        <v>233</v>
      </c>
      <c r="I312" s="122">
        <v>1072.5</v>
      </c>
      <c r="J312" s="122">
        <v>195.33083199999999</v>
      </c>
      <c r="K312" s="122">
        <v>185.98265895953759</v>
      </c>
      <c r="L312" s="122">
        <v>33.872398612716758</v>
      </c>
      <c r="M312" s="123">
        <v>5.7666666666666666</v>
      </c>
      <c r="N312" s="123">
        <v>95</v>
      </c>
      <c r="O312" s="123">
        <v>0</v>
      </c>
    </row>
  </sheetData>
  <pageMargins left="0.7" right="0.7" top="0.75" bottom="0.75" header="0.3" footer="0.3"/>
  <customProperties>
    <customPr name="LastActive" r:id="rId1"/>
  </customPropertie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055FB-85E8-45C3-AE05-5B6540E5B840}">
  <sheetPr>
    <tabColor rgb="FF00B0F0"/>
  </sheetPr>
  <dimension ref="A1:AC312"/>
  <sheetViews>
    <sheetView zoomScale="87" zoomScaleNormal="87" workbookViewId="0">
      <selection activeCell="Z14" sqref="Z14"/>
    </sheetView>
  </sheetViews>
  <sheetFormatPr defaultRowHeight="14.5" x14ac:dyDescent="0.35"/>
  <cols>
    <col min="1" max="1" width="10.08984375" style="120" bestFit="1" customWidth="1"/>
    <col min="2" max="3" width="8.7265625" style="124"/>
    <col min="4" max="4" width="9.26953125" style="124" customWidth="1"/>
    <col min="5" max="5" width="9.1796875" style="124" customWidth="1"/>
    <col min="6" max="10" width="8.7265625" style="124"/>
    <col min="11" max="11" width="8.90625" style="124" customWidth="1"/>
    <col min="12" max="12" width="8.7265625" style="124"/>
    <col min="13" max="13" width="8.90625" style="124" customWidth="1"/>
    <col min="14" max="17" width="8.7265625" style="124"/>
    <col min="18" max="18" width="8.90625" style="124" customWidth="1"/>
    <col min="19" max="19" width="8.7265625" style="124"/>
    <col min="20" max="20" width="10.36328125" style="124" customWidth="1"/>
    <col min="21" max="21" width="11.1796875" style="124" customWidth="1"/>
    <col min="22" max="22" width="11.7265625" style="124" customWidth="1"/>
    <col min="23" max="23" width="12.26953125" style="123" customWidth="1"/>
    <col min="24" max="24" width="10.54296875" style="123" customWidth="1"/>
    <col min="25" max="25" width="8.7265625" style="123" customWidth="1"/>
    <col min="26" max="26" width="9.6328125" style="122" bestFit="1" customWidth="1"/>
    <col min="27" max="27" width="9.7265625" style="122" customWidth="1"/>
    <col min="28" max="28" width="17.36328125" style="122" customWidth="1"/>
    <col min="29" max="29" width="19.26953125" style="122" customWidth="1"/>
    <col min="32" max="32" width="8.7265625" customWidth="1"/>
  </cols>
  <sheetData>
    <row r="1" spans="1:29" x14ac:dyDescent="0.35">
      <c r="A1" s="120" t="s">
        <v>0</v>
      </c>
      <c r="B1" s="124" t="s">
        <v>193</v>
      </c>
      <c r="C1" s="124" t="s">
        <v>175</v>
      </c>
      <c r="D1" s="124" t="s">
        <v>176</v>
      </c>
      <c r="E1" s="124" t="s">
        <v>177</v>
      </c>
      <c r="F1" s="124" t="s">
        <v>178</v>
      </c>
      <c r="G1" s="124" t="s">
        <v>179</v>
      </c>
      <c r="H1" s="124" t="s">
        <v>180</v>
      </c>
      <c r="I1" s="124" t="s">
        <v>182</v>
      </c>
      <c r="J1" s="124" t="s">
        <v>183</v>
      </c>
      <c r="K1" s="124" t="s">
        <v>184</v>
      </c>
      <c r="L1" s="124" t="s">
        <v>185</v>
      </c>
      <c r="M1" s="124" t="s">
        <v>186</v>
      </c>
      <c r="N1" s="124" t="s">
        <v>187</v>
      </c>
      <c r="O1" s="124" t="s">
        <v>188</v>
      </c>
      <c r="P1" s="124" t="s">
        <v>189</v>
      </c>
      <c r="Q1" s="124" t="s">
        <v>190</v>
      </c>
      <c r="R1" s="124" t="s">
        <v>191</v>
      </c>
      <c r="S1" s="124" t="s">
        <v>192</v>
      </c>
      <c r="T1" s="124" t="s">
        <v>181</v>
      </c>
      <c r="U1" s="124" t="s">
        <v>228</v>
      </c>
      <c r="V1" s="124" t="s">
        <v>230</v>
      </c>
      <c r="W1" s="123" t="s">
        <v>231</v>
      </c>
      <c r="X1" s="123" t="s">
        <v>232</v>
      </c>
      <c r="Y1" s="123" t="s">
        <v>11</v>
      </c>
      <c r="Z1" s="122" t="s">
        <v>4</v>
      </c>
      <c r="AA1" s="122" t="s">
        <v>156</v>
      </c>
      <c r="AB1" s="122" t="s">
        <v>65</v>
      </c>
      <c r="AC1" s="122" t="s">
        <v>66</v>
      </c>
    </row>
    <row r="2" spans="1:29" x14ac:dyDescent="0.35">
      <c r="A2" s="120">
        <v>45108</v>
      </c>
      <c r="B2" s="124">
        <v>1</v>
      </c>
      <c r="C2" s="124">
        <v>0</v>
      </c>
      <c r="D2" s="124">
        <v>0</v>
      </c>
      <c r="E2" s="124">
        <v>0</v>
      </c>
      <c r="F2" s="124">
        <v>0</v>
      </c>
      <c r="G2" s="124">
        <v>0</v>
      </c>
      <c r="H2" s="124">
        <v>1</v>
      </c>
      <c r="I2" s="124">
        <v>0</v>
      </c>
      <c r="J2" s="124">
        <v>0</v>
      </c>
      <c r="K2" s="124">
        <v>0</v>
      </c>
      <c r="L2" s="124">
        <v>0</v>
      </c>
      <c r="M2" s="124">
        <v>0</v>
      </c>
      <c r="N2" s="124">
        <v>0</v>
      </c>
      <c r="O2" s="124">
        <v>0</v>
      </c>
      <c r="P2" s="124">
        <v>0</v>
      </c>
      <c r="Q2" s="124">
        <v>0</v>
      </c>
      <c r="R2" s="124">
        <v>0</v>
      </c>
      <c r="S2" s="124">
        <v>0</v>
      </c>
      <c r="T2" s="124">
        <v>1</v>
      </c>
      <c r="U2" s="124">
        <v>0</v>
      </c>
      <c r="V2" s="124">
        <v>0</v>
      </c>
      <c r="W2" s="123">
        <v>97.7</v>
      </c>
      <c r="X2" s="123">
        <v>0</v>
      </c>
      <c r="Y2" s="123">
        <v>6.25</v>
      </c>
      <c r="Z2" s="122">
        <v>1537</v>
      </c>
      <c r="AA2" s="122">
        <v>221.20686000000001</v>
      </c>
      <c r="AB2" s="122">
        <v>245.92</v>
      </c>
      <c r="AC2" s="122">
        <v>35.393097600000004</v>
      </c>
    </row>
    <row r="3" spans="1:29" x14ac:dyDescent="0.35">
      <c r="A3" s="120">
        <v>45109</v>
      </c>
      <c r="B3" s="124">
        <v>1</v>
      </c>
      <c r="C3" s="124">
        <v>1</v>
      </c>
      <c r="D3" s="124">
        <v>0</v>
      </c>
      <c r="E3" s="124">
        <v>0</v>
      </c>
      <c r="F3" s="124">
        <v>0</v>
      </c>
      <c r="G3" s="124">
        <v>0</v>
      </c>
      <c r="H3" s="124">
        <v>0</v>
      </c>
      <c r="I3" s="124">
        <v>0</v>
      </c>
      <c r="J3" s="124">
        <v>0</v>
      </c>
      <c r="K3" s="124">
        <v>0</v>
      </c>
      <c r="L3" s="124">
        <v>0</v>
      </c>
      <c r="M3" s="124">
        <v>0</v>
      </c>
      <c r="N3" s="124">
        <v>0</v>
      </c>
      <c r="O3" s="124">
        <v>0</v>
      </c>
      <c r="P3" s="124">
        <v>0</v>
      </c>
      <c r="Q3" s="124">
        <v>0</v>
      </c>
      <c r="R3" s="124">
        <v>0</v>
      </c>
      <c r="S3" s="124">
        <v>0</v>
      </c>
      <c r="T3" s="124">
        <v>1</v>
      </c>
      <c r="U3" s="124">
        <v>0</v>
      </c>
      <c r="V3" s="124">
        <v>0</v>
      </c>
      <c r="W3" s="123">
        <v>95.1</v>
      </c>
      <c r="X3" s="123">
        <v>3.9E-2</v>
      </c>
      <c r="Y3" s="123">
        <v>6.2666666666666666</v>
      </c>
      <c r="Z3" s="122">
        <v>963</v>
      </c>
      <c r="AA3" s="122">
        <v>184.44623999999999</v>
      </c>
      <c r="AB3" s="122">
        <v>153.67021276595744</v>
      </c>
      <c r="AC3" s="122">
        <v>29.432910638297869</v>
      </c>
    </row>
    <row r="4" spans="1:29" x14ac:dyDescent="0.35">
      <c r="A4" s="120">
        <v>45112</v>
      </c>
      <c r="B4" s="124">
        <v>1</v>
      </c>
      <c r="C4" s="124">
        <v>0</v>
      </c>
      <c r="D4" s="124">
        <v>0</v>
      </c>
      <c r="E4" s="124">
        <v>1</v>
      </c>
      <c r="F4" s="124">
        <v>0</v>
      </c>
      <c r="G4" s="124">
        <v>0</v>
      </c>
      <c r="H4" s="124">
        <v>0</v>
      </c>
      <c r="I4" s="124">
        <v>0</v>
      </c>
      <c r="J4" s="124">
        <v>0</v>
      </c>
      <c r="K4" s="124">
        <v>0</v>
      </c>
      <c r="L4" s="124">
        <v>0</v>
      </c>
      <c r="M4" s="124">
        <v>0</v>
      </c>
      <c r="N4" s="124">
        <v>0</v>
      </c>
      <c r="O4" s="124">
        <v>0</v>
      </c>
      <c r="P4" s="124">
        <v>0</v>
      </c>
      <c r="Q4" s="124">
        <v>0</v>
      </c>
      <c r="R4" s="124">
        <v>0</v>
      </c>
      <c r="S4" s="124">
        <v>0</v>
      </c>
      <c r="T4" s="124">
        <v>0</v>
      </c>
      <c r="U4" s="124">
        <v>0</v>
      </c>
      <c r="V4" s="124">
        <v>1</v>
      </c>
      <c r="W4" s="123">
        <v>91.5</v>
      </c>
      <c r="X4" s="123">
        <v>3.7999999999999999E-2</v>
      </c>
      <c r="Y4" s="123">
        <v>5.7</v>
      </c>
      <c r="Z4" s="122">
        <v>1227.5</v>
      </c>
      <c r="AA4" s="122">
        <v>203.96432799999999</v>
      </c>
      <c r="AB4" s="122">
        <v>215.35087719298244</v>
      </c>
      <c r="AC4" s="122">
        <v>35.783215438596493</v>
      </c>
    </row>
    <row r="5" spans="1:29" x14ac:dyDescent="0.35">
      <c r="A5" s="120">
        <v>45113</v>
      </c>
      <c r="B5" s="124">
        <v>1</v>
      </c>
      <c r="C5" s="124">
        <v>0</v>
      </c>
      <c r="D5" s="124">
        <v>0</v>
      </c>
      <c r="E5" s="124">
        <v>0</v>
      </c>
      <c r="F5" s="124">
        <v>1</v>
      </c>
      <c r="G5" s="124">
        <v>0</v>
      </c>
      <c r="H5" s="124">
        <v>0</v>
      </c>
      <c r="I5" s="124">
        <v>0</v>
      </c>
      <c r="J5" s="124">
        <v>0</v>
      </c>
      <c r="K5" s="124">
        <v>0</v>
      </c>
      <c r="L5" s="124">
        <v>0</v>
      </c>
      <c r="M5" s="124">
        <v>0</v>
      </c>
      <c r="N5" s="124">
        <v>0</v>
      </c>
      <c r="O5" s="124">
        <v>0</v>
      </c>
      <c r="P5" s="124">
        <v>0</v>
      </c>
      <c r="Q5" s="124">
        <v>0</v>
      </c>
      <c r="R5" s="124">
        <v>0</v>
      </c>
      <c r="S5" s="124">
        <v>0</v>
      </c>
      <c r="T5" s="124">
        <v>0</v>
      </c>
      <c r="U5" s="124">
        <v>0</v>
      </c>
      <c r="V5" s="124">
        <v>1</v>
      </c>
      <c r="W5" s="123">
        <v>84.3</v>
      </c>
      <c r="X5" s="123">
        <v>0.41799999999999998</v>
      </c>
      <c r="Y5" s="123">
        <v>5.916666666666667</v>
      </c>
      <c r="Z5" s="122">
        <v>1315.5</v>
      </c>
      <c r="AA5" s="122">
        <v>191.58984399999997</v>
      </c>
      <c r="AB5" s="122">
        <v>222.33802816901408</v>
      </c>
      <c r="AC5" s="122">
        <v>32.381382084507038</v>
      </c>
    </row>
    <row r="6" spans="1:29" x14ac:dyDescent="0.35">
      <c r="A6" s="120">
        <v>45114</v>
      </c>
      <c r="B6" s="124">
        <v>1</v>
      </c>
      <c r="C6" s="124">
        <v>0</v>
      </c>
      <c r="D6" s="124">
        <v>0</v>
      </c>
      <c r="E6" s="124">
        <v>0</v>
      </c>
      <c r="F6" s="124">
        <v>0</v>
      </c>
      <c r="G6" s="124">
        <v>1</v>
      </c>
      <c r="H6" s="124">
        <v>0</v>
      </c>
      <c r="I6" s="124">
        <v>0</v>
      </c>
      <c r="J6" s="124">
        <v>0</v>
      </c>
      <c r="K6" s="124">
        <v>0</v>
      </c>
      <c r="L6" s="124">
        <v>0</v>
      </c>
      <c r="M6" s="124">
        <v>0</v>
      </c>
      <c r="N6" s="124">
        <v>0</v>
      </c>
      <c r="O6" s="124">
        <v>0</v>
      </c>
      <c r="P6" s="124">
        <v>0</v>
      </c>
      <c r="Q6" s="124">
        <v>0</v>
      </c>
      <c r="R6" s="124">
        <v>0</v>
      </c>
      <c r="S6" s="124">
        <v>0</v>
      </c>
      <c r="T6" s="124">
        <v>1</v>
      </c>
      <c r="U6" s="124">
        <v>0</v>
      </c>
      <c r="V6" s="124">
        <v>1</v>
      </c>
      <c r="W6" s="123">
        <v>88.9</v>
      </c>
      <c r="X6" s="123">
        <v>0.151</v>
      </c>
      <c r="Y6" s="123">
        <v>5.666666666666667</v>
      </c>
      <c r="Z6" s="122">
        <v>1166.5</v>
      </c>
      <c r="AA6" s="122">
        <v>167.95578399999999</v>
      </c>
      <c r="AB6" s="122">
        <v>205.85294117647058</v>
      </c>
      <c r="AC6" s="122">
        <v>29.639255999999996</v>
      </c>
    </row>
    <row r="7" spans="1:29" x14ac:dyDescent="0.35">
      <c r="A7" s="120">
        <v>45115</v>
      </c>
      <c r="B7" s="124">
        <v>1</v>
      </c>
      <c r="C7" s="124">
        <v>0</v>
      </c>
      <c r="D7" s="124">
        <v>0</v>
      </c>
      <c r="E7" s="124">
        <v>0</v>
      </c>
      <c r="F7" s="124">
        <v>0</v>
      </c>
      <c r="G7" s="124">
        <v>0</v>
      </c>
      <c r="H7" s="124">
        <v>1</v>
      </c>
      <c r="I7" s="124">
        <v>0</v>
      </c>
      <c r="J7" s="124">
        <v>0</v>
      </c>
      <c r="K7" s="124">
        <v>0</v>
      </c>
      <c r="L7" s="124">
        <v>0</v>
      </c>
      <c r="M7" s="124">
        <v>0</v>
      </c>
      <c r="N7" s="124">
        <v>0</v>
      </c>
      <c r="O7" s="124">
        <v>0</v>
      </c>
      <c r="P7" s="124">
        <v>0</v>
      </c>
      <c r="Q7" s="124">
        <v>0</v>
      </c>
      <c r="R7" s="124">
        <v>0</v>
      </c>
      <c r="S7" s="124">
        <v>0</v>
      </c>
      <c r="T7" s="124">
        <v>1</v>
      </c>
      <c r="U7" s="124">
        <v>0</v>
      </c>
      <c r="V7" s="124">
        <v>1</v>
      </c>
      <c r="W7" s="123">
        <v>89.7</v>
      </c>
      <c r="X7" s="123">
        <v>0.22</v>
      </c>
      <c r="Y7" s="123">
        <v>5.5166666666666666</v>
      </c>
      <c r="Z7" s="122">
        <v>1261</v>
      </c>
      <c r="AA7" s="122">
        <v>238.67122000000001</v>
      </c>
      <c r="AB7" s="122">
        <v>228.58006042296074</v>
      </c>
      <c r="AC7" s="122">
        <v>43.263665256797587</v>
      </c>
    </row>
    <row r="8" spans="1:29" x14ac:dyDescent="0.35">
      <c r="A8" s="120">
        <v>45117</v>
      </c>
      <c r="B8" s="124">
        <v>1</v>
      </c>
      <c r="C8" s="124">
        <v>0</v>
      </c>
      <c r="D8" s="124">
        <v>1</v>
      </c>
      <c r="E8" s="124">
        <v>0</v>
      </c>
      <c r="F8" s="124">
        <v>0</v>
      </c>
      <c r="G8" s="124">
        <v>0</v>
      </c>
      <c r="H8" s="124">
        <v>0</v>
      </c>
      <c r="I8" s="124">
        <v>0</v>
      </c>
      <c r="J8" s="124">
        <v>0</v>
      </c>
      <c r="K8" s="124">
        <v>0</v>
      </c>
      <c r="L8" s="124">
        <v>0</v>
      </c>
      <c r="M8" s="124">
        <v>0</v>
      </c>
      <c r="N8" s="124">
        <v>0</v>
      </c>
      <c r="O8" s="124">
        <v>0</v>
      </c>
      <c r="P8" s="124">
        <v>0</v>
      </c>
      <c r="Q8" s="124">
        <v>0</v>
      </c>
      <c r="R8" s="124">
        <v>0</v>
      </c>
      <c r="S8" s="124">
        <v>0</v>
      </c>
      <c r="T8" s="124">
        <v>0</v>
      </c>
      <c r="U8" s="124">
        <v>0</v>
      </c>
      <c r="V8" s="124">
        <v>0</v>
      </c>
      <c r="W8" s="123">
        <v>96.1</v>
      </c>
      <c r="X8" s="123">
        <v>0</v>
      </c>
      <c r="Y8" s="123">
        <v>4.95</v>
      </c>
      <c r="Z8" s="122">
        <v>1123</v>
      </c>
      <c r="AA8" s="122">
        <v>190.56170799999998</v>
      </c>
      <c r="AB8" s="122">
        <v>226.86868686868686</v>
      </c>
      <c r="AC8" s="122">
        <v>38.497314747474739</v>
      </c>
    </row>
    <row r="9" spans="1:29" x14ac:dyDescent="0.35">
      <c r="A9" s="120">
        <v>45118</v>
      </c>
      <c r="B9" s="124">
        <v>1</v>
      </c>
      <c r="C9" s="124">
        <v>0</v>
      </c>
      <c r="D9" s="124">
        <v>0</v>
      </c>
      <c r="E9" s="124">
        <v>0</v>
      </c>
      <c r="F9" s="124">
        <v>0</v>
      </c>
      <c r="G9" s="124">
        <v>0</v>
      </c>
      <c r="H9" s="124">
        <v>0</v>
      </c>
      <c r="I9" s="124">
        <v>0</v>
      </c>
      <c r="J9" s="124">
        <v>0</v>
      </c>
      <c r="K9" s="124">
        <v>0</v>
      </c>
      <c r="L9" s="124">
        <v>0</v>
      </c>
      <c r="M9" s="124">
        <v>0</v>
      </c>
      <c r="N9" s="124">
        <v>0</v>
      </c>
      <c r="O9" s="124">
        <v>0</v>
      </c>
      <c r="P9" s="124">
        <v>0</v>
      </c>
      <c r="Q9" s="124">
        <v>0</v>
      </c>
      <c r="R9" s="124">
        <v>0</v>
      </c>
      <c r="S9" s="124">
        <v>0</v>
      </c>
      <c r="T9" s="124">
        <v>0</v>
      </c>
      <c r="U9" s="124">
        <v>0</v>
      </c>
      <c r="V9" s="124">
        <v>0</v>
      </c>
      <c r="W9" s="123">
        <v>95.1</v>
      </c>
      <c r="X9" s="123">
        <v>0</v>
      </c>
      <c r="Y9" s="123">
        <v>4.55</v>
      </c>
      <c r="Z9" s="122">
        <v>1161</v>
      </c>
      <c r="AA9" s="122">
        <v>175.82314799999997</v>
      </c>
      <c r="AB9" s="122">
        <v>255.16483516483518</v>
      </c>
      <c r="AC9" s="122">
        <v>38.642450109890106</v>
      </c>
    </row>
    <row r="10" spans="1:29" x14ac:dyDescent="0.35">
      <c r="A10" s="120">
        <v>45119</v>
      </c>
      <c r="B10" s="124">
        <v>1</v>
      </c>
      <c r="C10" s="124">
        <v>0</v>
      </c>
      <c r="D10" s="124">
        <v>0</v>
      </c>
      <c r="E10" s="124">
        <v>1</v>
      </c>
      <c r="F10" s="124">
        <v>0</v>
      </c>
      <c r="G10" s="124">
        <v>0</v>
      </c>
      <c r="H10" s="124">
        <v>0</v>
      </c>
      <c r="I10" s="124">
        <v>0</v>
      </c>
      <c r="J10" s="124">
        <v>0</v>
      </c>
      <c r="K10" s="124">
        <v>0</v>
      </c>
      <c r="L10" s="124">
        <v>0</v>
      </c>
      <c r="M10" s="124">
        <v>0</v>
      </c>
      <c r="N10" s="124">
        <v>0</v>
      </c>
      <c r="O10" s="124">
        <v>0</v>
      </c>
      <c r="P10" s="124">
        <v>0</v>
      </c>
      <c r="Q10" s="124">
        <v>0</v>
      </c>
      <c r="R10" s="124">
        <v>0</v>
      </c>
      <c r="S10" s="124">
        <v>0</v>
      </c>
      <c r="T10" s="124">
        <v>0</v>
      </c>
      <c r="U10" s="124">
        <v>0</v>
      </c>
      <c r="V10" s="124">
        <v>0</v>
      </c>
      <c r="W10" s="123">
        <v>95.2</v>
      </c>
      <c r="X10" s="123">
        <v>0</v>
      </c>
      <c r="Y10" s="123">
        <v>4.333333333333333</v>
      </c>
      <c r="Z10" s="122">
        <v>836.5</v>
      </c>
      <c r="AA10" s="122">
        <v>147.38756000000001</v>
      </c>
      <c r="AB10" s="122">
        <v>193.03846153846155</v>
      </c>
      <c r="AC10" s="122">
        <v>34.012513846153851</v>
      </c>
    </row>
    <row r="11" spans="1:29" x14ac:dyDescent="0.35">
      <c r="A11" s="120">
        <v>45121</v>
      </c>
      <c r="B11" s="124">
        <v>1</v>
      </c>
      <c r="C11" s="124">
        <v>0</v>
      </c>
      <c r="D11" s="124">
        <v>0</v>
      </c>
      <c r="E11" s="124">
        <v>0</v>
      </c>
      <c r="F11" s="124">
        <v>0</v>
      </c>
      <c r="G11" s="124">
        <v>1</v>
      </c>
      <c r="H11" s="124">
        <v>0</v>
      </c>
      <c r="I11" s="124">
        <v>0</v>
      </c>
      <c r="J11" s="124">
        <v>0</v>
      </c>
      <c r="K11" s="124">
        <v>0</v>
      </c>
      <c r="L11" s="124">
        <v>0</v>
      </c>
      <c r="M11" s="124">
        <v>0</v>
      </c>
      <c r="N11" s="124">
        <v>0</v>
      </c>
      <c r="O11" s="124">
        <v>0</v>
      </c>
      <c r="P11" s="124">
        <v>0</v>
      </c>
      <c r="Q11" s="124">
        <v>0</v>
      </c>
      <c r="R11" s="124">
        <v>0</v>
      </c>
      <c r="S11" s="124">
        <v>0</v>
      </c>
      <c r="T11" s="124">
        <v>1</v>
      </c>
      <c r="U11" s="124">
        <v>0</v>
      </c>
      <c r="V11" s="124">
        <v>0</v>
      </c>
      <c r="W11" s="123">
        <v>95.1</v>
      </c>
      <c r="X11" s="123">
        <v>0</v>
      </c>
      <c r="Y11" s="123">
        <v>4.7833333333333332</v>
      </c>
      <c r="Z11" s="122">
        <v>1286</v>
      </c>
      <c r="AA11" s="122">
        <v>203.24042800000001</v>
      </c>
      <c r="AB11" s="122">
        <v>268.85017421602788</v>
      </c>
      <c r="AC11" s="122">
        <v>42.489288083623698</v>
      </c>
    </row>
    <row r="12" spans="1:29" x14ac:dyDescent="0.35">
      <c r="A12" s="120">
        <v>45122</v>
      </c>
      <c r="B12" s="124">
        <v>1</v>
      </c>
      <c r="C12" s="124">
        <v>0</v>
      </c>
      <c r="D12" s="124">
        <v>0</v>
      </c>
      <c r="E12" s="124">
        <v>0</v>
      </c>
      <c r="F12" s="124">
        <v>0</v>
      </c>
      <c r="G12" s="124">
        <v>0</v>
      </c>
      <c r="H12" s="124">
        <v>1</v>
      </c>
      <c r="I12" s="124">
        <v>0</v>
      </c>
      <c r="J12" s="124">
        <v>0</v>
      </c>
      <c r="K12" s="124">
        <v>0</v>
      </c>
      <c r="L12" s="124">
        <v>0</v>
      </c>
      <c r="M12" s="124">
        <v>0</v>
      </c>
      <c r="N12" s="124">
        <v>0</v>
      </c>
      <c r="O12" s="124">
        <v>0</v>
      </c>
      <c r="P12" s="124">
        <v>0</v>
      </c>
      <c r="Q12" s="124">
        <v>0</v>
      </c>
      <c r="R12" s="124">
        <v>0</v>
      </c>
      <c r="S12" s="124">
        <v>0</v>
      </c>
      <c r="T12" s="124">
        <v>1</v>
      </c>
      <c r="U12" s="124">
        <v>0</v>
      </c>
      <c r="V12" s="124">
        <v>0</v>
      </c>
      <c r="W12" s="123">
        <v>96.9</v>
      </c>
      <c r="X12" s="123">
        <v>0</v>
      </c>
      <c r="Y12" s="123">
        <v>4.3</v>
      </c>
      <c r="Z12" s="122">
        <v>764.5</v>
      </c>
      <c r="AA12" s="122">
        <v>116.77434399999999</v>
      </c>
      <c r="AB12" s="122">
        <v>177.79069767441862</v>
      </c>
      <c r="AC12" s="122">
        <v>27.15682418604651</v>
      </c>
    </row>
    <row r="13" spans="1:29" x14ac:dyDescent="0.35">
      <c r="A13" s="120">
        <v>45125</v>
      </c>
      <c r="B13" s="124">
        <v>1</v>
      </c>
      <c r="C13" s="124">
        <v>0</v>
      </c>
      <c r="D13" s="124">
        <v>0</v>
      </c>
      <c r="E13" s="124">
        <v>0</v>
      </c>
      <c r="F13" s="124">
        <v>0</v>
      </c>
      <c r="G13" s="124">
        <v>0</v>
      </c>
      <c r="H13" s="124">
        <v>0</v>
      </c>
      <c r="I13" s="124">
        <v>0</v>
      </c>
      <c r="J13" s="124">
        <v>0</v>
      </c>
      <c r="K13" s="124">
        <v>0</v>
      </c>
      <c r="L13" s="124">
        <v>0</v>
      </c>
      <c r="M13" s="124">
        <v>0</v>
      </c>
      <c r="N13" s="124">
        <v>0</v>
      </c>
      <c r="O13" s="124">
        <v>0</v>
      </c>
      <c r="P13" s="124">
        <v>0</v>
      </c>
      <c r="Q13" s="124">
        <v>0</v>
      </c>
      <c r="R13" s="124">
        <v>0</v>
      </c>
      <c r="S13" s="124">
        <v>0</v>
      </c>
      <c r="T13" s="124">
        <v>0</v>
      </c>
      <c r="U13" s="124">
        <v>0</v>
      </c>
      <c r="V13" s="124">
        <v>0</v>
      </c>
      <c r="W13" s="123">
        <v>98.6</v>
      </c>
      <c r="X13" s="123">
        <v>0</v>
      </c>
      <c r="Y13" s="123">
        <v>4.2166666666666668</v>
      </c>
      <c r="Z13" s="122">
        <v>662</v>
      </c>
      <c r="AA13" s="122">
        <v>124.95961999999999</v>
      </c>
      <c r="AB13" s="122">
        <v>156.99604743083003</v>
      </c>
      <c r="AC13" s="122">
        <v>29.634692490118574</v>
      </c>
    </row>
    <row r="14" spans="1:29" x14ac:dyDescent="0.35">
      <c r="A14" s="120">
        <v>45126</v>
      </c>
      <c r="B14" s="124">
        <v>1</v>
      </c>
      <c r="C14" s="124">
        <v>0</v>
      </c>
      <c r="D14" s="124">
        <v>0</v>
      </c>
      <c r="E14" s="124">
        <v>1</v>
      </c>
      <c r="F14" s="124">
        <v>0</v>
      </c>
      <c r="G14" s="124">
        <v>0</v>
      </c>
      <c r="H14" s="124">
        <v>0</v>
      </c>
      <c r="I14" s="124">
        <v>0</v>
      </c>
      <c r="J14" s="124">
        <v>0</v>
      </c>
      <c r="K14" s="124">
        <v>0</v>
      </c>
      <c r="L14" s="124">
        <v>0</v>
      </c>
      <c r="M14" s="124">
        <v>0</v>
      </c>
      <c r="N14" s="124">
        <v>0</v>
      </c>
      <c r="O14" s="124">
        <v>0</v>
      </c>
      <c r="P14" s="124">
        <v>0</v>
      </c>
      <c r="Q14" s="124">
        <v>0</v>
      </c>
      <c r="R14" s="124">
        <v>0</v>
      </c>
      <c r="S14" s="124">
        <v>0</v>
      </c>
      <c r="T14" s="124">
        <v>0</v>
      </c>
      <c r="U14" s="124">
        <v>0</v>
      </c>
      <c r="V14" s="124">
        <v>0</v>
      </c>
      <c r="W14" s="123">
        <v>97.6</v>
      </c>
      <c r="X14" s="123">
        <v>0</v>
      </c>
      <c r="Y14" s="123">
        <v>4.8499999999999996</v>
      </c>
      <c r="Z14" s="122">
        <v>892</v>
      </c>
      <c r="AA14" s="122">
        <v>165.92441199999999</v>
      </c>
      <c r="AB14" s="122">
        <v>183.91752577319588</v>
      </c>
      <c r="AC14" s="122">
        <v>34.211218969072164</v>
      </c>
    </row>
    <row r="15" spans="1:29" x14ac:dyDescent="0.35">
      <c r="A15" s="120">
        <v>45128</v>
      </c>
      <c r="B15" s="124">
        <v>1</v>
      </c>
      <c r="C15" s="124">
        <v>0</v>
      </c>
      <c r="D15" s="124">
        <v>0</v>
      </c>
      <c r="E15" s="124">
        <v>0</v>
      </c>
      <c r="F15" s="124">
        <v>0</v>
      </c>
      <c r="G15" s="124">
        <v>1</v>
      </c>
      <c r="H15" s="124">
        <v>0</v>
      </c>
      <c r="I15" s="124">
        <v>0</v>
      </c>
      <c r="J15" s="124">
        <v>0</v>
      </c>
      <c r="K15" s="124">
        <v>0</v>
      </c>
      <c r="L15" s="124">
        <v>0</v>
      </c>
      <c r="M15" s="124">
        <v>0</v>
      </c>
      <c r="N15" s="124">
        <v>0</v>
      </c>
      <c r="O15" s="124">
        <v>0</v>
      </c>
      <c r="P15" s="124">
        <v>0</v>
      </c>
      <c r="Q15" s="124">
        <v>0</v>
      </c>
      <c r="R15" s="124">
        <v>0</v>
      </c>
      <c r="S15" s="124">
        <v>0</v>
      </c>
      <c r="T15" s="124">
        <v>1</v>
      </c>
      <c r="U15" s="124">
        <v>0</v>
      </c>
      <c r="V15" s="124">
        <v>0</v>
      </c>
      <c r="W15" s="123">
        <v>98.6</v>
      </c>
      <c r="X15" s="123">
        <v>0</v>
      </c>
      <c r="Y15" s="123">
        <v>5.9666666666666668</v>
      </c>
      <c r="Z15" s="122">
        <v>1455</v>
      </c>
      <c r="AA15" s="122">
        <v>241.94436000000002</v>
      </c>
      <c r="AB15" s="122">
        <v>243.85474860335194</v>
      </c>
      <c r="AC15" s="122">
        <v>40.54933407821229</v>
      </c>
    </row>
    <row r="16" spans="1:29" x14ac:dyDescent="0.35">
      <c r="A16" s="120">
        <v>45129</v>
      </c>
      <c r="B16" s="124">
        <v>1</v>
      </c>
      <c r="C16" s="124">
        <v>0</v>
      </c>
      <c r="D16" s="124">
        <v>0</v>
      </c>
      <c r="E16" s="124">
        <v>0</v>
      </c>
      <c r="F16" s="124">
        <v>0</v>
      </c>
      <c r="G16" s="124">
        <v>0</v>
      </c>
      <c r="H16" s="124">
        <v>1</v>
      </c>
      <c r="I16" s="124">
        <v>0</v>
      </c>
      <c r="J16" s="124">
        <v>0</v>
      </c>
      <c r="K16" s="124">
        <v>0</v>
      </c>
      <c r="L16" s="124">
        <v>0</v>
      </c>
      <c r="M16" s="124">
        <v>0</v>
      </c>
      <c r="N16" s="124">
        <v>0</v>
      </c>
      <c r="O16" s="124">
        <v>0</v>
      </c>
      <c r="P16" s="124">
        <v>0</v>
      </c>
      <c r="Q16" s="124">
        <v>0</v>
      </c>
      <c r="R16" s="124">
        <v>0</v>
      </c>
      <c r="S16" s="124">
        <v>0</v>
      </c>
      <c r="T16" s="124">
        <v>1</v>
      </c>
      <c r="U16" s="124">
        <v>0</v>
      </c>
      <c r="V16" s="124">
        <v>0</v>
      </c>
      <c r="W16" s="123">
        <v>99.6</v>
      </c>
      <c r="X16" s="123">
        <v>0</v>
      </c>
      <c r="Y16" s="123">
        <v>6.1166666666666663</v>
      </c>
      <c r="Z16" s="122">
        <v>1817.5</v>
      </c>
      <c r="AA16" s="122">
        <v>333.681308</v>
      </c>
      <c r="AB16" s="122">
        <v>297.13896457765668</v>
      </c>
      <c r="AC16" s="122">
        <v>54.552802397820166</v>
      </c>
    </row>
    <row r="17" spans="1:29" x14ac:dyDescent="0.35">
      <c r="A17" s="120">
        <v>45131</v>
      </c>
      <c r="B17" s="124">
        <v>1</v>
      </c>
      <c r="C17" s="124">
        <v>0</v>
      </c>
      <c r="D17" s="124">
        <v>1</v>
      </c>
      <c r="E17" s="124">
        <v>0</v>
      </c>
      <c r="F17" s="124">
        <v>0</v>
      </c>
      <c r="G17" s="124">
        <v>0</v>
      </c>
      <c r="H17" s="124">
        <v>0</v>
      </c>
      <c r="I17" s="124">
        <v>0</v>
      </c>
      <c r="J17" s="124">
        <v>0</v>
      </c>
      <c r="K17" s="124">
        <v>0</v>
      </c>
      <c r="L17" s="124">
        <v>0</v>
      </c>
      <c r="M17" s="124">
        <v>0</v>
      </c>
      <c r="N17" s="124">
        <v>0</v>
      </c>
      <c r="O17" s="124">
        <v>0</v>
      </c>
      <c r="P17" s="124">
        <v>0</v>
      </c>
      <c r="Q17" s="124">
        <v>0</v>
      </c>
      <c r="R17" s="124">
        <v>0</v>
      </c>
      <c r="S17" s="124">
        <v>0</v>
      </c>
      <c r="T17" s="124">
        <v>0</v>
      </c>
      <c r="U17" s="124">
        <v>0</v>
      </c>
      <c r="V17" s="124">
        <v>1</v>
      </c>
      <c r="W17" s="123">
        <v>94.1</v>
      </c>
      <c r="X17" s="123">
        <v>4.0000000000000001E-3</v>
      </c>
      <c r="Y17" s="123">
        <v>4.5166666666666666</v>
      </c>
      <c r="Z17" s="122">
        <v>1036</v>
      </c>
      <c r="AA17" s="122">
        <v>170.00901999999999</v>
      </c>
      <c r="AB17" s="122">
        <v>229.37269372693729</v>
      </c>
      <c r="AC17" s="122">
        <v>37.640373431734318</v>
      </c>
    </row>
    <row r="18" spans="1:29" x14ac:dyDescent="0.35">
      <c r="A18" s="120">
        <v>45132</v>
      </c>
      <c r="B18" s="124">
        <v>1</v>
      </c>
      <c r="C18" s="124">
        <v>0</v>
      </c>
      <c r="D18" s="124">
        <v>0</v>
      </c>
      <c r="E18" s="124">
        <v>0</v>
      </c>
      <c r="F18" s="124">
        <v>0</v>
      </c>
      <c r="G18" s="124">
        <v>0</v>
      </c>
      <c r="H18" s="124">
        <v>0</v>
      </c>
      <c r="I18" s="124">
        <v>0</v>
      </c>
      <c r="J18" s="124">
        <v>0</v>
      </c>
      <c r="K18" s="124">
        <v>0</v>
      </c>
      <c r="L18" s="124">
        <v>0</v>
      </c>
      <c r="M18" s="124">
        <v>0</v>
      </c>
      <c r="N18" s="124">
        <v>0</v>
      </c>
      <c r="O18" s="124">
        <v>0</v>
      </c>
      <c r="P18" s="124">
        <v>0</v>
      </c>
      <c r="Q18" s="124">
        <v>0</v>
      </c>
      <c r="R18" s="124">
        <v>0</v>
      </c>
      <c r="S18" s="124">
        <v>0</v>
      </c>
      <c r="T18" s="124">
        <v>0</v>
      </c>
      <c r="U18" s="124">
        <v>0</v>
      </c>
      <c r="V18" s="124">
        <v>1</v>
      </c>
      <c r="W18" s="123">
        <v>93.2</v>
      </c>
      <c r="X18" s="123">
        <v>4.9000000000000002E-2</v>
      </c>
      <c r="Y18" s="123">
        <v>4.7666666666666666</v>
      </c>
      <c r="Z18" s="122">
        <v>967</v>
      </c>
      <c r="AA18" s="122">
        <v>151.1086</v>
      </c>
      <c r="AB18" s="122">
        <v>202.86713286713288</v>
      </c>
      <c r="AC18" s="122">
        <v>31.701104895104894</v>
      </c>
    </row>
    <row r="19" spans="1:29" x14ac:dyDescent="0.35">
      <c r="A19" s="120">
        <v>45133</v>
      </c>
      <c r="B19" s="124">
        <v>1</v>
      </c>
      <c r="C19" s="124">
        <v>0</v>
      </c>
      <c r="D19" s="124">
        <v>0</v>
      </c>
      <c r="E19" s="124">
        <v>1</v>
      </c>
      <c r="F19" s="124">
        <v>0</v>
      </c>
      <c r="G19" s="124">
        <v>0</v>
      </c>
      <c r="H19" s="124">
        <v>0</v>
      </c>
      <c r="I19" s="124">
        <v>0</v>
      </c>
      <c r="J19" s="124">
        <v>0</v>
      </c>
      <c r="K19" s="124">
        <v>0</v>
      </c>
      <c r="L19" s="124">
        <v>0</v>
      </c>
      <c r="M19" s="124">
        <v>0</v>
      </c>
      <c r="N19" s="124">
        <v>0</v>
      </c>
      <c r="O19" s="124">
        <v>0</v>
      </c>
      <c r="P19" s="124">
        <v>0</v>
      </c>
      <c r="Q19" s="124">
        <v>0</v>
      </c>
      <c r="R19" s="124">
        <v>0</v>
      </c>
      <c r="S19" s="124">
        <v>0</v>
      </c>
      <c r="T19" s="124">
        <v>0</v>
      </c>
      <c r="U19" s="124">
        <v>0</v>
      </c>
      <c r="V19" s="124">
        <v>1</v>
      </c>
      <c r="W19" s="123">
        <v>96.8</v>
      </c>
      <c r="X19" s="123">
        <v>0</v>
      </c>
      <c r="Y19" s="123">
        <v>5.2666666666666666</v>
      </c>
      <c r="Z19" s="122">
        <v>997</v>
      </c>
      <c r="AA19" s="122">
        <v>185.11517599999999</v>
      </c>
      <c r="AB19" s="122">
        <v>189.30379746835445</v>
      </c>
      <c r="AC19" s="122">
        <v>35.148451139240507</v>
      </c>
    </row>
    <row r="20" spans="1:29" x14ac:dyDescent="0.35">
      <c r="A20" s="120">
        <v>45135</v>
      </c>
      <c r="B20" s="124">
        <v>1</v>
      </c>
      <c r="C20" s="124">
        <v>0</v>
      </c>
      <c r="D20" s="124">
        <v>0</v>
      </c>
      <c r="E20" s="124">
        <v>0</v>
      </c>
      <c r="F20" s="124">
        <v>0</v>
      </c>
      <c r="G20" s="124">
        <v>1</v>
      </c>
      <c r="H20" s="124">
        <v>0</v>
      </c>
      <c r="I20" s="124">
        <v>0</v>
      </c>
      <c r="J20" s="124">
        <v>0</v>
      </c>
      <c r="K20" s="124">
        <v>0</v>
      </c>
      <c r="L20" s="124">
        <v>0</v>
      </c>
      <c r="M20" s="124">
        <v>0</v>
      </c>
      <c r="N20" s="124">
        <v>0</v>
      </c>
      <c r="O20" s="124">
        <v>0</v>
      </c>
      <c r="P20" s="124">
        <v>0</v>
      </c>
      <c r="Q20" s="124">
        <v>0</v>
      </c>
      <c r="R20" s="124">
        <v>0</v>
      </c>
      <c r="S20" s="124">
        <v>0</v>
      </c>
      <c r="T20" s="124">
        <v>1</v>
      </c>
      <c r="U20" s="124">
        <v>0</v>
      </c>
      <c r="V20" s="124">
        <v>1</v>
      </c>
      <c r="W20" s="123">
        <v>95</v>
      </c>
      <c r="X20" s="123">
        <v>4.2999999999999997E-2</v>
      </c>
      <c r="Y20" s="123">
        <v>5.1833333333333336</v>
      </c>
      <c r="Z20" s="122">
        <v>1281.51</v>
      </c>
      <c r="AA20" s="122">
        <v>238.50191599999999</v>
      </c>
      <c r="AB20" s="122">
        <v>247.23665594855305</v>
      </c>
      <c r="AC20" s="122">
        <v>46.013231382636654</v>
      </c>
    </row>
    <row r="21" spans="1:29" x14ac:dyDescent="0.35">
      <c r="A21" s="120">
        <v>45136</v>
      </c>
      <c r="B21" s="124">
        <v>1</v>
      </c>
      <c r="C21" s="124">
        <v>0</v>
      </c>
      <c r="D21" s="124">
        <v>0</v>
      </c>
      <c r="E21" s="124">
        <v>0</v>
      </c>
      <c r="F21" s="124">
        <v>0</v>
      </c>
      <c r="G21" s="124">
        <v>0</v>
      </c>
      <c r="H21" s="124">
        <v>1</v>
      </c>
      <c r="I21" s="124">
        <v>0</v>
      </c>
      <c r="J21" s="124">
        <v>0</v>
      </c>
      <c r="K21" s="124">
        <v>0</v>
      </c>
      <c r="L21" s="124">
        <v>0</v>
      </c>
      <c r="M21" s="124">
        <v>0</v>
      </c>
      <c r="N21" s="124">
        <v>0</v>
      </c>
      <c r="O21" s="124">
        <v>0</v>
      </c>
      <c r="P21" s="124">
        <v>0</v>
      </c>
      <c r="Q21" s="124">
        <v>0</v>
      </c>
      <c r="R21" s="124">
        <v>0</v>
      </c>
      <c r="S21" s="124">
        <v>0</v>
      </c>
      <c r="T21" s="124">
        <v>1</v>
      </c>
      <c r="U21" s="124">
        <v>0</v>
      </c>
      <c r="V21" s="124">
        <v>1</v>
      </c>
      <c r="W21" s="123">
        <v>96</v>
      </c>
      <c r="X21" s="123">
        <v>0</v>
      </c>
      <c r="Y21" s="123">
        <v>4.45</v>
      </c>
      <c r="Z21" s="122">
        <v>1011.49</v>
      </c>
      <c r="AA21" s="122">
        <v>172.51180399999998</v>
      </c>
      <c r="AB21" s="122">
        <v>227.3011235955056</v>
      </c>
      <c r="AC21" s="122">
        <v>38.766697528089885</v>
      </c>
    </row>
    <row r="22" spans="1:29" x14ac:dyDescent="0.35">
      <c r="A22" s="120">
        <v>45137</v>
      </c>
      <c r="B22" s="124">
        <v>0</v>
      </c>
      <c r="C22" s="124">
        <v>1</v>
      </c>
      <c r="D22" s="124">
        <v>0</v>
      </c>
      <c r="E22" s="124">
        <v>0</v>
      </c>
      <c r="F22" s="124">
        <v>0</v>
      </c>
      <c r="G22" s="124">
        <v>0</v>
      </c>
      <c r="H22" s="124">
        <v>0</v>
      </c>
      <c r="I22" s="124">
        <v>0</v>
      </c>
      <c r="J22" s="124">
        <v>0</v>
      </c>
      <c r="K22" s="124">
        <v>0</v>
      </c>
      <c r="L22" s="124">
        <v>0</v>
      </c>
      <c r="M22" s="124">
        <v>0</v>
      </c>
      <c r="N22" s="124">
        <v>0</v>
      </c>
      <c r="O22" s="124">
        <v>0</v>
      </c>
      <c r="P22" s="124">
        <v>0</v>
      </c>
      <c r="Q22" s="124">
        <v>0</v>
      </c>
      <c r="R22" s="124">
        <v>0</v>
      </c>
      <c r="S22" s="124">
        <v>0</v>
      </c>
      <c r="T22" s="124">
        <v>1</v>
      </c>
      <c r="U22" s="124">
        <v>0</v>
      </c>
      <c r="V22" s="124">
        <v>1</v>
      </c>
      <c r="W22" s="123">
        <v>98.5</v>
      </c>
      <c r="X22" s="123">
        <v>0</v>
      </c>
      <c r="Y22" s="123">
        <v>5.4666666666666668</v>
      </c>
      <c r="Z22" s="122">
        <v>804</v>
      </c>
      <c r="AA22" s="122">
        <v>129.63104000000001</v>
      </c>
      <c r="AB22" s="122">
        <v>147.07317073170731</v>
      </c>
      <c r="AC22" s="122">
        <v>23.71299512195122</v>
      </c>
    </row>
    <row r="23" spans="1:29" x14ac:dyDescent="0.35">
      <c r="A23" s="120">
        <v>45138</v>
      </c>
      <c r="B23" s="124">
        <v>1</v>
      </c>
      <c r="C23" s="124">
        <v>0</v>
      </c>
      <c r="D23" s="124">
        <v>1</v>
      </c>
      <c r="E23" s="124">
        <v>0</v>
      </c>
      <c r="F23" s="124">
        <v>0</v>
      </c>
      <c r="G23" s="124">
        <v>0</v>
      </c>
      <c r="H23" s="124">
        <v>0</v>
      </c>
      <c r="I23" s="124">
        <v>0</v>
      </c>
      <c r="J23" s="124">
        <v>0</v>
      </c>
      <c r="K23" s="124">
        <v>0</v>
      </c>
      <c r="L23" s="124">
        <v>0</v>
      </c>
      <c r="M23" s="124">
        <v>0</v>
      </c>
      <c r="N23" s="124">
        <v>0</v>
      </c>
      <c r="O23" s="124">
        <v>0</v>
      </c>
      <c r="P23" s="124">
        <v>0</v>
      </c>
      <c r="Q23" s="124">
        <v>0</v>
      </c>
      <c r="R23" s="124">
        <v>0</v>
      </c>
      <c r="S23" s="124">
        <v>0</v>
      </c>
      <c r="T23" s="124">
        <v>0</v>
      </c>
      <c r="U23" s="124">
        <v>0</v>
      </c>
      <c r="V23" s="124">
        <v>1</v>
      </c>
      <c r="W23" s="123">
        <v>99.7</v>
      </c>
      <c r="X23" s="123">
        <v>0</v>
      </c>
      <c r="Y23" s="123">
        <v>4.3833333333333337</v>
      </c>
      <c r="Z23" s="122">
        <v>1304.5</v>
      </c>
      <c r="AA23" s="122">
        <v>206.59433999999999</v>
      </c>
      <c r="AB23" s="122">
        <v>297.60456273764254</v>
      </c>
      <c r="AC23" s="122">
        <v>47.131788593155889</v>
      </c>
    </row>
    <row r="24" spans="1:29" x14ac:dyDescent="0.35">
      <c r="A24" s="120">
        <v>45139</v>
      </c>
      <c r="B24" s="124">
        <v>1</v>
      </c>
      <c r="C24" s="124">
        <v>0</v>
      </c>
      <c r="D24" s="124">
        <v>0</v>
      </c>
      <c r="E24" s="124">
        <v>0</v>
      </c>
      <c r="F24" s="124">
        <v>0</v>
      </c>
      <c r="G24" s="124">
        <v>0</v>
      </c>
      <c r="H24" s="124">
        <v>0</v>
      </c>
      <c r="I24" s="124">
        <v>0</v>
      </c>
      <c r="J24" s="124">
        <v>0</v>
      </c>
      <c r="K24" s="124">
        <v>0</v>
      </c>
      <c r="L24" s="124">
        <v>0</v>
      </c>
      <c r="M24" s="124">
        <v>0</v>
      </c>
      <c r="N24" s="124">
        <v>0</v>
      </c>
      <c r="O24" s="124">
        <v>1</v>
      </c>
      <c r="P24" s="124">
        <v>0</v>
      </c>
      <c r="Q24" s="124">
        <v>0</v>
      </c>
      <c r="R24" s="124">
        <v>0</v>
      </c>
      <c r="S24" s="124">
        <v>0</v>
      </c>
      <c r="T24" s="124">
        <v>0</v>
      </c>
      <c r="U24" s="124">
        <v>0</v>
      </c>
      <c r="V24" s="124">
        <v>1</v>
      </c>
      <c r="W24" s="123">
        <v>99.4</v>
      </c>
      <c r="X24" s="123">
        <v>0</v>
      </c>
      <c r="Y24" s="123">
        <v>5.4333333333333336</v>
      </c>
      <c r="Z24" s="122">
        <v>706.5</v>
      </c>
      <c r="AA24" s="122">
        <v>138.13836000000001</v>
      </c>
      <c r="AB24" s="122">
        <v>130.03067484662577</v>
      </c>
      <c r="AC24" s="122">
        <v>25.424238036809815</v>
      </c>
    </row>
    <row r="25" spans="1:29" x14ac:dyDescent="0.35">
      <c r="A25" s="120">
        <v>45140</v>
      </c>
      <c r="B25" s="124">
        <v>0</v>
      </c>
      <c r="C25" s="124">
        <v>0</v>
      </c>
      <c r="D25" s="124">
        <v>0</v>
      </c>
      <c r="E25" s="124">
        <v>1</v>
      </c>
      <c r="F25" s="124">
        <v>0</v>
      </c>
      <c r="G25" s="124">
        <v>0</v>
      </c>
      <c r="H25" s="124">
        <v>0</v>
      </c>
      <c r="I25" s="124">
        <v>0</v>
      </c>
      <c r="J25" s="124">
        <v>0</v>
      </c>
      <c r="K25" s="124">
        <v>0</v>
      </c>
      <c r="L25" s="124">
        <v>0</v>
      </c>
      <c r="M25" s="124">
        <v>0</v>
      </c>
      <c r="N25" s="124">
        <v>0</v>
      </c>
      <c r="O25" s="124">
        <v>1</v>
      </c>
      <c r="P25" s="124">
        <v>0</v>
      </c>
      <c r="Q25" s="124">
        <v>0</v>
      </c>
      <c r="R25" s="124">
        <v>0</v>
      </c>
      <c r="S25" s="124">
        <v>0</v>
      </c>
      <c r="T25" s="124">
        <v>0</v>
      </c>
      <c r="U25" s="124">
        <v>0</v>
      </c>
      <c r="V25" s="124">
        <v>1</v>
      </c>
      <c r="W25" s="123">
        <v>98.7</v>
      </c>
      <c r="X25" s="123">
        <v>0</v>
      </c>
      <c r="Y25" s="123">
        <v>3.5833333333333335</v>
      </c>
      <c r="Z25" s="122">
        <v>763</v>
      </c>
      <c r="AA25" s="122">
        <v>114.396716</v>
      </c>
      <c r="AB25" s="122">
        <v>212.93023255813952</v>
      </c>
      <c r="AC25" s="122">
        <v>31.924664930232556</v>
      </c>
    </row>
    <row r="26" spans="1:29" x14ac:dyDescent="0.35">
      <c r="A26" s="120">
        <v>45140</v>
      </c>
      <c r="B26" s="124">
        <v>1</v>
      </c>
      <c r="C26" s="124">
        <v>0</v>
      </c>
      <c r="D26" s="124">
        <v>0</v>
      </c>
      <c r="E26" s="124">
        <v>1</v>
      </c>
      <c r="F26" s="124">
        <v>0</v>
      </c>
      <c r="G26" s="124">
        <v>0</v>
      </c>
      <c r="H26" s="124">
        <v>0</v>
      </c>
      <c r="I26" s="124">
        <v>0</v>
      </c>
      <c r="J26" s="124">
        <v>0</v>
      </c>
      <c r="K26" s="124">
        <v>0</v>
      </c>
      <c r="L26" s="124">
        <v>0</v>
      </c>
      <c r="M26" s="124">
        <v>0</v>
      </c>
      <c r="N26" s="124">
        <v>0</v>
      </c>
      <c r="O26" s="124">
        <v>1</v>
      </c>
      <c r="P26" s="124">
        <v>0</v>
      </c>
      <c r="Q26" s="124">
        <v>0</v>
      </c>
      <c r="R26" s="124">
        <v>0</v>
      </c>
      <c r="S26" s="124">
        <v>0</v>
      </c>
      <c r="T26" s="124">
        <v>0</v>
      </c>
      <c r="U26" s="124">
        <v>0</v>
      </c>
      <c r="V26" s="124">
        <v>1</v>
      </c>
      <c r="W26" s="123">
        <v>98.7</v>
      </c>
      <c r="X26" s="123">
        <v>0</v>
      </c>
      <c r="Y26" s="123">
        <v>3.5</v>
      </c>
      <c r="Z26" s="122">
        <v>477</v>
      </c>
      <c r="AA26" s="122">
        <v>94.560599999999994</v>
      </c>
      <c r="AB26" s="122">
        <v>136.28571428571428</v>
      </c>
      <c r="AC26" s="122">
        <v>27.017314285714285</v>
      </c>
    </row>
    <row r="27" spans="1:29" x14ac:dyDescent="0.35">
      <c r="A27" s="120">
        <v>45142</v>
      </c>
      <c r="B27" s="124">
        <v>0</v>
      </c>
      <c r="C27" s="124">
        <v>0</v>
      </c>
      <c r="D27" s="124">
        <v>0</v>
      </c>
      <c r="E27" s="124">
        <v>0</v>
      </c>
      <c r="F27" s="124">
        <v>0</v>
      </c>
      <c r="G27" s="124">
        <v>1</v>
      </c>
      <c r="H27" s="124">
        <v>0</v>
      </c>
      <c r="I27" s="124">
        <v>0</v>
      </c>
      <c r="J27" s="124">
        <v>0</v>
      </c>
      <c r="K27" s="124">
        <v>0</v>
      </c>
      <c r="L27" s="124">
        <v>0</v>
      </c>
      <c r="M27" s="124">
        <v>0</v>
      </c>
      <c r="N27" s="124">
        <v>0</v>
      </c>
      <c r="O27" s="124">
        <v>1</v>
      </c>
      <c r="P27" s="124">
        <v>0</v>
      </c>
      <c r="Q27" s="124">
        <v>0</v>
      </c>
      <c r="R27" s="124">
        <v>0</v>
      </c>
      <c r="S27" s="124">
        <v>0</v>
      </c>
      <c r="T27" s="124">
        <v>0</v>
      </c>
      <c r="U27" s="124">
        <v>0</v>
      </c>
      <c r="V27" s="124">
        <v>0</v>
      </c>
      <c r="W27" s="123">
        <v>100.4</v>
      </c>
      <c r="X27" s="123">
        <v>0</v>
      </c>
      <c r="Y27" s="123">
        <v>4.7833333333333332</v>
      </c>
      <c r="Z27" s="122">
        <v>1016.33</v>
      </c>
      <c r="AA27" s="122">
        <v>162.478084</v>
      </c>
      <c r="AB27" s="122">
        <v>212.47317073170734</v>
      </c>
      <c r="AC27" s="122">
        <v>33.967543693379788</v>
      </c>
    </row>
    <row r="28" spans="1:29" x14ac:dyDescent="0.35">
      <c r="A28" s="120">
        <v>45142</v>
      </c>
      <c r="B28" s="124">
        <v>1</v>
      </c>
      <c r="C28" s="124">
        <v>0</v>
      </c>
      <c r="D28" s="124">
        <v>0</v>
      </c>
      <c r="E28" s="124">
        <v>0</v>
      </c>
      <c r="F28" s="124">
        <v>0</v>
      </c>
      <c r="G28" s="124">
        <v>1</v>
      </c>
      <c r="H28" s="124">
        <v>0</v>
      </c>
      <c r="I28" s="124">
        <v>0</v>
      </c>
      <c r="J28" s="124">
        <v>0</v>
      </c>
      <c r="K28" s="124">
        <v>0</v>
      </c>
      <c r="L28" s="124">
        <v>0</v>
      </c>
      <c r="M28" s="124">
        <v>0</v>
      </c>
      <c r="N28" s="124">
        <v>0</v>
      </c>
      <c r="O28" s="124">
        <v>1</v>
      </c>
      <c r="P28" s="124">
        <v>0</v>
      </c>
      <c r="Q28" s="124">
        <v>0</v>
      </c>
      <c r="R28" s="124">
        <v>0</v>
      </c>
      <c r="S28" s="124">
        <v>0</v>
      </c>
      <c r="T28" s="124">
        <v>1</v>
      </c>
      <c r="U28" s="124">
        <v>0</v>
      </c>
      <c r="V28" s="124">
        <v>0</v>
      </c>
      <c r="W28" s="123">
        <v>100.4</v>
      </c>
      <c r="X28" s="123">
        <v>0</v>
      </c>
      <c r="Y28" s="123">
        <v>4.6166666666666663</v>
      </c>
      <c r="Z28" s="122">
        <v>1194</v>
      </c>
      <c r="AA28" s="122">
        <v>180.67177999999998</v>
      </c>
      <c r="AB28" s="122">
        <v>258.62815884476538</v>
      </c>
      <c r="AC28" s="122">
        <v>39.134681588447656</v>
      </c>
    </row>
    <row r="29" spans="1:29" x14ac:dyDescent="0.35">
      <c r="A29" s="120">
        <v>45143</v>
      </c>
      <c r="B29" s="124">
        <v>1</v>
      </c>
      <c r="C29" s="124">
        <v>0</v>
      </c>
      <c r="D29" s="124">
        <v>0</v>
      </c>
      <c r="E29" s="124">
        <v>0</v>
      </c>
      <c r="F29" s="124">
        <v>0</v>
      </c>
      <c r="G29" s="124">
        <v>0</v>
      </c>
      <c r="H29" s="124">
        <v>1</v>
      </c>
      <c r="I29" s="124">
        <v>0</v>
      </c>
      <c r="J29" s="124">
        <v>0</v>
      </c>
      <c r="K29" s="124">
        <v>0</v>
      </c>
      <c r="L29" s="124">
        <v>0</v>
      </c>
      <c r="M29" s="124">
        <v>0</v>
      </c>
      <c r="N29" s="124">
        <v>0</v>
      </c>
      <c r="O29" s="124">
        <v>1</v>
      </c>
      <c r="P29" s="124">
        <v>0</v>
      </c>
      <c r="Q29" s="124">
        <v>0</v>
      </c>
      <c r="R29" s="124">
        <v>0</v>
      </c>
      <c r="S29" s="124">
        <v>0</v>
      </c>
      <c r="T29" s="124">
        <v>1</v>
      </c>
      <c r="U29" s="124">
        <v>0</v>
      </c>
      <c r="V29" s="124">
        <v>0</v>
      </c>
      <c r="W29" s="123">
        <v>99.3</v>
      </c>
      <c r="X29" s="123">
        <v>0</v>
      </c>
      <c r="Y29" s="123">
        <v>6.25</v>
      </c>
      <c r="Z29" s="122">
        <v>1669.5</v>
      </c>
      <c r="AA29" s="122">
        <v>266.82144400000004</v>
      </c>
      <c r="AB29" s="122">
        <v>267.12</v>
      </c>
      <c r="AC29" s="122">
        <v>42.691431040000005</v>
      </c>
    </row>
    <row r="30" spans="1:29" x14ac:dyDescent="0.35">
      <c r="A30" s="120">
        <v>45145</v>
      </c>
      <c r="B30" s="124">
        <v>0</v>
      </c>
      <c r="C30" s="124">
        <v>0</v>
      </c>
      <c r="D30" s="124">
        <v>1</v>
      </c>
      <c r="E30" s="124">
        <v>0</v>
      </c>
      <c r="F30" s="124">
        <v>0</v>
      </c>
      <c r="G30" s="124">
        <v>0</v>
      </c>
      <c r="H30" s="124">
        <v>0</v>
      </c>
      <c r="I30" s="124">
        <v>0</v>
      </c>
      <c r="J30" s="124">
        <v>0</v>
      </c>
      <c r="K30" s="124">
        <v>0</v>
      </c>
      <c r="L30" s="124">
        <v>0</v>
      </c>
      <c r="M30" s="124">
        <v>0</v>
      </c>
      <c r="N30" s="124">
        <v>0</v>
      </c>
      <c r="O30" s="124">
        <v>1</v>
      </c>
      <c r="P30" s="124">
        <v>0</v>
      </c>
      <c r="Q30" s="124">
        <v>0</v>
      </c>
      <c r="R30" s="124">
        <v>0</v>
      </c>
      <c r="S30" s="124">
        <v>0</v>
      </c>
      <c r="T30" s="124">
        <v>0</v>
      </c>
      <c r="U30" s="124">
        <v>0</v>
      </c>
      <c r="V30" s="124">
        <v>0</v>
      </c>
      <c r="W30" s="123">
        <v>100.4</v>
      </c>
      <c r="X30" s="123">
        <v>0</v>
      </c>
      <c r="Y30" s="123">
        <v>3.75</v>
      </c>
      <c r="Z30" s="122">
        <v>518.5</v>
      </c>
      <c r="AA30" s="122">
        <v>85.479011999999997</v>
      </c>
      <c r="AB30" s="122">
        <v>138.26666666666668</v>
      </c>
      <c r="AC30" s="122">
        <v>22.794403199999998</v>
      </c>
    </row>
    <row r="31" spans="1:29" x14ac:dyDescent="0.35">
      <c r="A31" s="120">
        <v>45145</v>
      </c>
      <c r="B31" s="124">
        <v>1</v>
      </c>
      <c r="C31" s="124">
        <v>0</v>
      </c>
      <c r="D31" s="124">
        <v>1</v>
      </c>
      <c r="E31" s="124">
        <v>0</v>
      </c>
      <c r="F31" s="124">
        <v>0</v>
      </c>
      <c r="G31" s="124">
        <v>0</v>
      </c>
      <c r="H31" s="124">
        <v>0</v>
      </c>
      <c r="I31" s="124">
        <v>0</v>
      </c>
      <c r="J31" s="124">
        <v>0</v>
      </c>
      <c r="K31" s="124">
        <v>0</v>
      </c>
      <c r="L31" s="124">
        <v>0</v>
      </c>
      <c r="M31" s="124">
        <v>0</v>
      </c>
      <c r="N31" s="124">
        <v>0</v>
      </c>
      <c r="O31" s="124">
        <v>1</v>
      </c>
      <c r="P31" s="124">
        <v>0</v>
      </c>
      <c r="Q31" s="124">
        <v>0</v>
      </c>
      <c r="R31" s="124">
        <v>0</v>
      </c>
      <c r="S31" s="124">
        <v>0</v>
      </c>
      <c r="T31" s="124">
        <v>0</v>
      </c>
      <c r="U31" s="124">
        <v>0</v>
      </c>
      <c r="V31" s="124">
        <v>0</v>
      </c>
      <c r="W31" s="123">
        <v>100.4</v>
      </c>
      <c r="X31" s="123">
        <v>0</v>
      </c>
      <c r="Y31" s="123">
        <v>4.6166666666666663</v>
      </c>
      <c r="Z31" s="122">
        <v>1184</v>
      </c>
      <c r="AA31" s="122">
        <v>201.50010799999998</v>
      </c>
      <c r="AB31" s="122">
        <v>256.46209386281589</v>
      </c>
      <c r="AC31" s="122">
        <v>43.646232779783396</v>
      </c>
    </row>
    <row r="32" spans="1:29" x14ac:dyDescent="0.35">
      <c r="A32" s="120">
        <v>45146</v>
      </c>
      <c r="B32" s="124">
        <v>0</v>
      </c>
      <c r="C32" s="124">
        <v>0</v>
      </c>
      <c r="D32" s="124">
        <v>0</v>
      </c>
      <c r="E32" s="124">
        <v>0</v>
      </c>
      <c r="F32" s="124">
        <v>0</v>
      </c>
      <c r="G32" s="124">
        <v>0</v>
      </c>
      <c r="H32" s="124">
        <v>0</v>
      </c>
      <c r="I32" s="124">
        <v>0</v>
      </c>
      <c r="J32" s="124">
        <v>0</v>
      </c>
      <c r="K32" s="124">
        <v>0</v>
      </c>
      <c r="L32" s="124">
        <v>0</v>
      </c>
      <c r="M32" s="124">
        <v>0</v>
      </c>
      <c r="N32" s="124">
        <v>0</v>
      </c>
      <c r="O32" s="124">
        <v>1</v>
      </c>
      <c r="P32" s="124">
        <v>0</v>
      </c>
      <c r="Q32" s="124">
        <v>0</v>
      </c>
      <c r="R32" s="124">
        <v>0</v>
      </c>
      <c r="S32" s="124">
        <v>0</v>
      </c>
      <c r="T32" s="124">
        <v>0</v>
      </c>
      <c r="U32" s="124">
        <v>0</v>
      </c>
      <c r="V32" s="124">
        <v>0</v>
      </c>
      <c r="W32" s="123">
        <v>98.7</v>
      </c>
      <c r="X32" s="123">
        <v>0</v>
      </c>
      <c r="Y32" s="123">
        <v>3.8666666666666667</v>
      </c>
      <c r="Z32" s="122">
        <v>697</v>
      </c>
      <c r="AA32" s="122">
        <v>125.16169600000001</v>
      </c>
      <c r="AB32" s="122">
        <v>180.25862068965517</v>
      </c>
      <c r="AC32" s="122">
        <v>32.369404137931035</v>
      </c>
    </row>
    <row r="33" spans="1:29" x14ac:dyDescent="0.35">
      <c r="A33" s="120">
        <v>45147</v>
      </c>
      <c r="B33" s="124">
        <v>1</v>
      </c>
      <c r="C33" s="124">
        <v>0</v>
      </c>
      <c r="D33" s="124">
        <v>0</v>
      </c>
      <c r="E33" s="124">
        <v>1</v>
      </c>
      <c r="F33" s="124">
        <v>0</v>
      </c>
      <c r="G33" s="124">
        <v>0</v>
      </c>
      <c r="H33" s="124">
        <v>0</v>
      </c>
      <c r="I33" s="124">
        <v>0</v>
      </c>
      <c r="J33" s="124">
        <v>0</v>
      </c>
      <c r="K33" s="124">
        <v>0</v>
      </c>
      <c r="L33" s="124">
        <v>0</v>
      </c>
      <c r="M33" s="124">
        <v>0</v>
      </c>
      <c r="N33" s="124">
        <v>0</v>
      </c>
      <c r="O33" s="124">
        <v>1</v>
      </c>
      <c r="P33" s="124">
        <v>0</v>
      </c>
      <c r="Q33" s="124">
        <v>0</v>
      </c>
      <c r="R33" s="124">
        <v>0</v>
      </c>
      <c r="S33" s="124">
        <v>0</v>
      </c>
      <c r="T33" s="124">
        <v>0</v>
      </c>
      <c r="U33" s="124">
        <v>0</v>
      </c>
      <c r="V33" s="124">
        <v>0</v>
      </c>
      <c r="W33" s="123">
        <v>96.9</v>
      </c>
      <c r="X33" s="123">
        <v>0</v>
      </c>
      <c r="Y33" s="123">
        <v>5.9</v>
      </c>
      <c r="Z33" s="122">
        <v>1060.27</v>
      </c>
      <c r="AA33" s="122">
        <v>132.90529599999999</v>
      </c>
      <c r="AB33" s="122">
        <v>179.70677966101692</v>
      </c>
      <c r="AC33" s="122">
        <v>22.5263213559322</v>
      </c>
    </row>
    <row r="34" spans="1:29" x14ac:dyDescent="0.35">
      <c r="A34" s="120">
        <v>45149</v>
      </c>
      <c r="B34" s="124">
        <v>1</v>
      </c>
      <c r="C34" s="124">
        <v>0</v>
      </c>
      <c r="D34" s="124">
        <v>0</v>
      </c>
      <c r="E34" s="124">
        <v>0</v>
      </c>
      <c r="F34" s="124">
        <v>0</v>
      </c>
      <c r="G34" s="124">
        <v>1</v>
      </c>
      <c r="H34" s="124">
        <v>0</v>
      </c>
      <c r="I34" s="124">
        <v>0</v>
      </c>
      <c r="J34" s="124">
        <v>0</v>
      </c>
      <c r="K34" s="124">
        <v>0</v>
      </c>
      <c r="L34" s="124">
        <v>0</v>
      </c>
      <c r="M34" s="124">
        <v>0</v>
      </c>
      <c r="N34" s="124">
        <v>0</v>
      </c>
      <c r="O34" s="124">
        <v>1</v>
      </c>
      <c r="P34" s="124">
        <v>0</v>
      </c>
      <c r="Q34" s="124">
        <v>0</v>
      </c>
      <c r="R34" s="124">
        <v>0</v>
      </c>
      <c r="S34" s="124">
        <v>0</v>
      </c>
      <c r="T34" s="124">
        <v>1</v>
      </c>
      <c r="U34" s="124">
        <v>0</v>
      </c>
      <c r="V34" s="124">
        <v>1</v>
      </c>
      <c r="W34" s="123">
        <v>98.7</v>
      </c>
      <c r="X34" s="123">
        <v>0</v>
      </c>
      <c r="Y34" s="123">
        <v>7.15</v>
      </c>
      <c r="Z34" s="122">
        <v>1187</v>
      </c>
      <c r="AA34" s="122">
        <v>185.53326000000001</v>
      </c>
      <c r="AB34" s="122">
        <v>166.013986013986</v>
      </c>
      <c r="AC34" s="122">
        <v>25.948707692307693</v>
      </c>
    </row>
    <row r="35" spans="1:29" x14ac:dyDescent="0.35">
      <c r="A35" s="120">
        <v>45150</v>
      </c>
      <c r="B35" s="124">
        <v>1</v>
      </c>
      <c r="C35" s="124">
        <v>0</v>
      </c>
      <c r="D35" s="124">
        <v>0</v>
      </c>
      <c r="E35" s="124">
        <v>0</v>
      </c>
      <c r="F35" s="124">
        <v>0</v>
      </c>
      <c r="G35" s="124">
        <v>0</v>
      </c>
      <c r="H35" s="124">
        <v>1</v>
      </c>
      <c r="I35" s="124">
        <v>0</v>
      </c>
      <c r="J35" s="124">
        <v>0</v>
      </c>
      <c r="K35" s="124">
        <v>0</v>
      </c>
      <c r="L35" s="124">
        <v>0</v>
      </c>
      <c r="M35" s="124">
        <v>0</v>
      </c>
      <c r="N35" s="124">
        <v>0</v>
      </c>
      <c r="O35" s="124">
        <v>1</v>
      </c>
      <c r="P35" s="124">
        <v>0</v>
      </c>
      <c r="Q35" s="124">
        <v>0</v>
      </c>
      <c r="R35" s="124">
        <v>0</v>
      </c>
      <c r="S35" s="124">
        <v>0</v>
      </c>
      <c r="T35" s="124">
        <v>1</v>
      </c>
      <c r="U35" s="124">
        <v>0</v>
      </c>
      <c r="V35" s="124">
        <v>1</v>
      </c>
      <c r="W35" s="123">
        <v>98.7</v>
      </c>
      <c r="X35" s="123">
        <v>0</v>
      </c>
      <c r="Y35" s="123">
        <v>7.583333333333333</v>
      </c>
      <c r="Z35" s="122">
        <v>1928</v>
      </c>
      <c r="AA35" s="122">
        <v>308.20174799999995</v>
      </c>
      <c r="AB35" s="122">
        <v>254.24175824175825</v>
      </c>
      <c r="AC35" s="122">
        <v>40.641988747252739</v>
      </c>
    </row>
    <row r="36" spans="1:29" x14ac:dyDescent="0.35">
      <c r="A36" s="120">
        <v>45152</v>
      </c>
      <c r="B36" s="124">
        <v>0</v>
      </c>
      <c r="C36" s="124">
        <v>0</v>
      </c>
      <c r="D36" s="124">
        <v>1</v>
      </c>
      <c r="E36" s="124">
        <v>0</v>
      </c>
      <c r="F36" s="124">
        <v>0</v>
      </c>
      <c r="G36" s="124">
        <v>0</v>
      </c>
      <c r="H36" s="124">
        <v>0</v>
      </c>
      <c r="I36" s="124">
        <v>0</v>
      </c>
      <c r="J36" s="124">
        <v>0</v>
      </c>
      <c r="K36" s="124">
        <v>0</v>
      </c>
      <c r="L36" s="124">
        <v>0</v>
      </c>
      <c r="M36" s="124">
        <v>0</v>
      </c>
      <c r="N36" s="124">
        <v>0</v>
      </c>
      <c r="O36" s="124">
        <v>1</v>
      </c>
      <c r="P36" s="124">
        <v>0</v>
      </c>
      <c r="Q36" s="124">
        <v>0</v>
      </c>
      <c r="R36" s="124">
        <v>0</v>
      </c>
      <c r="S36" s="124">
        <v>0</v>
      </c>
      <c r="T36" s="124">
        <v>0</v>
      </c>
      <c r="U36" s="124">
        <v>0</v>
      </c>
      <c r="V36" s="124">
        <v>0</v>
      </c>
      <c r="W36" s="123">
        <v>101.3</v>
      </c>
      <c r="X36" s="123">
        <v>0</v>
      </c>
      <c r="Y36" s="123">
        <v>5.3833333333333337</v>
      </c>
      <c r="Z36" s="122">
        <v>646.5</v>
      </c>
      <c r="AA36" s="122">
        <v>121.035892</v>
      </c>
      <c r="AB36" s="122">
        <v>120.09287925696593</v>
      </c>
      <c r="AC36" s="122">
        <v>22.483447430340558</v>
      </c>
    </row>
    <row r="37" spans="1:29" x14ac:dyDescent="0.35">
      <c r="A37" s="120">
        <v>45153</v>
      </c>
      <c r="B37" s="124">
        <v>0</v>
      </c>
      <c r="C37" s="124">
        <v>0</v>
      </c>
      <c r="D37" s="124">
        <v>0</v>
      </c>
      <c r="E37" s="124">
        <v>0</v>
      </c>
      <c r="F37" s="124">
        <v>0</v>
      </c>
      <c r="G37" s="124">
        <v>0</v>
      </c>
      <c r="H37" s="124">
        <v>0</v>
      </c>
      <c r="I37" s="124">
        <v>0</v>
      </c>
      <c r="J37" s="124">
        <v>0</v>
      </c>
      <c r="K37" s="124">
        <v>0</v>
      </c>
      <c r="L37" s="124">
        <v>0</v>
      </c>
      <c r="M37" s="124">
        <v>0</v>
      </c>
      <c r="N37" s="124">
        <v>0</v>
      </c>
      <c r="O37" s="124">
        <v>1</v>
      </c>
      <c r="P37" s="124">
        <v>0</v>
      </c>
      <c r="Q37" s="124">
        <v>0</v>
      </c>
      <c r="R37" s="124">
        <v>0</v>
      </c>
      <c r="S37" s="124">
        <v>0</v>
      </c>
      <c r="T37" s="124">
        <v>0</v>
      </c>
      <c r="U37" s="124">
        <v>0</v>
      </c>
      <c r="V37" s="124">
        <v>0</v>
      </c>
      <c r="W37" s="123">
        <v>100.6</v>
      </c>
      <c r="X37" s="123">
        <v>0</v>
      </c>
      <c r="Y37" s="123">
        <v>3.3166666666666669</v>
      </c>
      <c r="Z37" s="122">
        <v>369</v>
      </c>
      <c r="AA37" s="122">
        <v>52.001628000000004</v>
      </c>
      <c r="AB37" s="122">
        <v>111.25628140703517</v>
      </c>
      <c r="AC37" s="122">
        <v>15.678882814070352</v>
      </c>
    </row>
    <row r="38" spans="1:29" x14ac:dyDescent="0.35">
      <c r="A38" s="120">
        <v>45153</v>
      </c>
      <c r="B38" s="124">
        <v>1</v>
      </c>
      <c r="C38" s="124">
        <v>0</v>
      </c>
      <c r="D38" s="124">
        <v>0</v>
      </c>
      <c r="E38" s="124">
        <v>0</v>
      </c>
      <c r="F38" s="124">
        <v>0</v>
      </c>
      <c r="G38" s="124">
        <v>0</v>
      </c>
      <c r="H38" s="124">
        <v>0</v>
      </c>
      <c r="I38" s="124">
        <v>0</v>
      </c>
      <c r="J38" s="124">
        <v>0</v>
      </c>
      <c r="K38" s="124">
        <v>0</v>
      </c>
      <c r="L38" s="124">
        <v>0</v>
      </c>
      <c r="M38" s="124">
        <v>0</v>
      </c>
      <c r="N38" s="124">
        <v>0</v>
      </c>
      <c r="O38" s="124">
        <v>1</v>
      </c>
      <c r="P38" s="124">
        <v>0</v>
      </c>
      <c r="Q38" s="124">
        <v>0</v>
      </c>
      <c r="R38" s="124">
        <v>0</v>
      </c>
      <c r="S38" s="124">
        <v>0</v>
      </c>
      <c r="T38" s="124">
        <v>0</v>
      </c>
      <c r="U38" s="124">
        <v>0</v>
      </c>
      <c r="V38" s="124">
        <v>0</v>
      </c>
      <c r="W38" s="123">
        <v>100.6</v>
      </c>
      <c r="X38" s="123">
        <v>0</v>
      </c>
      <c r="Y38" s="123">
        <v>4.2833333333333332</v>
      </c>
      <c r="Z38" s="122">
        <v>652.5</v>
      </c>
      <c r="AA38" s="122">
        <v>100.28976399999999</v>
      </c>
      <c r="AB38" s="122">
        <v>152.33463035019454</v>
      </c>
      <c r="AC38" s="122">
        <v>23.413952684824903</v>
      </c>
    </row>
    <row r="39" spans="1:29" x14ac:dyDescent="0.35">
      <c r="A39" s="120">
        <v>45154</v>
      </c>
      <c r="B39" s="124">
        <v>0</v>
      </c>
      <c r="C39" s="124">
        <v>0</v>
      </c>
      <c r="D39" s="124">
        <v>0</v>
      </c>
      <c r="E39" s="124">
        <v>1</v>
      </c>
      <c r="F39" s="124">
        <v>0</v>
      </c>
      <c r="G39" s="124">
        <v>0</v>
      </c>
      <c r="H39" s="124">
        <v>0</v>
      </c>
      <c r="I39" s="124">
        <v>0</v>
      </c>
      <c r="J39" s="124">
        <v>0</v>
      </c>
      <c r="K39" s="124">
        <v>0</v>
      </c>
      <c r="L39" s="124">
        <v>0</v>
      </c>
      <c r="M39" s="124">
        <v>0</v>
      </c>
      <c r="N39" s="124">
        <v>0</v>
      </c>
      <c r="O39" s="124">
        <v>1</v>
      </c>
      <c r="P39" s="124">
        <v>0</v>
      </c>
      <c r="Q39" s="124">
        <v>0</v>
      </c>
      <c r="R39" s="124">
        <v>0</v>
      </c>
      <c r="S39" s="124">
        <v>0</v>
      </c>
      <c r="T39" s="124">
        <v>0</v>
      </c>
      <c r="U39" s="124">
        <v>0</v>
      </c>
      <c r="V39" s="124">
        <v>0</v>
      </c>
      <c r="W39" s="123">
        <v>97.6</v>
      </c>
      <c r="X39" s="123">
        <v>0</v>
      </c>
      <c r="Y39" s="123">
        <v>3.7666666666666666</v>
      </c>
      <c r="Z39" s="122">
        <v>728.5</v>
      </c>
      <c r="AA39" s="122">
        <v>133.81860800000001</v>
      </c>
      <c r="AB39" s="122">
        <v>193.40707964601771</v>
      </c>
      <c r="AC39" s="122">
        <v>35.527064070796463</v>
      </c>
    </row>
    <row r="40" spans="1:29" x14ac:dyDescent="0.35">
      <c r="A40" s="120">
        <v>45154</v>
      </c>
      <c r="B40" s="124">
        <v>1</v>
      </c>
      <c r="C40" s="124">
        <v>0</v>
      </c>
      <c r="D40" s="124">
        <v>0</v>
      </c>
      <c r="E40" s="124">
        <v>1</v>
      </c>
      <c r="F40" s="124">
        <v>0</v>
      </c>
      <c r="G40" s="124">
        <v>0</v>
      </c>
      <c r="H40" s="124">
        <v>0</v>
      </c>
      <c r="I40" s="124">
        <v>0</v>
      </c>
      <c r="J40" s="124">
        <v>0</v>
      </c>
      <c r="K40" s="124">
        <v>0</v>
      </c>
      <c r="L40" s="124">
        <v>0</v>
      </c>
      <c r="M40" s="124">
        <v>0</v>
      </c>
      <c r="N40" s="124">
        <v>0</v>
      </c>
      <c r="O40" s="124">
        <v>1</v>
      </c>
      <c r="P40" s="124">
        <v>0</v>
      </c>
      <c r="Q40" s="124">
        <v>0</v>
      </c>
      <c r="R40" s="124">
        <v>0</v>
      </c>
      <c r="S40" s="124">
        <v>0</v>
      </c>
      <c r="T40" s="124">
        <v>0</v>
      </c>
      <c r="U40" s="124">
        <v>0</v>
      </c>
      <c r="V40" s="124">
        <v>0</v>
      </c>
      <c r="W40" s="123">
        <v>97.6</v>
      </c>
      <c r="X40" s="123">
        <v>0</v>
      </c>
      <c r="Y40" s="123">
        <v>5.95</v>
      </c>
      <c r="Z40" s="122">
        <v>1652</v>
      </c>
      <c r="AA40" s="122">
        <v>292.53746799999999</v>
      </c>
      <c r="AB40" s="122">
        <v>277.64705882352939</v>
      </c>
      <c r="AC40" s="122">
        <v>49.165961008403357</v>
      </c>
    </row>
    <row r="41" spans="1:29" x14ac:dyDescent="0.35">
      <c r="A41" s="120">
        <v>45156</v>
      </c>
      <c r="B41" s="124">
        <v>1</v>
      </c>
      <c r="C41" s="124">
        <v>0</v>
      </c>
      <c r="D41" s="124">
        <v>0</v>
      </c>
      <c r="E41" s="124">
        <v>0</v>
      </c>
      <c r="F41" s="124">
        <v>0</v>
      </c>
      <c r="G41" s="124">
        <v>1</v>
      </c>
      <c r="H41" s="124">
        <v>0</v>
      </c>
      <c r="I41" s="124">
        <v>0</v>
      </c>
      <c r="J41" s="124">
        <v>0</v>
      </c>
      <c r="K41" s="124">
        <v>0</v>
      </c>
      <c r="L41" s="124">
        <v>0</v>
      </c>
      <c r="M41" s="124">
        <v>0</v>
      </c>
      <c r="N41" s="124">
        <v>0</v>
      </c>
      <c r="O41" s="124">
        <v>1</v>
      </c>
      <c r="P41" s="124">
        <v>0</v>
      </c>
      <c r="Q41" s="124">
        <v>0</v>
      </c>
      <c r="R41" s="124">
        <v>0</v>
      </c>
      <c r="S41" s="124">
        <v>0</v>
      </c>
      <c r="T41" s="124">
        <v>1</v>
      </c>
      <c r="U41" s="124">
        <v>0</v>
      </c>
      <c r="V41" s="124">
        <v>1</v>
      </c>
      <c r="W41" s="123">
        <v>100.4</v>
      </c>
      <c r="X41" s="123">
        <v>0</v>
      </c>
      <c r="Y41" s="123">
        <v>5.166666666666667</v>
      </c>
      <c r="Z41" s="122">
        <v>1152.5</v>
      </c>
      <c r="AA41" s="122">
        <v>179.999664</v>
      </c>
      <c r="AB41" s="122">
        <v>223.06451612903226</v>
      </c>
      <c r="AC41" s="122">
        <v>34.838644645161288</v>
      </c>
    </row>
    <row r="42" spans="1:29" x14ac:dyDescent="0.35">
      <c r="A42" s="120">
        <v>45157</v>
      </c>
      <c r="B42" s="124">
        <v>1</v>
      </c>
      <c r="C42" s="124">
        <v>0</v>
      </c>
      <c r="D42" s="124">
        <v>0</v>
      </c>
      <c r="E42" s="124">
        <v>0</v>
      </c>
      <c r="F42" s="124">
        <v>0</v>
      </c>
      <c r="G42" s="124">
        <v>0</v>
      </c>
      <c r="H42" s="124">
        <v>1</v>
      </c>
      <c r="I42" s="124">
        <v>0</v>
      </c>
      <c r="J42" s="124">
        <v>0</v>
      </c>
      <c r="K42" s="124">
        <v>0</v>
      </c>
      <c r="L42" s="124">
        <v>0</v>
      </c>
      <c r="M42" s="124">
        <v>0</v>
      </c>
      <c r="N42" s="124">
        <v>0</v>
      </c>
      <c r="O42" s="124">
        <v>1</v>
      </c>
      <c r="P42" s="124">
        <v>0</v>
      </c>
      <c r="Q42" s="124">
        <v>0</v>
      </c>
      <c r="R42" s="124">
        <v>0</v>
      </c>
      <c r="S42" s="124">
        <v>0</v>
      </c>
      <c r="T42" s="124">
        <v>1</v>
      </c>
      <c r="U42" s="124">
        <v>0</v>
      </c>
      <c r="V42" s="124">
        <v>1</v>
      </c>
      <c r="W42" s="123">
        <v>100.7</v>
      </c>
      <c r="X42" s="123">
        <v>0</v>
      </c>
      <c r="Y42" s="123">
        <v>6.4666666666666668</v>
      </c>
      <c r="Z42" s="122">
        <v>1761.5</v>
      </c>
      <c r="AA42" s="122">
        <v>316.70870400000001</v>
      </c>
      <c r="AB42" s="122">
        <v>272.39690721649487</v>
      </c>
      <c r="AC42" s="122">
        <v>48.975572783505157</v>
      </c>
    </row>
    <row r="43" spans="1:29" x14ac:dyDescent="0.35">
      <c r="A43" s="120">
        <v>45159</v>
      </c>
      <c r="B43" s="124">
        <v>0</v>
      </c>
      <c r="C43" s="124">
        <v>0</v>
      </c>
      <c r="D43" s="124">
        <v>1</v>
      </c>
      <c r="E43" s="124">
        <v>0</v>
      </c>
      <c r="F43" s="124">
        <v>0</v>
      </c>
      <c r="G43" s="124">
        <v>0</v>
      </c>
      <c r="H43" s="124">
        <v>0</v>
      </c>
      <c r="I43" s="124">
        <v>0</v>
      </c>
      <c r="J43" s="124">
        <v>0</v>
      </c>
      <c r="K43" s="124">
        <v>0</v>
      </c>
      <c r="L43" s="124">
        <v>0</v>
      </c>
      <c r="M43" s="124">
        <v>0</v>
      </c>
      <c r="N43" s="124">
        <v>0</v>
      </c>
      <c r="O43" s="124">
        <v>1</v>
      </c>
      <c r="P43" s="124">
        <v>0</v>
      </c>
      <c r="Q43" s="124">
        <v>0</v>
      </c>
      <c r="R43" s="124">
        <v>0</v>
      </c>
      <c r="S43" s="124">
        <v>0</v>
      </c>
      <c r="T43" s="124">
        <v>0</v>
      </c>
      <c r="U43" s="124">
        <v>0</v>
      </c>
      <c r="V43" s="124">
        <v>1</v>
      </c>
      <c r="W43" s="123">
        <v>95.1</v>
      </c>
      <c r="X43" s="123">
        <v>0</v>
      </c>
      <c r="Y43" s="123">
        <v>4.7833333333333332</v>
      </c>
      <c r="Z43" s="122">
        <v>910</v>
      </c>
      <c r="AA43" s="122">
        <v>148.91608400000001</v>
      </c>
      <c r="AB43" s="122">
        <v>190.2439024390244</v>
      </c>
      <c r="AC43" s="122">
        <v>31.132282369337982</v>
      </c>
    </row>
    <row r="44" spans="1:29" x14ac:dyDescent="0.35">
      <c r="A44" s="120">
        <v>45160</v>
      </c>
      <c r="B44" s="124">
        <v>0</v>
      </c>
      <c r="C44" s="124">
        <v>0</v>
      </c>
      <c r="D44" s="124">
        <v>0</v>
      </c>
      <c r="E44" s="124">
        <v>0</v>
      </c>
      <c r="F44" s="124">
        <v>0</v>
      </c>
      <c r="G44" s="124">
        <v>0</v>
      </c>
      <c r="H44" s="124">
        <v>0</v>
      </c>
      <c r="I44" s="124">
        <v>0</v>
      </c>
      <c r="J44" s="124">
        <v>0</v>
      </c>
      <c r="K44" s="124">
        <v>0</v>
      </c>
      <c r="L44" s="124">
        <v>0</v>
      </c>
      <c r="M44" s="124">
        <v>0</v>
      </c>
      <c r="N44" s="124">
        <v>0</v>
      </c>
      <c r="O44" s="124">
        <v>1</v>
      </c>
      <c r="P44" s="124">
        <v>0</v>
      </c>
      <c r="Q44" s="124">
        <v>0</v>
      </c>
      <c r="R44" s="124">
        <v>0</v>
      </c>
      <c r="S44" s="124">
        <v>0</v>
      </c>
      <c r="T44" s="124">
        <v>0</v>
      </c>
      <c r="U44" s="124">
        <v>0</v>
      </c>
      <c r="V44" s="124">
        <v>1</v>
      </c>
      <c r="W44" s="123">
        <v>91.4</v>
      </c>
      <c r="X44" s="123">
        <v>1.4E-2</v>
      </c>
      <c r="Y44" s="123">
        <v>5.5666666666666664</v>
      </c>
      <c r="Z44" s="122">
        <v>942</v>
      </c>
      <c r="AA44" s="122">
        <v>169.04360800000001</v>
      </c>
      <c r="AB44" s="122">
        <v>169.22155688622755</v>
      </c>
      <c r="AC44" s="122">
        <v>30.367115209580842</v>
      </c>
    </row>
    <row r="45" spans="1:29" x14ac:dyDescent="0.35">
      <c r="A45" s="120">
        <v>45160</v>
      </c>
      <c r="B45" s="124">
        <v>1</v>
      </c>
      <c r="C45" s="124">
        <v>0</v>
      </c>
      <c r="D45" s="124">
        <v>0</v>
      </c>
      <c r="E45" s="124">
        <v>0</v>
      </c>
      <c r="F45" s="124">
        <v>0</v>
      </c>
      <c r="G45" s="124">
        <v>0</v>
      </c>
      <c r="H45" s="124">
        <v>0</v>
      </c>
      <c r="I45" s="124">
        <v>0</v>
      </c>
      <c r="J45" s="124">
        <v>0</v>
      </c>
      <c r="K45" s="124">
        <v>0</v>
      </c>
      <c r="L45" s="124">
        <v>0</v>
      </c>
      <c r="M45" s="124">
        <v>0</v>
      </c>
      <c r="N45" s="124">
        <v>0</v>
      </c>
      <c r="O45" s="124">
        <v>1</v>
      </c>
      <c r="P45" s="124">
        <v>0</v>
      </c>
      <c r="Q45" s="124">
        <v>0</v>
      </c>
      <c r="R45" s="124">
        <v>0</v>
      </c>
      <c r="S45" s="124">
        <v>0</v>
      </c>
      <c r="T45" s="124">
        <v>0</v>
      </c>
      <c r="U45" s="124">
        <v>0</v>
      </c>
      <c r="V45" s="124">
        <v>1</v>
      </c>
      <c r="W45" s="123">
        <v>91.4</v>
      </c>
      <c r="X45" s="123">
        <v>1.4E-2</v>
      </c>
      <c r="Y45" s="123">
        <v>3.95</v>
      </c>
      <c r="Z45" s="122">
        <v>405</v>
      </c>
      <c r="AA45" s="122">
        <v>65.265259999999998</v>
      </c>
      <c r="AB45" s="122">
        <v>102.53164556962025</v>
      </c>
      <c r="AC45" s="122">
        <v>16.522850632911393</v>
      </c>
    </row>
    <row r="46" spans="1:29" x14ac:dyDescent="0.35">
      <c r="A46" s="120">
        <v>45161</v>
      </c>
      <c r="B46" s="124">
        <v>0</v>
      </c>
      <c r="C46" s="124">
        <v>0</v>
      </c>
      <c r="D46" s="124">
        <v>0</v>
      </c>
      <c r="E46" s="124">
        <v>1</v>
      </c>
      <c r="F46" s="124">
        <v>0</v>
      </c>
      <c r="G46" s="124">
        <v>0</v>
      </c>
      <c r="H46" s="124">
        <v>0</v>
      </c>
      <c r="I46" s="124">
        <v>0</v>
      </c>
      <c r="J46" s="124">
        <v>0</v>
      </c>
      <c r="K46" s="124">
        <v>0</v>
      </c>
      <c r="L46" s="124">
        <v>0</v>
      </c>
      <c r="M46" s="124">
        <v>0</v>
      </c>
      <c r="N46" s="124">
        <v>0</v>
      </c>
      <c r="O46" s="124">
        <v>1</v>
      </c>
      <c r="P46" s="124">
        <v>0</v>
      </c>
      <c r="Q46" s="124">
        <v>0</v>
      </c>
      <c r="R46" s="124">
        <v>0</v>
      </c>
      <c r="S46" s="124">
        <v>0</v>
      </c>
      <c r="T46" s="124">
        <v>0</v>
      </c>
      <c r="U46" s="124">
        <v>0</v>
      </c>
      <c r="V46" s="124">
        <v>1</v>
      </c>
      <c r="W46" s="123">
        <v>98.8</v>
      </c>
      <c r="X46" s="123">
        <v>0</v>
      </c>
      <c r="Y46" s="123">
        <v>3.45</v>
      </c>
      <c r="Z46" s="122">
        <v>524</v>
      </c>
      <c r="AA46" s="122">
        <v>82.299660000000003</v>
      </c>
      <c r="AB46" s="122">
        <v>151.88405797101447</v>
      </c>
      <c r="AC46" s="122">
        <v>23.854973913043477</v>
      </c>
    </row>
    <row r="47" spans="1:29" x14ac:dyDescent="0.35">
      <c r="A47" s="120">
        <v>45161</v>
      </c>
      <c r="B47" s="124">
        <v>1</v>
      </c>
      <c r="C47" s="124">
        <v>0</v>
      </c>
      <c r="D47" s="124">
        <v>0</v>
      </c>
      <c r="E47" s="124">
        <v>1</v>
      </c>
      <c r="F47" s="124">
        <v>0</v>
      </c>
      <c r="G47" s="124">
        <v>0</v>
      </c>
      <c r="H47" s="124">
        <v>0</v>
      </c>
      <c r="I47" s="124">
        <v>0</v>
      </c>
      <c r="J47" s="124">
        <v>0</v>
      </c>
      <c r="K47" s="124">
        <v>0</v>
      </c>
      <c r="L47" s="124">
        <v>0</v>
      </c>
      <c r="M47" s="124">
        <v>0</v>
      </c>
      <c r="N47" s="124">
        <v>0</v>
      </c>
      <c r="O47" s="124">
        <v>1</v>
      </c>
      <c r="P47" s="124">
        <v>0</v>
      </c>
      <c r="Q47" s="124">
        <v>0</v>
      </c>
      <c r="R47" s="124">
        <v>0</v>
      </c>
      <c r="S47" s="124">
        <v>0</v>
      </c>
      <c r="T47" s="124">
        <v>0</v>
      </c>
      <c r="U47" s="124">
        <v>0</v>
      </c>
      <c r="V47" s="124">
        <v>1</v>
      </c>
      <c r="W47" s="123">
        <v>98.8</v>
      </c>
      <c r="X47" s="123">
        <v>0</v>
      </c>
      <c r="Y47" s="123">
        <v>3.55</v>
      </c>
      <c r="Z47" s="122">
        <v>857.5</v>
      </c>
      <c r="AA47" s="122">
        <v>151.97421999999997</v>
      </c>
      <c r="AB47" s="122">
        <v>241.5492957746479</v>
      </c>
      <c r="AC47" s="122">
        <v>42.809639436619712</v>
      </c>
    </row>
    <row r="48" spans="1:29" x14ac:dyDescent="0.35">
      <c r="A48" s="120">
        <v>45163</v>
      </c>
      <c r="B48" s="124">
        <v>1</v>
      </c>
      <c r="C48" s="124">
        <v>0</v>
      </c>
      <c r="D48" s="124">
        <v>0</v>
      </c>
      <c r="E48" s="124">
        <v>0</v>
      </c>
      <c r="F48" s="124">
        <v>0</v>
      </c>
      <c r="G48" s="124">
        <v>1</v>
      </c>
      <c r="H48" s="124">
        <v>0</v>
      </c>
      <c r="I48" s="124">
        <v>0</v>
      </c>
      <c r="J48" s="124">
        <v>0</v>
      </c>
      <c r="K48" s="124">
        <v>0</v>
      </c>
      <c r="L48" s="124">
        <v>0</v>
      </c>
      <c r="M48" s="124">
        <v>0</v>
      </c>
      <c r="N48" s="124">
        <v>0</v>
      </c>
      <c r="O48" s="124">
        <v>1</v>
      </c>
      <c r="P48" s="124">
        <v>0</v>
      </c>
      <c r="Q48" s="124">
        <v>0</v>
      </c>
      <c r="R48" s="124">
        <v>0</v>
      </c>
      <c r="S48" s="124">
        <v>0</v>
      </c>
      <c r="T48" s="124">
        <v>1</v>
      </c>
      <c r="U48" s="124">
        <v>0</v>
      </c>
      <c r="V48" s="124">
        <v>0</v>
      </c>
      <c r="W48" s="123">
        <v>98.7</v>
      </c>
      <c r="X48" s="123">
        <v>0</v>
      </c>
      <c r="Y48" s="123">
        <v>5.166666666666667</v>
      </c>
      <c r="Z48" s="122">
        <v>1320.5</v>
      </c>
      <c r="AA48" s="122">
        <v>225.458944</v>
      </c>
      <c r="AB48" s="122">
        <v>255.58064516129031</v>
      </c>
      <c r="AC48" s="122">
        <v>43.637214967741933</v>
      </c>
    </row>
    <row r="49" spans="1:29" x14ac:dyDescent="0.35">
      <c r="A49" s="120">
        <v>45164</v>
      </c>
      <c r="B49" s="124">
        <v>0</v>
      </c>
      <c r="C49" s="124">
        <v>0</v>
      </c>
      <c r="D49" s="124">
        <v>0</v>
      </c>
      <c r="E49" s="124">
        <v>0</v>
      </c>
      <c r="F49" s="124">
        <v>0</v>
      </c>
      <c r="G49" s="124">
        <v>0</v>
      </c>
      <c r="H49" s="124">
        <v>1</v>
      </c>
      <c r="I49" s="124">
        <v>0</v>
      </c>
      <c r="J49" s="124">
        <v>0</v>
      </c>
      <c r="K49" s="124">
        <v>0</v>
      </c>
      <c r="L49" s="124">
        <v>0</v>
      </c>
      <c r="M49" s="124">
        <v>0</v>
      </c>
      <c r="N49" s="124">
        <v>0</v>
      </c>
      <c r="O49" s="124">
        <v>1</v>
      </c>
      <c r="P49" s="124">
        <v>0</v>
      </c>
      <c r="Q49" s="124">
        <v>0</v>
      </c>
      <c r="R49" s="124">
        <v>0</v>
      </c>
      <c r="S49" s="124">
        <v>0</v>
      </c>
      <c r="T49" s="124">
        <v>1</v>
      </c>
      <c r="U49" s="124">
        <v>0</v>
      </c>
      <c r="V49" s="124">
        <v>0</v>
      </c>
      <c r="W49" s="123">
        <v>101.4</v>
      </c>
      <c r="X49" s="123">
        <v>0</v>
      </c>
      <c r="Y49" s="123">
        <v>4.583333333333333</v>
      </c>
      <c r="Z49" s="122">
        <v>510</v>
      </c>
      <c r="AA49" s="122">
        <v>90.991011999999998</v>
      </c>
      <c r="AB49" s="122">
        <v>111.27272727272728</v>
      </c>
      <c r="AC49" s="122">
        <v>19.852584436363639</v>
      </c>
    </row>
    <row r="50" spans="1:29" x14ac:dyDescent="0.35">
      <c r="A50" s="120">
        <v>45164</v>
      </c>
      <c r="B50" s="124">
        <v>1</v>
      </c>
      <c r="C50" s="124">
        <v>0</v>
      </c>
      <c r="D50" s="124">
        <v>0</v>
      </c>
      <c r="E50" s="124">
        <v>0</v>
      </c>
      <c r="F50" s="124">
        <v>0</v>
      </c>
      <c r="G50" s="124">
        <v>0</v>
      </c>
      <c r="H50" s="124">
        <v>1</v>
      </c>
      <c r="I50" s="124">
        <v>0</v>
      </c>
      <c r="J50" s="124">
        <v>0</v>
      </c>
      <c r="K50" s="124">
        <v>0</v>
      </c>
      <c r="L50" s="124">
        <v>0</v>
      </c>
      <c r="M50" s="124">
        <v>0</v>
      </c>
      <c r="N50" s="124">
        <v>0</v>
      </c>
      <c r="O50" s="124">
        <v>1</v>
      </c>
      <c r="P50" s="124">
        <v>0</v>
      </c>
      <c r="Q50" s="124">
        <v>0</v>
      </c>
      <c r="R50" s="124">
        <v>0</v>
      </c>
      <c r="S50" s="124">
        <v>0</v>
      </c>
      <c r="T50" s="124">
        <v>1</v>
      </c>
      <c r="U50" s="124">
        <v>0</v>
      </c>
      <c r="V50" s="124">
        <v>0</v>
      </c>
      <c r="W50" s="123">
        <v>101.4</v>
      </c>
      <c r="X50" s="123">
        <v>0</v>
      </c>
      <c r="Y50" s="123">
        <v>4.9833333333333334</v>
      </c>
      <c r="Z50" s="122">
        <v>1345.5</v>
      </c>
      <c r="AA50" s="122">
        <v>232.13966000000002</v>
      </c>
      <c r="AB50" s="122">
        <v>270</v>
      </c>
      <c r="AC50" s="122">
        <v>46.583209364548502</v>
      </c>
    </row>
    <row r="51" spans="1:29" x14ac:dyDescent="0.35">
      <c r="A51" s="120">
        <v>45165</v>
      </c>
      <c r="B51" s="124">
        <v>0</v>
      </c>
      <c r="C51" s="124">
        <v>1</v>
      </c>
      <c r="D51" s="124">
        <v>0</v>
      </c>
      <c r="E51" s="124">
        <v>0</v>
      </c>
      <c r="F51" s="124">
        <v>0</v>
      </c>
      <c r="G51" s="124">
        <v>0</v>
      </c>
      <c r="H51" s="124">
        <v>0</v>
      </c>
      <c r="I51" s="124">
        <v>0</v>
      </c>
      <c r="J51" s="124">
        <v>0</v>
      </c>
      <c r="K51" s="124">
        <v>0</v>
      </c>
      <c r="L51" s="124">
        <v>0</v>
      </c>
      <c r="M51" s="124">
        <v>0</v>
      </c>
      <c r="N51" s="124">
        <v>0</v>
      </c>
      <c r="O51" s="124">
        <v>1</v>
      </c>
      <c r="P51" s="124">
        <v>0</v>
      </c>
      <c r="Q51" s="124">
        <v>0</v>
      </c>
      <c r="R51" s="124">
        <v>0</v>
      </c>
      <c r="S51" s="124">
        <v>0</v>
      </c>
      <c r="T51" s="124">
        <v>1</v>
      </c>
      <c r="U51" s="124">
        <v>0</v>
      </c>
      <c r="V51" s="124">
        <v>0</v>
      </c>
      <c r="W51" s="123">
        <v>105.9</v>
      </c>
      <c r="X51" s="123">
        <v>1E-3</v>
      </c>
      <c r="Y51" s="123">
        <v>4.0583333333333336</v>
      </c>
      <c r="Z51" s="122">
        <v>1029.75</v>
      </c>
      <c r="AA51" s="122">
        <v>167.970966</v>
      </c>
      <c r="AB51" s="122">
        <v>253.73716632443529</v>
      </c>
      <c r="AC51" s="122">
        <v>41.389149733059547</v>
      </c>
    </row>
    <row r="52" spans="1:29" x14ac:dyDescent="0.35">
      <c r="A52" s="120">
        <v>45165</v>
      </c>
      <c r="B52" s="124">
        <v>1</v>
      </c>
      <c r="C52" s="124">
        <v>1</v>
      </c>
      <c r="D52" s="124">
        <v>0</v>
      </c>
      <c r="E52" s="124">
        <v>0</v>
      </c>
      <c r="F52" s="124">
        <v>0</v>
      </c>
      <c r="G52" s="124">
        <v>0</v>
      </c>
      <c r="H52" s="124">
        <v>0</v>
      </c>
      <c r="I52" s="124">
        <v>0</v>
      </c>
      <c r="J52" s="124">
        <v>0</v>
      </c>
      <c r="K52" s="124">
        <v>0</v>
      </c>
      <c r="L52" s="124">
        <v>0</v>
      </c>
      <c r="M52" s="124">
        <v>0</v>
      </c>
      <c r="N52" s="124">
        <v>0</v>
      </c>
      <c r="O52" s="124">
        <v>1</v>
      </c>
      <c r="P52" s="124">
        <v>0</v>
      </c>
      <c r="Q52" s="124">
        <v>0</v>
      </c>
      <c r="R52" s="124">
        <v>0</v>
      </c>
      <c r="S52" s="124">
        <v>0</v>
      </c>
      <c r="T52" s="124">
        <v>1</v>
      </c>
      <c r="U52" s="124">
        <v>0</v>
      </c>
      <c r="V52" s="124">
        <v>0</v>
      </c>
      <c r="W52" s="123">
        <v>105.9</v>
      </c>
      <c r="X52" s="123">
        <v>1E-3</v>
      </c>
      <c r="Y52" s="123">
        <v>4.05</v>
      </c>
      <c r="Z52" s="122">
        <v>1029.75</v>
      </c>
      <c r="AA52" s="122">
        <v>156.953216</v>
      </c>
      <c r="AB52" s="122">
        <v>254.25925925925927</v>
      </c>
      <c r="AC52" s="122">
        <v>38.753880493827161</v>
      </c>
    </row>
    <row r="53" spans="1:29" x14ac:dyDescent="0.35">
      <c r="A53" s="120">
        <v>45166</v>
      </c>
      <c r="B53" s="124">
        <v>0</v>
      </c>
      <c r="C53" s="124">
        <v>0</v>
      </c>
      <c r="D53" s="124">
        <v>1</v>
      </c>
      <c r="E53" s="124">
        <v>0</v>
      </c>
      <c r="F53" s="124">
        <v>0</v>
      </c>
      <c r="G53" s="124">
        <v>0</v>
      </c>
      <c r="H53" s="124">
        <v>0</v>
      </c>
      <c r="I53" s="124">
        <v>0</v>
      </c>
      <c r="J53" s="124">
        <v>0</v>
      </c>
      <c r="K53" s="124">
        <v>0</v>
      </c>
      <c r="L53" s="124">
        <v>0</v>
      </c>
      <c r="M53" s="124">
        <v>0</v>
      </c>
      <c r="N53" s="124">
        <v>0</v>
      </c>
      <c r="O53" s="124">
        <v>1</v>
      </c>
      <c r="P53" s="124">
        <v>0</v>
      </c>
      <c r="Q53" s="124">
        <v>0</v>
      </c>
      <c r="R53" s="124">
        <v>0</v>
      </c>
      <c r="S53" s="124">
        <v>0</v>
      </c>
      <c r="T53" s="124">
        <v>0</v>
      </c>
      <c r="U53" s="124">
        <v>0</v>
      </c>
      <c r="V53" s="124">
        <v>0</v>
      </c>
      <c r="W53" s="123">
        <v>95.2</v>
      </c>
      <c r="X53" s="123">
        <v>0</v>
      </c>
      <c r="Y53" s="123">
        <v>2.9833333333333334</v>
      </c>
      <c r="Z53" s="122">
        <v>281</v>
      </c>
      <c r="AA53" s="122">
        <v>52.754260000000002</v>
      </c>
      <c r="AB53" s="122">
        <v>94.189944134078203</v>
      </c>
      <c r="AC53" s="122">
        <v>17.682992178770949</v>
      </c>
    </row>
    <row r="54" spans="1:29" x14ac:dyDescent="0.35">
      <c r="A54" s="120">
        <v>45166</v>
      </c>
      <c r="B54" s="124">
        <v>1</v>
      </c>
      <c r="C54" s="124">
        <v>0</v>
      </c>
      <c r="D54" s="124">
        <v>1</v>
      </c>
      <c r="E54" s="124">
        <v>0</v>
      </c>
      <c r="F54" s="124">
        <v>0</v>
      </c>
      <c r="G54" s="124">
        <v>0</v>
      </c>
      <c r="H54" s="124">
        <v>0</v>
      </c>
      <c r="I54" s="124">
        <v>0</v>
      </c>
      <c r="J54" s="124">
        <v>0</v>
      </c>
      <c r="K54" s="124">
        <v>0</v>
      </c>
      <c r="L54" s="124">
        <v>0</v>
      </c>
      <c r="M54" s="124">
        <v>0</v>
      </c>
      <c r="N54" s="124">
        <v>0</v>
      </c>
      <c r="O54" s="124">
        <v>1</v>
      </c>
      <c r="P54" s="124">
        <v>0</v>
      </c>
      <c r="Q54" s="124">
        <v>0</v>
      </c>
      <c r="R54" s="124">
        <v>0</v>
      </c>
      <c r="S54" s="124">
        <v>0</v>
      </c>
      <c r="T54" s="124">
        <v>0</v>
      </c>
      <c r="U54" s="124">
        <v>0</v>
      </c>
      <c r="V54" s="124">
        <v>0</v>
      </c>
      <c r="W54" s="123">
        <v>95.2</v>
      </c>
      <c r="X54" s="123">
        <v>0</v>
      </c>
      <c r="Y54" s="123">
        <v>2.5</v>
      </c>
      <c r="Z54" s="122">
        <v>131</v>
      </c>
      <c r="AA54" s="122">
        <v>25.844839999999998</v>
      </c>
      <c r="AB54" s="122">
        <v>52.4</v>
      </c>
      <c r="AC54" s="122">
        <v>10.337935999999999</v>
      </c>
    </row>
    <row r="55" spans="1:29" x14ac:dyDescent="0.35">
      <c r="A55" s="120">
        <v>45168</v>
      </c>
      <c r="B55" s="124">
        <v>0</v>
      </c>
      <c r="C55" s="124">
        <v>0</v>
      </c>
      <c r="D55" s="124">
        <v>0</v>
      </c>
      <c r="E55" s="124">
        <v>1</v>
      </c>
      <c r="F55" s="124">
        <v>0</v>
      </c>
      <c r="G55" s="124">
        <v>0</v>
      </c>
      <c r="H55" s="124">
        <v>0</v>
      </c>
      <c r="I55" s="124">
        <v>0</v>
      </c>
      <c r="J55" s="124">
        <v>0</v>
      </c>
      <c r="K55" s="124">
        <v>0</v>
      </c>
      <c r="L55" s="124">
        <v>0</v>
      </c>
      <c r="M55" s="124">
        <v>0</v>
      </c>
      <c r="N55" s="124">
        <v>0</v>
      </c>
      <c r="O55" s="124">
        <v>1</v>
      </c>
      <c r="P55" s="124">
        <v>0</v>
      </c>
      <c r="Q55" s="124">
        <v>0</v>
      </c>
      <c r="R55" s="124">
        <v>0</v>
      </c>
      <c r="S55" s="124">
        <v>0</v>
      </c>
      <c r="T55" s="124">
        <v>0</v>
      </c>
      <c r="U55" s="124">
        <v>0</v>
      </c>
      <c r="V55" s="124">
        <v>0</v>
      </c>
      <c r="W55" s="123">
        <v>96.1</v>
      </c>
      <c r="X55" s="123">
        <v>0</v>
      </c>
      <c r="Y55" s="123">
        <v>3.55</v>
      </c>
      <c r="Z55" s="122">
        <v>787</v>
      </c>
      <c r="AA55" s="122">
        <v>114.16381999999999</v>
      </c>
      <c r="AB55" s="122">
        <v>221.69014084507043</v>
      </c>
      <c r="AC55" s="122">
        <v>32.158822535211264</v>
      </c>
    </row>
    <row r="56" spans="1:29" x14ac:dyDescent="0.35">
      <c r="A56" s="120">
        <v>45168</v>
      </c>
      <c r="B56" s="124">
        <v>1</v>
      </c>
      <c r="C56" s="124">
        <v>0</v>
      </c>
      <c r="D56" s="124">
        <v>0</v>
      </c>
      <c r="E56" s="124">
        <v>1</v>
      </c>
      <c r="F56" s="124">
        <v>0</v>
      </c>
      <c r="G56" s="124">
        <v>0</v>
      </c>
      <c r="H56" s="124">
        <v>0</v>
      </c>
      <c r="I56" s="124">
        <v>0</v>
      </c>
      <c r="J56" s="124">
        <v>0</v>
      </c>
      <c r="K56" s="124">
        <v>0</v>
      </c>
      <c r="L56" s="124">
        <v>0</v>
      </c>
      <c r="M56" s="124">
        <v>0</v>
      </c>
      <c r="N56" s="124">
        <v>0</v>
      </c>
      <c r="O56" s="124">
        <v>1</v>
      </c>
      <c r="P56" s="124">
        <v>0</v>
      </c>
      <c r="Q56" s="124">
        <v>0</v>
      </c>
      <c r="R56" s="124">
        <v>0</v>
      </c>
      <c r="S56" s="124">
        <v>0</v>
      </c>
      <c r="T56" s="124">
        <v>0</v>
      </c>
      <c r="U56" s="124">
        <v>0</v>
      </c>
      <c r="V56" s="124">
        <v>0</v>
      </c>
      <c r="W56" s="123">
        <v>96.1</v>
      </c>
      <c r="X56" s="123">
        <v>0</v>
      </c>
      <c r="Y56" s="123">
        <v>4.45</v>
      </c>
      <c r="Z56" s="122">
        <v>954.5</v>
      </c>
      <c r="AA56" s="122">
        <v>126.29014799999999</v>
      </c>
      <c r="AB56" s="122">
        <v>214.49438202247191</v>
      </c>
      <c r="AC56" s="122">
        <v>28.37980853932584</v>
      </c>
    </row>
    <row r="57" spans="1:29" x14ac:dyDescent="0.35">
      <c r="A57" s="120">
        <v>45171</v>
      </c>
      <c r="B57" s="124">
        <v>1</v>
      </c>
      <c r="C57" s="124">
        <v>0</v>
      </c>
      <c r="D57" s="124">
        <v>0</v>
      </c>
      <c r="E57" s="124">
        <v>0</v>
      </c>
      <c r="F57" s="124">
        <v>0</v>
      </c>
      <c r="G57" s="124">
        <v>0</v>
      </c>
      <c r="H57" s="124">
        <v>1</v>
      </c>
      <c r="I57" s="124">
        <v>0</v>
      </c>
      <c r="J57" s="124">
        <v>0</v>
      </c>
      <c r="K57" s="124">
        <v>0</v>
      </c>
      <c r="L57" s="124">
        <v>0</v>
      </c>
      <c r="M57" s="124">
        <v>0</v>
      </c>
      <c r="N57" s="124">
        <v>0</v>
      </c>
      <c r="O57" s="124">
        <v>0</v>
      </c>
      <c r="P57" s="124">
        <v>1</v>
      </c>
      <c r="Q57" s="124">
        <v>0</v>
      </c>
      <c r="R57" s="124">
        <v>0</v>
      </c>
      <c r="S57" s="124">
        <v>0</v>
      </c>
      <c r="T57" s="124">
        <v>1</v>
      </c>
      <c r="U57" s="124">
        <v>0</v>
      </c>
      <c r="V57" s="124">
        <v>1</v>
      </c>
      <c r="W57" s="123">
        <v>96.8</v>
      </c>
      <c r="X57" s="123">
        <v>0</v>
      </c>
      <c r="Y57" s="123">
        <v>7.4</v>
      </c>
      <c r="Z57" s="122">
        <v>1714</v>
      </c>
      <c r="AA57" s="122">
        <v>318.34183999999999</v>
      </c>
      <c r="AB57" s="122">
        <v>231.62162162162161</v>
      </c>
      <c r="AC57" s="122">
        <v>43.019167567567564</v>
      </c>
    </row>
    <row r="58" spans="1:29" x14ac:dyDescent="0.35">
      <c r="A58" s="120">
        <v>45172</v>
      </c>
      <c r="B58" s="124">
        <v>1</v>
      </c>
      <c r="C58" s="124">
        <v>1</v>
      </c>
      <c r="D58" s="124">
        <v>0</v>
      </c>
      <c r="E58" s="124">
        <v>0</v>
      </c>
      <c r="F58" s="124">
        <v>0</v>
      </c>
      <c r="G58" s="124">
        <v>0</v>
      </c>
      <c r="H58" s="124">
        <v>0</v>
      </c>
      <c r="I58" s="124">
        <v>0</v>
      </c>
      <c r="J58" s="124">
        <v>0</v>
      </c>
      <c r="K58" s="124">
        <v>0</v>
      </c>
      <c r="L58" s="124">
        <v>0</v>
      </c>
      <c r="M58" s="124">
        <v>0</v>
      </c>
      <c r="N58" s="124">
        <v>0</v>
      </c>
      <c r="O58" s="124">
        <v>0</v>
      </c>
      <c r="P58" s="124">
        <v>1</v>
      </c>
      <c r="Q58" s="124">
        <v>0</v>
      </c>
      <c r="R58" s="124">
        <v>0</v>
      </c>
      <c r="S58" s="124">
        <v>0</v>
      </c>
      <c r="T58" s="124">
        <v>1</v>
      </c>
      <c r="U58" s="124">
        <v>0</v>
      </c>
      <c r="V58" s="124">
        <v>1</v>
      </c>
      <c r="W58" s="123">
        <v>95.8</v>
      </c>
      <c r="X58" s="123">
        <v>0</v>
      </c>
      <c r="Y58" s="123">
        <v>5.25</v>
      </c>
      <c r="Z58" s="122">
        <v>1227.5</v>
      </c>
      <c r="AA58" s="122">
        <v>192.6677</v>
      </c>
      <c r="AB58" s="122">
        <v>233.8095238095238</v>
      </c>
      <c r="AC58" s="122">
        <v>36.698609523809523</v>
      </c>
    </row>
    <row r="59" spans="1:29" x14ac:dyDescent="0.35">
      <c r="A59" s="120">
        <v>45173</v>
      </c>
      <c r="B59" s="124">
        <v>1</v>
      </c>
      <c r="C59" s="124">
        <v>0</v>
      </c>
      <c r="D59" s="124">
        <v>1</v>
      </c>
      <c r="E59" s="124">
        <v>0</v>
      </c>
      <c r="F59" s="124">
        <v>0</v>
      </c>
      <c r="G59" s="124">
        <v>0</v>
      </c>
      <c r="H59" s="124">
        <v>0</v>
      </c>
      <c r="I59" s="124">
        <v>0</v>
      </c>
      <c r="J59" s="124">
        <v>0</v>
      </c>
      <c r="K59" s="124">
        <v>0</v>
      </c>
      <c r="L59" s="124">
        <v>0</v>
      </c>
      <c r="M59" s="124">
        <v>0</v>
      </c>
      <c r="N59" s="124">
        <v>0</v>
      </c>
      <c r="O59" s="124">
        <v>0</v>
      </c>
      <c r="P59" s="124">
        <v>1</v>
      </c>
      <c r="Q59" s="124">
        <v>0</v>
      </c>
      <c r="R59" s="124">
        <v>0</v>
      </c>
      <c r="S59" s="124">
        <v>0</v>
      </c>
      <c r="T59" s="124">
        <v>0</v>
      </c>
      <c r="U59" s="124">
        <v>0</v>
      </c>
      <c r="V59" s="124">
        <v>0</v>
      </c>
      <c r="W59" s="123">
        <v>92.5</v>
      </c>
      <c r="X59" s="123">
        <v>4.4999999999999998E-2</v>
      </c>
      <c r="Y59" s="123">
        <v>5.9333333333333336</v>
      </c>
      <c r="Z59" s="122">
        <v>1301.5</v>
      </c>
      <c r="AA59" s="122">
        <v>195.94261600000002</v>
      </c>
      <c r="AB59" s="122">
        <v>219.35393258426964</v>
      </c>
      <c r="AC59" s="122">
        <v>33.024036404494382</v>
      </c>
    </row>
    <row r="60" spans="1:29" x14ac:dyDescent="0.35">
      <c r="A60" s="120">
        <v>45174</v>
      </c>
      <c r="B60" s="124">
        <v>1</v>
      </c>
      <c r="C60" s="124">
        <v>0</v>
      </c>
      <c r="D60" s="124">
        <v>0</v>
      </c>
      <c r="E60" s="124">
        <v>0</v>
      </c>
      <c r="F60" s="124">
        <v>0</v>
      </c>
      <c r="G60" s="124">
        <v>0</v>
      </c>
      <c r="H60" s="124">
        <v>0</v>
      </c>
      <c r="I60" s="124">
        <v>0</v>
      </c>
      <c r="J60" s="124">
        <v>0</v>
      </c>
      <c r="K60" s="124">
        <v>0</v>
      </c>
      <c r="L60" s="124">
        <v>0</v>
      </c>
      <c r="M60" s="124">
        <v>0</v>
      </c>
      <c r="N60" s="124">
        <v>0</v>
      </c>
      <c r="O60" s="124">
        <v>0</v>
      </c>
      <c r="P60" s="124">
        <v>1</v>
      </c>
      <c r="Q60" s="124">
        <v>0</v>
      </c>
      <c r="R60" s="124">
        <v>0</v>
      </c>
      <c r="S60" s="124">
        <v>0</v>
      </c>
      <c r="T60" s="124">
        <v>0</v>
      </c>
      <c r="U60" s="124">
        <v>0</v>
      </c>
      <c r="V60" s="124">
        <v>0</v>
      </c>
      <c r="W60" s="123">
        <v>95.8</v>
      </c>
      <c r="X60" s="123">
        <v>6.0000000000000001E-3</v>
      </c>
      <c r="Y60" s="123">
        <v>6.1</v>
      </c>
      <c r="Z60" s="122">
        <v>950</v>
      </c>
      <c r="AA60" s="122">
        <v>149.30824799999999</v>
      </c>
      <c r="AB60" s="122">
        <v>155.73770491803279</v>
      </c>
      <c r="AC60" s="122">
        <v>24.476761967213115</v>
      </c>
    </row>
    <row r="61" spans="1:29" x14ac:dyDescent="0.35">
      <c r="A61" s="120">
        <v>45175</v>
      </c>
      <c r="B61" s="124">
        <v>0</v>
      </c>
      <c r="C61" s="124">
        <v>0</v>
      </c>
      <c r="D61" s="124">
        <v>0</v>
      </c>
      <c r="E61" s="124">
        <v>1</v>
      </c>
      <c r="F61" s="124">
        <v>0</v>
      </c>
      <c r="G61" s="124">
        <v>0</v>
      </c>
      <c r="H61" s="124">
        <v>0</v>
      </c>
      <c r="I61" s="124">
        <v>0</v>
      </c>
      <c r="J61" s="124">
        <v>0</v>
      </c>
      <c r="K61" s="124">
        <v>0</v>
      </c>
      <c r="L61" s="124">
        <v>0</v>
      </c>
      <c r="M61" s="124">
        <v>0</v>
      </c>
      <c r="N61" s="124">
        <v>0</v>
      </c>
      <c r="O61" s="124">
        <v>0</v>
      </c>
      <c r="P61" s="124">
        <v>1</v>
      </c>
      <c r="Q61" s="124">
        <v>0</v>
      </c>
      <c r="R61" s="124">
        <v>0</v>
      </c>
      <c r="S61" s="124">
        <v>0</v>
      </c>
      <c r="T61" s="124">
        <v>0</v>
      </c>
      <c r="U61" s="124">
        <v>0</v>
      </c>
      <c r="V61" s="124">
        <v>0</v>
      </c>
      <c r="W61" s="123">
        <v>98.6</v>
      </c>
      <c r="X61" s="123">
        <v>0</v>
      </c>
      <c r="Y61" s="123">
        <v>2.6666666666666665</v>
      </c>
      <c r="Z61" s="122">
        <v>223</v>
      </c>
      <c r="AA61" s="122">
        <v>42.626280000000001</v>
      </c>
      <c r="AB61" s="122">
        <v>83.625</v>
      </c>
      <c r="AC61" s="122">
        <v>15.984855000000001</v>
      </c>
    </row>
    <row r="62" spans="1:29" x14ac:dyDescent="0.35">
      <c r="A62" s="120">
        <v>45177</v>
      </c>
      <c r="B62" s="124">
        <v>1</v>
      </c>
      <c r="C62" s="124">
        <v>0</v>
      </c>
      <c r="D62" s="124">
        <v>0</v>
      </c>
      <c r="E62" s="124">
        <v>0</v>
      </c>
      <c r="F62" s="124">
        <v>0</v>
      </c>
      <c r="G62" s="124">
        <v>1</v>
      </c>
      <c r="H62" s="124">
        <v>0</v>
      </c>
      <c r="I62" s="124">
        <v>0</v>
      </c>
      <c r="J62" s="124">
        <v>0</v>
      </c>
      <c r="K62" s="124">
        <v>0</v>
      </c>
      <c r="L62" s="124">
        <v>0</v>
      </c>
      <c r="M62" s="124">
        <v>0</v>
      </c>
      <c r="N62" s="124">
        <v>0</v>
      </c>
      <c r="O62" s="124">
        <v>0</v>
      </c>
      <c r="P62" s="124">
        <v>1</v>
      </c>
      <c r="Q62" s="124">
        <v>0</v>
      </c>
      <c r="R62" s="124">
        <v>0</v>
      </c>
      <c r="S62" s="124">
        <v>0</v>
      </c>
      <c r="T62" s="124">
        <v>1</v>
      </c>
      <c r="U62" s="124">
        <v>0</v>
      </c>
      <c r="V62" s="124">
        <v>1</v>
      </c>
      <c r="W62" s="123">
        <v>101.6</v>
      </c>
      <c r="X62" s="123">
        <v>0</v>
      </c>
      <c r="Y62" s="123">
        <v>5.6833333333333336</v>
      </c>
      <c r="Z62" s="122">
        <v>1417</v>
      </c>
      <c r="AA62" s="122">
        <v>220.24354</v>
      </c>
      <c r="AB62" s="122">
        <v>249.32551319648093</v>
      </c>
      <c r="AC62" s="122">
        <v>38.75252903225806</v>
      </c>
    </row>
    <row r="63" spans="1:29" x14ac:dyDescent="0.35">
      <c r="A63" s="120">
        <v>45178</v>
      </c>
      <c r="B63" s="124">
        <v>0</v>
      </c>
      <c r="C63" s="124">
        <v>0</v>
      </c>
      <c r="D63" s="124">
        <v>0</v>
      </c>
      <c r="E63" s="124">
        <v>0</v>
      </c>
      <c r="F63" s="124">
        <v>0</v>
      </c>
      <c r="G63" s="124">
        <v>0</v>
      </c>
      <c r="H63" s="124">
        <v>1</v>
      </c>
      <c r="I63" s="124">
        <v>0</v>
      </c>
      <c r="J63" s="124">
        <v>0</v>
      </c>
      <c r="K63" s="124">
        <v>0</v>
      </c>
      <c r="L63" s="124">
        <v>0</v>
      </c>
      <c r="M63" s="124">
        <v>0</v>
      </c>
      <c r="N63" s="124">
        <v>0</v>
      </c>
      <c r="O63" s="124">
        <v>0</v>
      </c>
      <c r="P63" s="124">
        <v>1</v>
      </c>
      <c r="Q63" s="124">
        <v>0</v>
      </c>
      <c r="R63" s="124">
        <v>0</v>
      </c>
      <c r="S63" s="124">
        <v>0</v>
      </c>
      <c r="T63" s="124">
        <v>1</v>
      </c>
      <c r="U63" s="124">
        <v>0</v>
      </c>
      <c r="V63" s="124">
        <v>1</v>
      </c>
      <c r="W63" s="123">
        <v>95.1</v>
      </c>
      <c r="X63" s="123">
        <v>7.6999999999999999E-2</v>
      </c>
      <c r="Y63" s="123">
        <v>4.6500000000000004</v>
      </c>
      <c r="Z63" s="122">
        <v>589</v>
      </c>
      <c r="AA63" s="122">
        <v>106.108092</v>
      </c>
      <c r="AB63" s="122">
        <v>126.66666666666666</v>
      </c>
      <c r="AC63" s="122">
        <v>22.818944516129029</v>
      </c>
    </row>
    <row r="64" spans="1:29" x14ac:dyDescent="0.35">
      <c r="A64" s="120">
        <v>45179</v>
      </c>
      <c r="B64" s="124">
        <v>0</v>
      </c>
      <c r="C64" s="124">
        <v>1</v>
      </c>
      <c r="D64" s="124">
        <v>0</v>
      </c>
      <c r="E64" s="124">
        <v>0</v>
      </c>
      <c r="F64" s="124">
        <v>0</v>
      </c>
      <c r="G64" s="124">
        <v>0</v>
      </c>
      <c r="H64" s="124">
        <v>0</v>
      </c>
      <c r="I64" s="124">
        <v>0</v>
      </c>
      <c r="J64" s="124">
        <v>0</v>
      </c>
      <c r="K64" s="124">
        <v>0</v>
      </c>
      <c r="L64" s="124">
        <v>0</v>
      </c>
      <c r="M64" s="124">
        <v>0</v>
      </c>
      <c r="N64" s="124">
        <v>0</v>
      </c>
      <c r="O64" s="124">
        <v>0</v>
      </c>
      <c r="P64" s="124">
        <v>1</v>
      </c>
      <c r="Q64" s="124">
        <v>0</v>
      </c>
      <c r="R64" s="124">
        <v>0</v>
      </c>
      <c r="S64" s="124">
        <v>0</v>
      </c>
      <c r="T64" s="124">
        <v>1</v>
      </c>
      <c r="U64" s="124">
        <v>0</v>
      </c>
      <c r="V64" s="124">
        <v>1</v>
      </c>
      <c r="W64" s="123">
        <v>93.4</v>
      </c>
      <c r="X64" s="123">
        <v>0</v>
      </c>
      <c r="Y64" s="123">
        <v>4.166666666666667</v>
      </c>
      <c r="Z64" s="122">
        <v>819.25</v>
      </c>
      <c r="AA64" s="122">
        <v>123.7079</v>
      </c>
      <c r="AB64" s="122">
        <v>196.61999999999998</v>
      </c>
      <c r="AC64" s="122">
        <v>29.689895999999997</v>
      </c>
    </row>
    <row r="65" spans="1:29" x14ac:dyDescent="0.35">
      <c r="A65" s="120">
        <v>45179</v>
      </c>
      <c r="B65" s="124">
        <v>1</v>
      </c>
      <c r="C65" s="124">
        <v>1</v>
      </c>
      <c r="D65" s="124">
        <v>0</v>
      </c>
      <c r="E65" s="124">
        <v>0</v>
      </c>
      <c r="F65" s="124">
        <v>0</v>
      </c>
      <c r="G65" s="124">
        <v>0</v>
      </c>
      <c r="H65" s="124">
        <v>0</v>
      </c>
      <c r="I65" s="124">
        <v>0</v>
      </c>
      <c r="J65" s="124">
        <v>0</v>
      </c>
      <c r="K65" s="124">
        <v>0</v>
      </c>
      <c r="L65" s="124">
        <v>0</v>
      </c>
      <c r="M65" s="124">
        <v>0</v>
      </c>
      <c r="N65" s="124">
        <v>0</v>
      </c>
      <c r="O65" s="124">
        <v>0</v>
      </c>
      <c r="P65" s="124">
        <v>1</v>
      </c>
      <c r="Q65" s="124">
        <v>0</v>
      </c>
      <c r="R65" s="124">
        <v>0</v>
      </c>
      <c r="S65" s="124">
        <v>0</v>
      </c>
      <c r="T65" s="124">
        <v>1</v>
      </c>
      <c r="U65" s="124">
        <v>0</v>
      </c>
      <c r="V65" s="124">
        <v>1</v>
      </c>
      <c r="W65" s="123">
        <v>93.4</v>
      </c>
      <c r="X65" s="123">
        <v>0</v>
      </c>
      <c r="Y65" s="123">
        <v>4.166666666666667</v>
      </c>
      <c r="Z65" s="122">
        <v>819.25</v>
      </c>
      <c r="AA65" s="122">
        <v>123.7079</v>
      </c>
      <c r="AB65" s="122">
        <v>196.61999999999998</v>
      </c>
      <c r="AC65" s="122">
        <v>29.689895999999997</v>
      </c>
    </row>
    <row r="66" spans="1:29" x14ac:dyDescent="0.35">
      <c r="A66" s="120">
        <v>45180</v>
      </c>
      <c r="B66" s="124">
        <v>0</v>
      </c>
      <c r="C66" s="124">
        <v>0</v>
      </c>
      <c r="D66" s="124">
        <v>1</v>
      </c>
      <c r="E66" s="124">
        <v>0</v>
      </c>
      <c r="F66" s="124">
        <v>0</v>
      </c>
      <c r="G66" s="124">
        <v>0</v>
      </c>
      <c r="H66" s="124">
        <v>0</v>
      </c>
      <c r="I66" s="124">
        <v>0</v>
      </c>
      <c r="J66" s="124">
        <v>0</v>
      </c>
      <c r="K66" s="124">
        <v>0</v>
      </c>
      <c r="L66" s="124">
        <v>0</v>
      </c>
      <c r="M66" s="124">
        <v>0</v>
      </c>
      <c r="N66" s="124">
        <v>0</v>
      </c>
      <c r="O66" s="124">
        <v>0</v>
      </c>
      <c r="P66" s="124">
        <v>1</v>
      </c>
      <c r="Q66" s="124">
        <v>0</v>
      </c>
      <c r="R66" s="124">
        <v>0</v>
      </c>
      <c r="S66" s="124">
        <v>0</v>
      </c>
      <c r="T66" s="124">
        <v>0</v>
      </c>
      <c r="U66" s="124">
        <v>0</v>
      </c>
      <c r="V66" s="124">
        <v>1</v>
      </c>
      <c r="W66" s="123">
        <v>94.1</v>
      </c>
      <c r="X66" s="123">
        <v>0</v>
      </c>
      <c r="Y66" s="123">
        <v>3.35</v>
      </c>
      <c r="Z66" s="122">
        <v>349</v>
      </c>
      <c r="AA66" s="122">
        <v>68.743099999999998</v>
      </c>
      <c r="AB66" s="122">
        <v>104.17910447761194</v>
      </c>
      <c r="AC66" s="122">
        <v>20.520328358208953</v>
      </c>
    </row>
    <row r="67" spans="1:29" x14ac:dyDescent="0.35">
      <c r="A67" s="120">
        <v>45180</v>
      </c>
      <c r="B67" s="124">
        <v>1</v>
      </c>
      <c r="C67" s="124">
        <v>0</v>
      </c>
      <c r="D67" s="124">
        <v>1</v>
      </c>
      <c r="E67" s="124">
        <v>0</v>
      </c>
      <c r="F67" s="124">
        <v>0</v>
      </c>
      <c r="G67" s="124">
        <v>0</v>
      </c>
      <c r="H67" s="124">
        <v>0</v>
      </c>
      <c r="I67" s="124">
        <v>0</v>
      </c>
      <c r="J67" s="124">
        <v>0</v>
      </c>
      <c r="K67" s="124">
        <v>0</v>
      </c>
      <c r="L67" s="124">
        <v>0</v>
      </c>
      <c r="M67" s="124">
        <v>0</v>
      </c>
      <c r="N67" s="124">
        <v>0</v>
      </c>
      <c r="O67" s="124">
        <v>0</v>
      </c>
      <c r="P67" s="124">
        <v>1</v>
      </c>
      <c r="Q67" s="124">
        <v>0</v>
      </c>
      <c r="R67" s="124">
        <v>0</v>
      </c>
      <c r="S67" s="124">
        <v>0</v>
      </c>
      <c r="T67" s="124">
        <v>0</v>
      </c>
      <c r="U67" s="124">
        <v>0</v>
      </c>
      <c r="V67" s="124">
        <v>1</v>
      </c>
      <c r="W67" s="123">
        <v>94.1</v>
      </c>
      <c r="X67" s="123">
        <v>0</v>
      </c>
      <c r="Y67" s="123">
        <v>3.6666666666666665</v>
      </c>
      <c r="Z67" s="122">
        <v>430</v>
      </c>
      <c r="AA67" s="122">
        <v>76.038240000000002</v>
      </c>
      <c r="AB67" s="122">
        <v>117.27272727272728</v>
      </c>
      <c r="AC67" s="122">
        <v>20.737701818181819</v>
      </c>
    </row>
    <row r="68" spans="1:29" x14ac:dyDescent="0.35">
      <c r="A68" s="120">
        <v>45182</v>
      </c>
      <c r="B68" s="124">
        <v>0</v>
      </c>
      <c r="C68" s="124">
        <v>0</v>
      </c>
      <c r="D68" s="124">
        <v>0</v>
      </c>
      <c r="E68" s="124">
        <v>1</v>
      </c>
      <c r="F68" s="124">
        <v>0</v>
      </c>
      <c r="G68" s="124">
        <v>0</v>
      </c>
      <c r="H68" s="124">
        <v>0</v>
      </c>
      <c r="I68" s="124">
        <v>0</v>
      </c>
      <c r="J68" s="124">
        <v>0</v>
      </c>
      <c r="K68" s="124">
        <v>0</v>
      </c>
      <c r="L68" s="124">
        <v>0</v>
      </c>
      <c r="M68" s="124">
        <v>0</v>
      </c>
      <c r="N68" s="124">
        <v>0</v>
      </c>
      <c r="O68" s="124">
        <v>0</v>
      </c>
      <c r="P68" s="124">
        <v>1</v>
      </c>
      <c r="Q68" s="124">
        <v>0</v>
      </c>
      <c r="R68" s="124">
        <v>0</v>
      </c>
      <c r="S68" s="124">
        <v>0</v>
      </c>
      <c r="T68" s="124">
        <v>0</v>
      </c>
      <c r="U68" s="124">
        <v>0</v>
      </c>
      <c r="V68" s="124">
        <v>1</v>
      </c>
      <c r="W68" s="123">
        <v>93.3</v>
      </c>
      <c r="X68" s="123">
        <v>4.0000000000000001E-3</v>
      </c>
      <c r="Y68" s="123">
        <v>4.4333333333333336</v>
      </c>
      <c r="Z68" s="122">
        <v>731</v>
      </c>
      <c r="AA68" s="122">
        <v>108.471272</v>
      </c>
      <c r="AB68" s="122">
        <v>164.88721804511277</v>
      </c>
      <c r="AC68" s="122">
        <v>24.467204210526315</v>
      </c>
    </row>
    <row r="69" spans="1:29" x14ac:dyDescent="0.35">
      <c r="A69" s="120">
        <v>45184</v>
      </c>
      <c r="B69" s="124">
        <v>0</v>
      </c>
      <c r="C69" s="124">
        <v>0</v>
      </c>
      <c r="D69" s="124">
        <v>0</v>
      </c>
      <c r="E69" s="124">
        <v>0</v>
      </c>
      <c r="F69" s="124">
        <v>0</v>
      </c>
      <c r="G69" s="124">
        <v>1</v>
      </c>
      <c r="H69" s="124">
        <v>0</v>
      </c>
      <c r="I69" s="124">
        <v>0</v>
      </c>
      <c r="J69" s="124">
        <v>0</v>
      </c>
      <c r="K69" s="124">
        <v>0</v>
      </c>
      <c r="L69" s="124">
        <v>0</v>
      </c>
      <c r="M69" s="124">
        <v>0</v>
      </c>
      <c r="N69" s="124">
        <v>0</v>
      </c>
      <c r="O69" s="124">
        <v>0</v>
      </c>
      <c r="P69" s="124">
        <v>1</v>
      </c>
      <c r="Q69" s="124">
        <v>0</v>
      </c>
      <c r="R69" s="124">
        <v>0</v>
      </c>
      <c r="S69" s="124">
        <v>0</v>
      </c>
      <c r="T69" s="124">
        <v>0</v>
      </c>
      <c r="U69" s="124">
        <v>0</v>
      </c>
      <c r="V69" s="124">
        <v>0</v>
      </c>
      <c r="W69" s="123">
        <v>91.4</v>
      </c>
      <c r="X69" s="123">
        <v>0.27600000000000002</v>
      </c>
      <c r="Y69" s="123">
        <v>3.6333333333333333</v>
      </c>
      <c r="Z69" s="122">
        <v>649.5</v>
      </c>
      <c r="AA69" s="122">
        <v>109.82080000000001</v>
      </c>
      <c r="AB69" s="122">
        <v>178.76146788990826</v>
      </c>
      <c r="AC69" s="122">
        <v>30.225908256880736</v>
      </c>
    </row>
    <row r="70" spans="1:29" x14ac:dyDescent="0.35">
      <c r="A70" s="120">
        <v>45184</v>
      </c>
      <c r="B70" s="124">
        <v>1</v>
      </c>
      <c r="C70" s="124">
        <v>0</v>
      </c>
      <c r="D70" s="124">
        <v>0</v>
      </c>
      <c r="E70" s="124">
        <v>0</v>
      </c>
      <c r="F70" s="124">
        <v>0</v>
      </c>
      <c r="G70" s="124">
        <v>1</v>
      </c>
      <c r="H70" s="124">
        <v>0</v>
      </c>
      <c r="I70" s="124">
        <v>0</v>
      </c>
      <c r="J70" s="124">
        <v>0</v>
      </c>
      <c r="K70" s="124">
        <v>0</v>
      </c>
      <c r="L70" s="124">
        <v>0</v>
      </c>
      <c r="M70" s="124">
        <v>0</v>
      </c>
      <c r="N70" s="124">
        <v>0</v>
      </c>
      <c r="O70" s="124">
        <v>0</v>
      </c>
      <c r="P70" s="124">
        <v>1</v>
      </c>
      <c r="Q70" s="124">
        <v>0</v>
      </c>
      <c r="R70" s="124">
        <v>0</v>
      </c>
      <c r="S70" s="124">
        <v>0</v>
      </c>
      <c r="T70" s="124">
        <v>1</v>
      </c>
      <c r="U70" s="124">
        <v>0</v>
      </c>
      <c r="V70" s="124">
        <v>0</v>
      </c>
      <c r="W70" s="123">
        <v>91.4</v>
      </c>
      <c r="X70" s="123">
        <v>0.27600000000000002</v>
      </c>
      <c r="Y70" s="123">
        <v>4.4833333333333334</v>
      </c>
      <c r="Z70" s="122">
        <v>862.5</v>
      </c>
      <c r="AA70" s="122">
        <v>129.09727599999999</v>
      </c>
      <c r="AB70" s="122">
        <v>192.37918215613382</v>
      </c>
      <c r="AC70" s="122">
        <v>28.794931449814126</v>
      </c>
    </row>
    <row r="71" spans="1:29" x14ac:dyDescent="0.35">
      <c r="A71" s="120">
        <v>45185</v>
      </c>
      <c r="B71" s="124">
        <v>0</v>
      </c>
      <c r="C71" s="124">
        <v>0</v>
      </c>
      <c r="D71" s="124">
        <v>0</v>
      </c>
      <c r="E71" s="124">
        <v>0</v>
      </c>
      <c r="F71" s="124">
        <v>0</v>
      </c>
      <c r="G71" s="124">
        <v>0</v>
      </c>
      <c r="H71" s="124">
        <v>1</v>
      </c>
      <c r="I71" s="124">
        <v>0</v>
      </c>
      <c r="J71" s="124">
        <v>0</v>
      </c>
      <c r="K71" s="124">
        <v>0</v>
      </c>
      <c r="L71" s="124">
        <v>0</v>
      </c>
      <c r="M71" s="124">
        <v>0</v>
      </c>
      <c r="N71" s="124">
        <v>0</v>
      </c>
      <c r="O71" s="124">
        <v>0</v>
      </c>
      <c r="P71" s="124">
        <v>1</v>
      </c>
      <c r="Q71" s="124">
        <v>0</v>
      </c>
      <c r="R71" s="124">
        <v>0</v>
      </c>
      <c r="S71" s="124">
        <v>0</v>
      </c>
      <c r="T71" s="124">
        <v>1</v>
      </c>
      <c r="U71" s="124">
        <v>0</v>
      </c>
      <c r="V71" s="124">
        <v>0</v>
      </c>
      <c r="W71" s="123">
        <v>90.3</v>
      </c>
      <c r="X71" s="123">
        <v>0.22</v>
      </c>
      <c r="Y71" s="123">
        <v>5.666666666666667</v>
      </c>
      <c r="Z71" s="122">
        <v>1203</v>
      </c>
      <c r="AA71" s="122">
        <v>201.58923199999998</v>
      </c>
      <c r="AB71" s="122">
        <v>212.29411764705881</v>
      </c>
      <c r="AC71" s="122">
        <v>35.574570352941173</v>
      </c>
    </row>
    <row r="72" spans="1:29" x14ac:dyDescent="0.35">
      <c r="A72" s="120">
        <v>45186</v>
      </c>
      <c r="B72" s="124">
        <v>0</v>
      </c>
      <c r="C72" s="124">
        <v>1</v>
      </c>
      <c r="D72" s="124">
        <v>0</v>
      </c>
      <c r="E72" s="124">
        <v>0</v>
      </c>
      <c r="F72" s="124">
        <v>0</v>
      </c>
      <c r="G72" s="124">
        <v>0</v>
      </c>
      <c r="H72" s="124">
        <v>0</v>
      </c>
      <c r="I72" s="124">
        <v>0</v>
      </c>
      <c r="J72" s="124">
        <v>0</v>
      </c>
      <c r="K72" s="124">
        <v>0</v>
      </c>
      <c r="L72" s="124">
        <v>0</v>
      </c>
      <c r="M72" s="124">
        <v>0</v>
      </c>
      <c r="N72" s="124">
        <v>0</v>
      </c>
      <c r="O72" s="124">
        <v>0</v>
      </c>
      <c r="P72" s="124">
        <v>1</v>
      </c>
      <c r="Q72" s="124">
        <v>0</v>
      </c>
      <c r="R72" s="124">
        <v>0</v>
      </c>
      <c r="S72" s="124">
        <v>0</v>
      </c>
      <c r="T72" s="124">
        <v>1</v>
      </c>
      <c r="U72" s="124">
        <v>0</v>
      </c>
      <c r="V72" s="124">
        <v>0</v>
      </c>
      <c r="W72" s="123">
        <v>91.5</v>
      </c>
      <c r="X72" s="123">
        <v>1E-3</v>
      </c>
      <c r="Y72" s="123">
        <v>4.0666666666666664</v>
      </c>
      <c r="Z72" s="122">
        <v>1018</v>
      </c>
      <c r="AA72" s="122">
        <v>161.95194000000001</v>
      </c>
      <c r="AB72" s="122">
        <v>250.32786885245903</v>
      </c>
      <c r="AC72" s="122">
        <v>39.824247540983613</v>
      </c>
    </row>
    <row r="73" spans="1:29" x14ac:dyDescent="0.35">
      <c r="A73" s="120">
        <v>45186</v>
      </c>
      <c r="B73" s="124">
        <v>1</v>
      </c>
      <c r="C73" s="124">
        <v>1</v>
      </c>
      <c r="D73" s="124">
        <v>0</v>
      </c>
      <c r="E73" s="124">
        <v>0</v>
      </c>
      <c r="F73" s="124">
        <v>0</v>
      </c>
      <c r="G73" s="124">
        <v>0</v>
      </c>
      <c r="H73" s="124">
        <v>0</v>
      </c>
      <c r="I73" s="124">
        <v>0</v>
      </c>
      <c r="J73" s="124">
        <v>0</v>
      </c>
      <c r="K73" s="124">
        <v>0</v>
      </c>
      <c r="L73" s="124">
        <v>0</v>
      </c>
      <c r="M73" s="124">
        <v>0</v>
      </c>
      <c r="N73" s="124">
        <v>0</v>
      </c>
      <c r="O73" s="124">
        <v>0</v>
      </c>
      <c r="P73" s="124">
        <v>1</v>
      </c>
      <c r="Q73" s="124">
        <v>0</v>
      </c>
      <c r="R73" s="124">
        <v>0</v>
      </c>
      <c r="S73" s="124">
        <v>0</v>
      </c>
      <c r="T73" s="124">
        <v>1</v>
      </c>
      <c r="U73" s="124">
        <v>0</v>
      </c>
      <c r="V73" s="124">
        <v>0</v>
      </c>
      <c r="W73" s="123">
        <v>91.5</v>
      </c>
      <c r="X73" s="123">
        <v>1E-3</v>
      </c>
      <c r="Y73" s="123">
        <v>3</v>
      </c>
      <c r="Z73" s="122">
        <v>1018</v>
      </c>
      <c r="AA73" s="122">
        <v>159.67993999999999</v>
      </c>
      <c r="AB73" s="122">
        <v>339.33333333333331</v>
      </c>
      <c r="AC73" s="122">
        <v>53.22664666666666</v>
      </c>
    </row>
    <row r="74" spans="1:29" x14ac:dyDescent="0.35">
      <c r="A74" s="120">
        <v>45187</v>
      </c>
      <c r="B74" s="124">
        <v>0</v>
      </c>
      <c r="C74" s="124">
        <v>0</v>
      </c>
      <c r="D74" s="124">
        <v>1</v>
      </c>
      <c r="E74" s="124">
        <v>0</v>
      </c>
      <c r="F74" s="124">
        <v>0</v>
      </c>
      <c r="G74" s="124">
        <v>0</v>
      </c>
      <c r="H74" s="124">
        <v>0</v>
      </c>
      <c r="I74" s="124">
        <v>0</v>
      </c>
      <c r="J74" s="124">
        <v>0</v>
      </c>
      <c r="K74" s="124">
        <v>0</v>
      </c>
      <c r="L74" s="124">
        <v>0</v>
      </c>
      <c r="M74" s="124">
        <v>0</v>
      </c>
      <c r="N74" s="124">
        <v>0</v>
      </c>
      <c r="O74" s="124">
        <v>0</v>
      </c>
      <c r="P74" s="124">
        <v>1</v>
      </c>
      <c r="Q74" s="124">
        <v>0</v>
      </c>
      <c r="R74" s="124">
        <v>0</v>
      </c>
      <c r="S74" s="124">
        <v>0</v>
      </c>
      <c r="T74" s="124">
        <v>0</v>
      </c>
      <c r="U74" s="124">
        <v>0</v>
      </c>
      <c r="V74" s="124">
        <v>1</v>
      </c>
      <c r="W74" s="123">
        <v>92.2</v>
      </c>
      <c r="X74" s="123">
        <v>0</v>
      </c>
      <c r="Y74" s="123">
        <v>3.7333333333333334</v>
      </c>
      <c r="Z74" s="122">
        <v>309</v>
      </c>
      <c r="AA74" s="122">
        <v>58.22184</v>
      </c>
      <c r="AB74" s="122">
        <v>82.767857142857139</v>
      </c>
      <c r="AC74" s="122">
        <v>15.595135714285714</v>
      </c>
    </row>
    <row r="75" spans="1:29" x14ac:dyDescent="0.35">
      <c r="A75" s="120">
        <v>45187</v>
      </c>
      <c r="B75" s="124">
        <v>1</v>
      </c>
      <c r="C75" s="124">
        <v>0</v>
      </c>
      <c r="D75" s="124">
        <v>1</v>
      </c>
      <c r="E75" s="124">
        <v>0</v>
      </c>
      <c r="F75" s="124">
        <v>0</v>
      </c>
      <c r="G75" s="124">
        <v>0</v>
      </c>
      <c r="H75" s="124">
        <v>0</v>
      </c>
      <c r="I75" s="124">
        <v>0</v>
      </c>
      <c r="J75" s="124">
        <v>0</v>
      </c>
      <c r="K75" s="124">
        <v>0</v>
      </c>
      <c r="L75" s="124">
        <v>0</v>
      </c>
      <c r="M75" s="124">
        <v>0</v>
      </c>
      <c r="N75" s="124">
        <v>0</v>
      </c>
      <c r="O75" s="124">
        <v>0</v>
      </c>
      <c r="P75" s="124">
        <v>1</v>
      </c>
      <c r="Q75" s="124">
        <v>0</v>
      </c>
      <c r="R75" s="124">
        <v>0</v>
      </c>
      <c r="S75" s="124">
        <v>0</v>
      </c>
      <c r="T75" s="124">
        <v>0</v>
      </c>
      <c r="U75" s="124">
        <v>0</v>
      </c>
      <c r="V75" s="124">
        <v>1</v>
      </c>
      <c r="W75" s="123">
        <v>92.2</v>
      </c>
      <c r="X75" s="123">
        <v>0</v>
      </c>
      <c r="Y75" s="123">
        <v>4.0999999999999996</v>
      </c>
      <c r="Z75" s="122">
        <v>498</v>
      </c>
      <c r="AA75" s="122">
        <v>85.087944000000007</v>
      </c>
      <c r="AB75" s="122">
        <v>121.46341463414635</v>
      </c>
      <c r="AC75" s="122">
        <v>20.753157073170737</v>
      </c>
    </row>
    <row r="76" spans="1:29" x14ac:dyDescent="0.35">
      <c r="A76" s="120">
        <v>45192</v>
      </c>
      <c r="B76" s="124">
        <v>0</v>
      </c>
      <c r="C76" s="124">
        <v>0</v>
      </c>
      <c r="D76" s="124">
        <v>0</v>
      </c>
      <c r="E76" s="124">
        <v>0</v>
      </c>
      <c r="F76" s="124">
        <v>0</v>
      </c>
      <c r="G76" s="124">
        <v>0</v>
      </c>
      <c r="H76" s="124">
        <v>1</v>
      </c>
      <c r="I76" s="124">
        <v>0</v>
      </c>
      <c r="J76" s="124">
        <v>0</v>
      </c>
      <c r="K76" s="124">
        <v>0</v>
      </c>
      <c r="L76" s="124">
        <v>0</v>
      </c>
      <c r="M76" s="124">
        <v>0</v>
      </c>
      <c r="N76" s="124">
        <v>0</v>
      </c>
      <c r="O76" s="124">
        <v>0</v>
      </c>
      <c r="P76" s="124">
        <v>1</v>
      </c>
      <c r="Q76" s="124">
        <v>0</v>
      </c>
      <c r="R76" s="124">
        <v>0</v>
      </c>
      <c r="S76" s="124">
        <v>0</v>
      </c>
      <c r="T76" s="124">
        <v>1</v>
      </c>
      <c r="U76" s="124">
        <v>0</v>
      </c>
      <c r="V76" s="124">
        <v>1</v>
      </c>
      <c r="W76" s="123">
        <v>94</v>
      </c>
      <c r="X76" s="123">
        <v>0</v>
      </c>
      <c r="Y76" s="123">
        <v>5.666666666666667</v>
      </c>
      <c r="Z76" s="122">
        <v>933</v>
      </c>
      <c r="AA76" s="122">
        <v>156.81897599999999</v>
      </c>
      <c r="AB76" s="122">
        <v>164.64705882352939</v>
      </c>
      <c r="AC76" s="122">
        <v>27.673936941176468</v>
      </c>
    </row>
    <row r="77" spans="1:29" x14ac:dyDescent="0.35">
      <c r="A77" s="120">
        <v>45193</v>
      </c>
      <c r="B77" s="124">
        <v>0</v>
      </c>
      <c r="C77" s="124">
        <v>1</v>
      </c>
      <c r="D77" s="124">
        <v>0</v>
      </c>
      <c r="E77" s="124">
        <v>0</v>
      </c>
      <c r="F77" s="124">
        <v>0</v>
      </c>
      <c r="G77" s="124">
        <v>0</v>
      </c>
      <c r="H77" s="124">
        <v>0</v>
      </c>
      <c r="I77" s="124">
        <v>0</v>
      </c>
      <c r="J77" s="124">
        <v>0</v>
      </c>
      <c r="K77" s="124">
        <v>0</v>
      </c>
      <c r="L77" s="124">
        <v>0</v>
      </c>
      <c r="M77" s="124">
        <v>0</v>
      </c>
      <c r="N77" s="124">
        <v>0</v>
      </c>
      <c r="O77" s="124">
        <v>0</v>
      </c>
      <c r="P77" s="124">
        <v>1</v>
      </c>
      <c r="Q77" s="124">
        <v>0</v>
      </c>
      <c r="R77" s="124">
        <v>0</v>
      </c>
      <c r="S77" s="124">
        <v>0</v>
      </c>
      <c r="T77" s="124">
        <v>1</v>
      </c>
      <c r="U77" s="124">
        <v>0</v>
      </c>
      <c r="V77" s="124">
        <v>1</v>
      </c>
      <c r="W77" s="123">
        <v>95.1</v>
      </c>
      <c r="X77" s="123">
        <v>0</v>
      </c>
      <c r="Y77" s="123">
        <v>4.0166666666666666</v>
      </c>
      <c r="Z77" s="122">
        <v>931</v>
      </c>
      <c r="AA77" s="122">
        <v>187.39946</v>
      </c>
      <c r="AB77" s="122">
        <v>231.78423236514524</v>
      </c>
      <c r="AC77" s="122">
        <v>46.655467219917014</v>
      </c>
    </row>
    <row r="78" spans="1:29" x14ac:dyDescent="0.35">
      <c r="A78" s="120">
        <v>45193</v>
      </c>
      <c r="B78" s="124">
        <v>1</v>
      </c>
      <c r="C78" s="124">
        <v>1</v>
      </c>
      <c r="D78" s="124">
        <v>0</v>
      </c>
      <c r="E78" s="124">
        <v>0</v>
      </c>
      <c r="F78" s="124">
        <v>0</v>
      </c>
      <c r="G78" s="124">
        <v>0</v>
      </c>
      <c r="H78" s="124">
        <v>0</v>
      </c>
      <c r="I78" s="124">
        <v>0</v>
      </c>
      <c r="J78" s="124">
        <v>0</v>
      </c>
      <c r="K78" s="124">
        <v>0</v>
      </c>
      <c r="L78" s="124">
        <v>0</v>
      </c>
      <c r="M78" s="124">
        <v>0</v>
      </c>
      <c r="N78" s="124">
        <v>0</v>
      </c>
      <c r="O78" s="124">
        <v>0</v>
      </c>
      <c r="P78" s="124">
        <v>1</v>
      </c>
      <c r="Q78" s="124">
        <v>0</v>
      </c>
      <c r="R78" s="124">
        <v>0</v>
      </c>
      <c r="S78" s="124">
        <v>0</v>
      </c>
      <c r="T78" s="124">
        <v>1</v>
      </c>
      <c r="U78" s="124">
        <v>0</v>
      </c>
      <c r="V78" s="124">
        <v>1</v>
      </c>
      <c r="W78" s="123">
        <v>95.1</v>
      </c>
      <c r="X78" s="123">
        <v>0</v>
      </c>
      <c r="Y78" s="123">
        <v>4.0166666666666666</v>
      </c>
      <c r="Z78" s="122">
        <v>931</v>
      </c>
      <c r="AA78" s="122">
        <v>187.39946</v>
      </c>
      <c r="AB78" s="122">
        <v>231.78423236514524</v>
      </c>
      <c r="AC78" s="122">
        <v>46.655467219917014</v>
      </c>
    </row>
    <row r="79" spans="1:29" x14ac:dyDescent="0.35">
      <c r="A79" s="120">
        <v>45194</v>
      </c>
      <c r="B79" s="124">
        <v>1</v>
      </c>
      <c r="C79" s="124">
        <v>0</v>
      </c>
      <c r="D79" s="124">
        <v>1</v>
      </c>
      <c r="E79" s="124">
        <v>0</v>
      </c>
      <c r="F79" s="124">
        <v>0</v>
      </c>
      <c r="G79" s="124">
        <v>0</v>
      </c>
      <c r="H79" s="124">
        <v>0</v>
      </c>
      <c r="I79" s="124">
        <v>0</v>
      </c>
      <c r="J79" s="124">
        <v>0</v>
      </c>
      <c r="K79" s="124">
        <v>0</v>
      </c>
      <c r="L79" s="124">
        <v>0</v>
      </c>
      <c r="M79" s="124">
        <v>0</v>
      </c>
      <c r="N79" s="124">
        <v>0</v>
      </c>
      <c r="O79" s="124">
        <v>0</v>
      </c>
      <c r="P79" s="124">
        <v>1</v>
      </c>
      <c r="Q79" s="124">
        <v>0</v>
      </c>
      <c r="R79" s="124">
        <v>0</v>
      </c>
      <c r="S79" s="124">
        <v>0</v>
      </c>
      <c r="T79" s="124">
        <v>0</v>
      </c>
      <c r="U79" s="124">
        <v>0</v>
      </c>
      <c r="V79" s="124">
        <v>0</v>
      </c>
      <c r="W79" s="123">
        <v>93.2</v>
      </c>
      <c r="X79" s="123">
        <v>0.90300000000000002</v>
      </c>
      <c r="Y79" s="123">
        <v>5.2833333333333332</v>
      </c>
      <c r="Z79" s="122">
        <v>1011.5</v>
      </c>
      <c r="AA79" s="122">
        <v>166.86658</v>
      </c>
      <c r="AB79" s="122">
        <v>191.45110410094637</v>
      </c>
      <c r="AC79" s="122">
        <v>31.583579810725553</v>
      </c>
    </row>
    <row r="80" spans="1:29" x14ac:dyDescent="0.35">
      <c r="A80" s="120">
        <v>45196</v>
      </c>
      <c r="B80" s="124">
        <v>1</v>
      </c>
      <c r="C80" s="124">
        <v>0</v>
      </c>
      <c r="D80" s="124">
        <v>0</v>
      </c>
      <c r="E80" s="124">
        <v>1</v>
      </c>
      <c r="F80" s="124">
        <v>0</v>
      </c>
      <c r="G80" s="124">
        <v>0</v>
      </c>
      <c r="H80" s="124">
        <v>0</v>
      </c>
      <c r="I80" s="124">
        <v>0</v>
      </c>
      <c r="J80" s="124">
        <v>0</v>
      </c>
      <c r="K80" s="124">
        <v>0</v>
      </c>
      <c r="L80" s="124">
        <v>0</v>
      </c>
      <c r="M80" s="124">
        <v>0</v>
      </c>
      <c r="N80" s="124">
        <v>0</v>
      </c>
      <c r="O80" s="124">
        <v>0</v>
      </c>
      <c r="P80" s="124">
        <v>1</v>
      </c>
      <c r="Q80" s="124">
        <v>0</v>
      </c>
      <c r="R80" s="124">
        <v>0</v>
      </c>
      <c r="S80" s="124">
        <v>0</v>
      </c>
      <c r="T80" s="124">
        <v>0</v>
      </c>
      <c r="U80" s="124">
        <v>0</v>
      </c>
      <c r="V80" s="124">
        <v>0</v>
      </c>
      <c r="W80" s="123">
        <v>91.5</v>
      </c>
      <c r="X80" s="123">
        <v>0</v>
      </c>
      <c r="Y80" s="123">
        <v>4.7333333333333334</v>
      </c>
      <c r="Z80" s="122">
        <v>648</v>
      </c>
      <c r="AA80" s="122">
        <v>102.25415199999999</v>
      </c>
      <c r="AB80" s="122">
        <v>136.90140845070422</v>
      </c>
      <c r="AC80" s="122">
        <v>21.602989859154928</v>
      </c>
    </row>
    <row r="81" spans="1:29" x14ac:dyDescent="0.35">
      <c r="A81" s="120">
        <v>45198</v>
      </c>
      <c r="B81" s="124">
        <v>1</v>
      </c>
      <c r="C81" s="124">
        <v>0</v>
      </c>
      <c r="D81" s="124">
        <v>0</v>
      </c>
      <c r="E81" s="124">
        <v>0</v>
      </c>
      <c r="F81" s="124">
        <v>0</v>
      </c>
      <c r="G81" s="124">
        <v>1</v>
      </c>
      <c r="H81" s="124">
        <v>0</v>
      </c>
      <c r="I81" s="124">
        <v>0</v>
      </c>
      <c r="J81" s="124">
        <v>0</v>
      </c>
      <c r="K81" s="124">
        <v>0</v>
      </c>
      <c r="L81" s="124">
        <v>0</v>
      </c>
      <c r="M81" s="124">
        <v>0</v>
      </c>
      <c r="N81" s="124">
        <v>0</v>
      </c>
      <c r="O81" s="124">
        <v>0</v>
      </c>
      <c r="P81" s="124">
        <v>1</v>
      </c>
      <c r="Q81" s="124">
        <v>0</v>
      </c>
      <c r="R81" s="124">
        <v>0</v>
      </c>
      <c r="S81" s="124">
        <v>0</v>
      </c>
      <c r="T81" s="124">
        <v>1</v>
      </c>
      <c r="U81" s="124">
        <v>0</v>
      </c>
      <c r="V81" s="124">
        <v>0</v>
      </c>
      <c r="W81" s="123">
        <v>89.7</v>
      </c>
      <c r="X81" s="123">
        <v>0</v>
      </c>
      <c r="Y81" s="123">
        <v>5.2333333333333334</v>
      </c>
      <c r="Z81" s="122">
        <v>848</v>
      </c>
      <c r="AA81" s="122">
        <v>135.44354399999997</v>
      </c>
      <c r="AB81" s="122">
        <v>162.03821656050954</v>
      </c>
      <c r="AC81" s="122">
        <v>25.880931974522287</v>
      </c>
    </row>
    <row r="82" spans="1:29" x14ac:dyDescent="0.35">
      <c r="A82" s="120">
        <v>45199</v>
      </c>
      <c r="B82" s="124">
        <v>1</v>
      </c>
      <c r="C82" s="124">
        <v>0</v>
      </c>
      <c r="D82" s="124">
        <v>0</v>
      </c>
      <c r="E82" s="124">
        <v>0</v>
      </c>
      <c r="F82" s="124">
        <v>0</v>
      </c>
      <c r="G82" s="124">
        <v>0</v>
      </c>
      <c r="H82" s="124">
        <v>1</v>
      </c>
      <c r="I82" s="124">
        <v>0</v>
      </c>
      <c r="J82" s="124">
        <v>0</v>
      </c>
      <c r="K82" s="124">
        <v>0</v>
      </c>
      <c r="L82" s="124">
        <v>0</v>
      </c>
      <c r="M82" s="124">
        <v>0</v>
      </c>
      <c r="N82" s="124">
        <v>0</v>
      </c>
      <c r="O82" s="124">
        <v>0</v>
      </c>
      <c r="P82" s="124">
        <v>1</v>
      </c>
      <c r="Q82" s="124">
        <v>0</v>
      </c>
      <c r="R82" s="124">
        <v>0</v>
      </c>
      <c r="S82" s="124">
        <v>0</v>
      </c>
      <c r="T82" s="124">
        <v>1</v>
      </c>
      <c r="U82" s="124">
        <v>0</v>
      </c>
      <c r="V82" s="124">
        <v>0</v>
      </c>
      <c r="W82" s="123">
        <v>90.7</v>
      </c>
      <c r="X82" s="123">
        <v>0</v>
      </c>
      <c r="Y82" s="123">
        <v>10.916666666666666</v>
      </c>
      <c r="Z82" s="122">
        <v>1323</v>
      </c>
      <c r="AA82" s="122">
        <v>169.007724</v>
      </c>
      <c r="AB82" s="122">
        <v>121.19083969465649</v>
      </c>
      <c r="AC82" s="122">
        <v>15.481623572519084</v>
      </c>
    </row>
    <row r="83" spans="1:29" x14ac:dyDescent="0.35">
      <c r="A83" s="120">
        <v>45200</v>
      </c>
      <c r="B83" s="124">
        <v>0</v>
      </c>
      <c r="C83" s="124">
        <v>1</v>
      </c>
      <c r="D83" s="124">
        <v>0</v>
      </c>
      <c r="E83" s="124">
        <v>0</v>
      </c>
      <c r="F83" s="124">
        <v>0</v>
      </c>
      <c r="G83" s="124">
        <v>0</v>
      </c>
      <c r="H83" s="124">
        <v>0</v>
      </c>
      <c r="I83" s="124">
        <v>0</v>
      </c>
      <c r="J83" s="124">
        <v>0</v>
      </c>
      <c r="K83" s="124">
        <v>0</v>
      </c>
      <c r="L83" s="124">
        <v>0</v>
      </c>
      <c r="M83" s="124">
        <v>0</v>
      </c>
      <c r="N83" s="124">
        <v>0</v>
      </c>
      <c r="O83" s="124">
        <v>0</v>
      </c>
      <c r="P83" s="124">
        <v>0</v>
      </c>
      <c r="Q83" s="124">
        <v>1</v>
      </c>
      <c r="R83" s="124">
        <v>0</v>
      </c>
      <c r="S83" s="124">
        <v>0</v>
      </c>
      <c r="T83" s="124">
        <v>1</v>
      </c>
      <c r="U83" s="124">
        <v>0</v>
      </c>
      <c r="V83" s="124">
        <v>0</v>
      </c>
      <c r="W83" s="123">
        <v>91.4</v>
      </c>
      <c r="X83" s="123">
        <v>0</v>
      </c>
      <c r="Y83" s="123">
        <v>5.083333333333333</v>
      </c>
      <c r="Z83" s="122">
        <v>978.25</v>
      </c>
      <c r="AA83" s="122">
        <v>200.75157999999999</v>
      </c>
      <c r="AB83" s="122">
        <v>192.4426229508197</v>
      </c>
      <c r="AC83" s="122">
        <v>39.492114098360659</v>
      </c>
    </row>
    <row r="84" spans="1:29" x14ac:dyDescent="0.35">
      <c r="A84" s="120">
        <v>45200</v>
      </c>
      <c r="B84" s="124">
        <v>1</v>
      </c>
      <c r="C84" s="124">
        <v>1</v>
      </c>
      <c r="D84" s="124">
        <v>0</v>
      </c>
      <c r="E84" s="124">
        <v>0</v>
      </c>
      <c r="F84" s="124">
        <v>0</v>
      </c>
      <c r="G84" s="124">
        <v>0</v>
      </c>
      <c r="H84" s="124">
        <v>0</v>
      </c>
      <c r="I84" s="124">
        <v>0</v>
      </c>
      <c r="J84" s="124">
        <v>0</v>
      </c>
      <c r="K84" s="124">
        <v>0</v>
      </c>
      <c r="L84" s="124">
        <v>0</v>
      </c>
      <c r="M84" s="124">
        <v>0</v>
      </c>
      <c r="N84" s="124">
        <v>0</v>
      </c>
      <c r="O84" s="124">
        <v>0</v>
      </c>
      <c r="P84" s="124">
        <v>0</v>
      </c>
      <c r="Q84" s="124">
        <v>1</v>
      </c>
      <c r="R84" s="124">
        <v>0</v>
      </c>
      <c r="S84" s="124">
        <v>0</v>
      </c>
      <c r="T84" s="124">
        <v>1</v>
      </c>
      <c r="U84" s="124">
        <v>0</v>
      </c>
      <c r="V84" s="124">
        <v>0</v>
      </c>
      <c r="W84" s="123">
        <v>91.4</v>
      </c>
      <c r="X84" s="123">
        <v>0</v>
      </c>
      <c r="Y84" s="123">
        <v>5.083333333333333</v>
      </c>
      <c r="Z84" s="122">
        <v>978.25</v>
      </c>
      <c r="AA84" s="122">
        <v>200.75157999999999</v>
      </c>
      <c r="AB84" s="122">
        <v>192.4426229508197</v>
      </c>
      <c r="AC84" s="122">
        <v>39.492114098360659</v>
      </c>
    </row>
    <row r="85" spans="1:29" x14ac:dyDescent="0.35">
      <c r="A85" s="120">
        <v>45201</v>
      </c>
      <c r="B85" s="124">
        <v>1</v>
      </c>
      <c r="C85" s="124">
        <v>0</v>
      </c>
      <c r="D85" s="124">
        <v>1</v>
      </c>
      <c r="E85" s="124">
        <v>0</v>
      </c>
      <c r="F85" s="124">
        <v>0</v>
      </c>
      <c r="G85" s="124">
        <v>0</v>
      </c>
      <c r="H85" s="124">
        <v>0</v>
      </c>
      <c r="I85" s="124">
        <v>0</v>
      </c>
      <c r="J85" s="124">
        <v>0</v>
      </c>
      <c r="K85" s="124">
        <v>0</v>
      </c>
      <c r="L85" s="124">
        <v>0</v>
      </c>
      <c r="M85" s="124">
        <v>0</v>
      </c>
      <c r="N85" s="124">
        <v>0</v>
      </c>
      <c r="O85" s="124">
        <v>0</v>
      </c>
      <c r="P85" s="124">
        <v>0</v>
      </c>
      <c r="Q85" s="124">
        <v>1</v>
      </c>
      <c r="R85" s="124">
        <v>0</v>
      </c>
      <c r="S85" s="124">
        <v>0</v>
      </c>
      <c r="T85" s="124">
        <v>0</v>
      </c>
      <c r="U85" s="124">
        <v>0</v>
      </c>
      <c r="V85" s="124">
        <v>0</v>
      </c>
      <c r="W85" s="123">
        <v>89.7</v>
      </c>
      <c r="X85" s="123">
        <v>0</v>
      </c>
      <c r="Y85" s="123">
        <v>4.666666666666667</v>
      </c>
      <c r="Z85" s="122">
        <v>838.5</v>
      </c>
      <c r="AA85" s="122">
        <v>140.81690399999999</v>
      </c>
      <c r="AB85" s="122">
        <v>179.67857142857142</v>
      </c>
      <c r="AC85" s="122">
        <v>30.175050857142853</v>
      </c>
    </row>
    <row r="86" spans="1:29" x14ac:dyDescent="0.35">
      <c r="A86" s="120">
        <v>45203</v>
      </c>
      <c r="B86" s="124">
        <v>0</v>
      </c>
      <c r="C86" s="124">
        <v>0</v>
      </c>
      <c r="D86" s="124">
        <v>0</v>
      </c>
      <c r="E86" s="124">
        <v>1</v>
      </c>
      <c r="F86" s="124">
        <v>0</v>
      </c>
      <c r="G86" s="124">
        <v>0</v>
      </c>
      <c r="H86" s="124">
        <v>0</v>
      </c>
      <c r="I86" s="124">
        <v>0</v>
      </c>
      <c r="J86" s="124">
        <v>0</v>
      </c>
      <c r="K86" s="124">
        <v>0</v>
      </c>
      <c r="L86" s="124">
        <v>0</v>
      </c>
      <c r="M86" s="124">
        <v>0</v>
      </c>
      <c r="N86" s="124">
        <v>0</v>
      </c>
      <c r="O86" s="124">
        <v>0</v>
      </c>
      <c r="P86" s="124">
        <v>0</v>
      </c>
      <c r="Q86" s="124">
        <v>1</v>
      </c>
      <c r="R86" s="124">
        <v>0</v>
      </c>
      <c r="S86" s="124">
        <v>0</v>
      </c>
      <c r="T86" s="124">
        <v>0</v>
      </c>
      <c r="U86" s="124">
        <v>0</v>
      </c>
      <c r="V86" s="124">
        <v>0</v>
      </c>
      <c r="W86" s="123">
        <v>84.2</v>
      </c>
      <c r="X86" s="123">
        <v>0.35899999999999999</v>
      </c>
      <c r="Y86" s="123">
        <v>4.666666666666667</v>
      </c>
      <c r="Z86" s="122">
        <v>350</v>
      </c>
      <c r="AA86" s="122">
        <v>48.305231999999997</v>
      </c>
      <c r="AB86" s="122">
        <v>75</v>
      </c>
      <c r="AC86" s="122">
        <v>10.351121142857142</v>
      </c>
    </row>
    <row r="87" spans="1:29" x14ac:dyDescent="0.35">
      <c r="A87" s="120">
        <v>45206</v>
      </c>
      <c r="B87" s="124">
        <v>1</v>
      </c>
      <c r="C87" s="124">
        <v>0</v>
      </c>
      <c r="D87" s="124">
        <v>0</v>
      </c>
      <c r="E87" s="124">
        <v>0</v>
      </c>
      <c r="F87" s="124">
        <v>0</v>
      </c>
      <c r="G87" s="124">
        <v>0</v>
      </c>
      <c r="H87" s="124">
        <v>1</v>
      </c>
      <c r="I87" s="124">
        <v>0</v>
      </c>
      <c r="J87" s="124">
        <v>0</v>
      </c>
      <c r="K87" s="124">
        <v>0</v>
      </c>
      <c r="L87" s="124">
        <v>0</v>
      </c>
      <c r="M87" s="124">
        <v>0</v>
      </c>
      <c r="N87" s="124">
        <v>0</v>
      </c>
      <c r="O87" s="124">
        <v>0</v>
      </c>
      <c r="P87" s="124">
        <v>0</v>
      </c>
      <c r="Q87" s="124">
        <v>1</v>
      </c>
      <c r="R87" s="124">
        <v>0</v>
      </c>
      <c r="S87" s="124">
        <v>0</v>
      </c>
      <c r="T87" s="124">
        <v>1</v>
      </c>
      <c r="U87" s="124">
        <v>0</v>
      </c>
      <c r="V87" s="124">
        <v>0</v>
      </c>
      <c r="W87" s="123">
        <v>76.900000000000006</v>
      </c>
      <c r="X87" s="123">
        <v>0</v>
      </c>
      <c r="Y87" s="123">
        <v>6.8833333333333337</v>
      </c>
      <c r="Z87" s="122">
        <v>892</v>
      </c>
      <c r="AA87" s="122">
        <v>146.1317</v>
      </c>
      <c r="AB87" s="122">
        <v>129.58837772397095</v>
      </c>
      <c r="AC87" s="122">
        <v>21.229786924939464</v>
      </c>
    </row>
    <row r="88" spans="1:29" x14ac:dyDescent="0.35">
      <c r="A88" s="120">
        <v>45207</v>
      </c>
      <c r="B88" s="124">
        <v>1</v>
      </c>
      <c r="C88" s="124">
        <v>1</v>
      </c>
      <c r="D88" s="124">
        <v>0</v>
      </c>
      <c r="E88" s="124">
        <v>0</v>
      </c>
      <c r="F88" s="124">
        <v>0</v>
      </c>
      <c r="G88" s="124">
        <v>0</v>
      </c>
      <c r="H88" s="124">
        <v>0</v>
      </c>
      <c r="I88" s="124">
        <v>0</v>
      </c>
      <c r="J88" s="124">
        <v>0</v>
      </c>
      <c r="K88" s="124">
        <v>0</v>
      </c>
      <c r="L88" s="124">
        <v>0</v>
      </c>
      <c r="M88" s="124">
        <v>0</v>
      </c>
      <c r="N88" s="124">
        <v>0</v>
      </c>
      <c r="O88" s="124">
        <v>0</v>
      </c>
      <c r="P88" s="124">
        <v>0</v>
      </c>
      <c r="Q88" s="124">
        <v>1</v>
      </c>
      <c r="R88" s="124">
        <v>0</v>
      </c>
      <c r="S88" s="124">
        <v>0</v>
      </c>
      <c r="T88" s="124">
        <v>1</v>
      </c>
      <c r="U88" s="124">
        <v>0</v>
      </c>
      <c r="V88" s="124">
        <v>0</v>
      </c>
      <c r="W88" s="123">
        <v>73.400000000000006</v>
      </c>
      <c r="X88" s="123">
        <v>0</v>
      </c>
      <c r="Y88" s="123">
        <v>5.9333333333333336</v>
      </c>
      <c r="Z88" s="122">
        <v>1409</v>
      </c>
      <c r="AA88" s="122">
        <v>249.44045599999998</v>
      </c>
      <c r="AB88" s="122">
        <v>237.47191011235955</v>
      </c>
      <c r="AC88" s="122">
        <v>42.040526292134828</v>
      </c>
    </row>
    <row r="89" spans="1:29" x14ac:dyDescent="0.35">
      <c r="A89" s="120">
        <v>45208</v>
      </c>
      <c r="B89" s="124">
        <v>1</v>
      </c>
      <c r="C89" s="124">
        <v>0</v>
      </c>
      <c r="D89" s="124">
        <v>1</v>
      </c>
      <c r="E89" s="124">
        <v>0</v>
      </c>
      <c r="F89" s="124">
        <v>0</v>
      </c>
      <c r="G89" s="124">
        <v>0</v>
      </c>
      <c r="H89" s="124">
        <v>0</v>
      </c>
      <c r="I89" s="124">
        <v>0</v>
      </c>
      <c r="J89" s="124">
        <v>0</v>
      </c>
      <c r="K89" s="124">
        <v>0</v>
      </c>
      <c r="L89" s="124">
        <v>0</v>
      </c>
      <c r="M89" s="124">
        <v>0</v>
      </c>
      <c r="N89" s="124">
        <v>0</v>
      </c>
      <c r="O89" s="124">
        <v>0</v>
      </c>
      <c r="P89" s="124">
        <v>0</v>
      </c>
      <c r="Q89" s="124">
        <v>1</v>
      </c>
      <c r="R89" s="124">
        <v>0</v>
      </c>
      <c r="S89" s="124">
        <v>0</v>
      </c>
      <c r="T89" s="124">
        <v>0</v>
      </c>
      <c r="U89" s="124">
        <v>0</v>
      </c>
      <c r="V89" s="124">
        <v>0</v>
      </c>
      <c r="W89" s="123">
        <v>80.7</v>
      </c>
      <c r="X89" s="123">
        <v>0</v>
      </c>
      <c r="Y89" s="123">
        <v>6.2166666666666668</v>
      </c>
      <c r="Z89" s="122">
        <v>1222.5</v>
      </c>
      <c r="AA89" s="122">
        <v>231.20622</v>
      </c>
      <c r="AB89" s="122">
        <v>196.64879356568363</v>
      </c>
      <c r="AC89" s="122">
        <v>37.191349061662201</v>
      </c>
    </row>
    <row r="90" spans="1:29" x14ac:dyDescent="0.35">
      <c r="A90" s="120">
        <v>45209</v>
      </c>
      <c r="B90" s="124">
        <v>1</v>
      </c>
      <c r="C90" s="124">
        <v>0</v>
      </c>
      <c r="D90" s="124">
        <v>0</v>
      </c>
      <c r="E90" s="124">
        <v>0</v>
      </c>
      <c r="F90" s="124">
        <v>0</v>
      </c>
      <c r="G90" s="124">
        <v>0</v>
      </c>
      <c r="H90" s="124">
        <v>0</v>
      </c>
      <c r="I90" s="124">
        <v>0</v>
      </c>
      <c r="J90" s="124">
        <v>0</v>
      </c>
      <c r="K90" s="124">
        <v>0</v>
      </c>
      <c r="L90" s="124">
        <v>0</v>
      </c>
      <c r="M90" s="124">
        <v>0</v>
      </c>
      <c r="N90" s="124">
        <v>0</v>
      </c>
      <c r="O90" s="124">
        <v>0</v>
      </c>
      <c r="P90" s="124">
        <v>0</v>
      </c>
      <c r="Q90" s="124">
        <v>1</v>
      </c>
      <c r="R90" s="124">
        <v>0</v>
      </c>
      <c r="S90" s="124">
        <v>0</v>
      </c>
      <c r="T90" s="124">
        <v>0</v>
      </c>
      <c r="U90" s="124">
        <v>0</v>
      </c>
      <c r="V90" s="124">
        <v>0</v>
      </c>
      <c r="W90" s="123">
        <v>78.900000000000006</v>
      </c>
      <c r="X90" s="123">
        <v>0</v>
      </c>
      <c r="Y90" s="123">
        <v>4.5</v>
      </c>
      <c r="Z90" s="122">
        <v>1012</v>
      </c>
      <c r="AA90" s="122">
        <v>162.29396800000001</v>
      </c>
      <c r="AB90" s="122">
        <v>224.88888888888889</v>
      </c>
      <c r="AC90" s="122">
        <v>36.065326222222225</v>
      </c>
    </row>
    <row r="91" spans="1:29" x14ac:dyDescent="0.35">
      <c r="A91" s="120">
        <v>45210</v>
      </c>
      <c r="B91" s="124">
        <v>1</v>
      </c>
      <c r="C91" s="124">
        <v>0</v>
      </c>
      <c r="D91" s="124">
        <v>0</v>
      </c>
      <c r="E91" s="124">
        <v>1</v>
      </c>
      <c r="F91" s="124">
        <v>0</v>
      </c>
      <c r="G91" s="124">
        <v>0</v>
      </c>
      <c r="H91" s="124">
        <v>0</v>
      </c>
      <c r="I91" s="124">
        <v>0</v>
      </c>
      <c r="J91" s="124">
        <v>0</v>
      </c>
      <c r="K91" s="124">
        <v>0</v>
      </c>
      <c r="L91" s="124">
        <v>0</v>
      </c>
      <c r="M91" s="124">
        <v>0</v>
      </c>
      <c r="N91" s="124">
        <v>0</v>
      </c>
      <c r="O91" s="124">
        <v>0</v>
      </c>
      <c r="P91" s="124">
        <v>0</v>
      </c>
      <c r="Q91" s="124">
        <v>1</v>
      </c>
      <c r="R91" s="124">
        <v>0</v>
      </c>
      <c r="S91" s="124">
        <v>0</v>
      </c>
      <c r="T91" s="124">
        <v>0</v>
      </c>
      <c r="U91" s="124">
        <v>0</v>
      </c>
      <c r="V91" s="124">
        <v>0</v>
      </c>
      <c r="W91" s="123">
        <v>71.599999999999994</v>
      </c>
      <c r="X91" s="123">
        <v>0.28299999999999997</v>
      </c>
      <c r="Y91" s="123">
        <v>3.25</v>
      </c>
      <c r="Z91" s="122">
        <v>212.5</v>
      </c>
      <c r="AA91" s="122">
        <v>31.566172000000002</v>
      </c>
      <c r="AB91" s="122">
        <v>65.384615384615387</v>
      </c>
      <c r="AC91" s="122">
        <v>9.7126683076923079</v>
      </c>
    </row>
    <row r="92" spans="1:29" x14ac:dyDescent="0.35">
      <c r="A92" s="120">
        <v>45211</v>
      </c>
      <c r="B92" s="124">
        <v>1</v>
      </c>
      <c r="C92" s="124">
        <v>0</v>
      </c>
      <c r="D92" s="124">
        <v>0</v>
      </c>
      <c r="E92" s="124">
        <v>0</v>
      </c>
      <c r="F92" s="124">
        <v>1</v>
      </c>
      <c r="G92" s="124">
        <v>0</v>
      </c>
      <c r="H92" s="124">
        <v>0</v>
      </c>
      <c r="I92" s="124">
        <v>0</v>
      </c>
      <c r="J92" s="124">
        <v>0</v>
      </c>
      <c r="K92" s="124">
        <v>0</v>
      </c>
      <c r="L92" s="124">
        <v>0</v>
      </c>
      <c r="M92" s="124">
        <v>0</v>
      </c>
      <c r="N92" s="124">
        <v>0</v>
      </c>
      <c r="O92" s="124">
        <v>0</v>
      </c>
      <c r="P92" s="124">
        <v>0</v>
      </c>
      <c r="Q92" s="124">
        <v>1</v>
      </c>
      <c r="R92" s="124">
        <v>0</v>
      </c>
      <c r="S92" s="124">
        <v>0</v>
      </c>
      <c r="T92" s="124">
        <v>0</v>
      </c>
      <c r="U92" s="124">
        <v>0</v>
      </c>
      <c r="V92" s="124">
        <v>0</v>
      </c>
      <c r="W92" s="123">
        <v>78.900000000000006</v>
      </c>
      <c r="X92" s="123">
        <v>0</v>
      </c>
      <c r="Y92" s="123">
        <v>3.75</v>
      </c>
      <c r="Z92" s="122">
        <v>306.5</v>
      </c>
      <c r="AA92" s="122">
        <v>50.00262</v>
      </c>
      <c r="AB92" s="122">
        <v>81.733333333333334</v>
      </c>
      <c r="AC92" s="122">
        <v>13.334032000000001</v>
      </c>
    </row>
    <row r="93" spans="1:29" x14ac:dyDescent="0.35">
      <c r="A93" s="120">
        <v>45214</v>
      </c>
      <c r="B93" s="124">
        <v>1</v>
      </c>
      <c r="C93" s="124">
        <v>1</v>
      </c>
      <c r="D93" s="124">
        <v>0</v>
      </c>
      <c r="E93" s="124">
        <v>0</v>
      </c>
      <c r="F93" s="124">
        <v>0</v>
      </c>
      <c r="G93" s="124">
        <v>0</v>
      </c>
      <c r="H93" s="124">
        <v>0</v>
      </c>
      <c r="I93" s="124">
        <v>0</v>
      </c>
      <c r="J93" s="124">
        <v>0</v>
      </c>
      <c r="K93" s="124">
        <v>0</v>
      </c>
      <c r="L93" s="124">
        <v>0</v>
      </c>
      <c r="M93" s="124">
        <v>0</v>
      </c>
      <c r="N93" s="124">
        <v>0</v>
      </c>
      <c r="O93" s="124">
        <v>0</v>
      </c>
      <c r="P93" s="124">
        <v>0</v>
      </c>
      <c r="Q93" s="124">
        <v>1</v>
      </c>
      <c r="R93" s="124">
        <v>0</v>
      </c>
      <c r="S93" s="124">
        <v>0</v>
      </c>
      <c r="T93" s="124">
        <v>1</v>
      </c>
      <c r="U93" s="124">
        <v>0</v>
      </c>
      <c r="V93" s="124">
        <v>0</v>
      </c>
      <c r="W93" s="123">
        <v>70</v>
      </c>
      <c r="X93" s="123">
        <v>0</v>
      </c>
      <c r="Y93" s="123">
        <v>6.0166666666666666</v>
      </c>
      <c r="Z93" s="122">
        <v>1403.5</v>
      </c>
      <c r="AA93" s="122">
        <v>137.80432400000001</v>
      </c>
      <c r="AB93" s="122">
        <v>233.26869806094183</v>
      </c>
      <c r="AC93" s="122">
        <v>22.903765761772856</v>
      </c>
    </row>
    <row r="94" spans="1:29" x14ac:dyDescent="0.35">
      <c r="A94" s="120">
        <v>45215</v>
      </c>
      <c r="B94" s="124">
        <v>1</v>
      </c>
      <c r="C94" s="124">
        <v>0</v>
      </c>
      <c r="D94" s="124">
        <v>1</v>
      </c>
      <c r="E94" s="124">
        <v>0</v>
      </c>
      <c r="F94" s="124">
        <v>0</v>
      </c>
      <c r="G94" s="124">
        <v>0</v>
      </c>
      <c r="H94" s="124">
        <v>0</v>
      </c>
      <c r="I94" s="124">
        <v>0</v>
      </c>
      <c r="J94" s="124">
        <v>0</v>
      </c>
      <c r="K94" s="124">
        <v>0</v>
      </c>
      <c r="L94" s="124">
        <v>0</v>
      </c>
      <c r="M94" s="124">
        <v>0</v>
      </c>
      <c r="N94" s="124">
        <v>0</v>
      </c>
      <c r="O94" s="124">
        <v>0</v>
      </c>
      <c r="P94" s="124">
        <v>0</v>
      </c>
      <c r="Q94" s="124">
        <v>1</v>
      </c>
      <c r="R94" s="124">
        <v>0</v>
      </c>
      <c r="S94" s="124">
        <v>0</v>
      </c>
      <c r="T94" s="124">
        <v>0</v>
      </c>
      <c r="U94" s="124">
        <v>0</v>
      </c>
      <c r="V94" s="124">
        <v>0</v>
      </c>
      <c r="W94" s="123">
        <v>66.400000000000006</v>
      </c>
      <c r="X94" s="123">
        <v>0</v>
      </c>
      <c r="Y94" s="123">
        <v>6.4333333333333336</v>
      </c>
      <c r="Z94" s="122">
        <v>1422.48</v>
      </c>
      <c r="AA94" s="122">
        <v>242.09894400000002</v>
      </c>
      <c r="AB94" s="122">
        <v>221.11088082901554</v>
      </c>
      <c r="AC94" s="122">
        <v>37.63196020725389</v>
      </c>
    </row>
    <row r="95" spans="1:29" x14ac:dyDescent="0.35">
      <c r="A95" s="120">
        <v>45216</v>
      </c>
      <c r="B95" s="124">
        <v>0</v>
      </c>
      <c r="C95" s="124">
        <v>0</v>
      </c>
      <c r="D95" s="124">
        <v>0</v>
      </c>
      <c r="E95" s="124">
        <v>0</v>
      </c>
      <c r="F95" s="124">
        <v>0</v>
      </c>
      <c r="G95" s="124">
        <v>0</v>
      </c>
      <c r="H95" s="124">
        <v>0</v>
      </c>
      <c r="I95" s="124">
        <v>0</v>
      </c>
      <c r="J95" s="124">
        <v>0</v>
      </c>
      <c r="K95" s="124">
        <v>0</v>
      </c>
      <c r="L95" s="124">
        <v>0</v>
      </c>
      <c r="M95" s="124">
        <v>0</v>
      </c>
      <c r="N95" s="124">
        <v>0</v>
      </c>
      <c r="O95" s="124">
        <v>0</v>
      </c>
      <c r="P95" s="124">
        <v>0</v>
      </c>
      <c r="Q95" s="124">
        <v>1</v>
      </c>
      <c r="R95" s="124">
        <v>0</v>
      </c>
      <c r="S95" s="124">
        <v>0</v>
      </c>
      <c r="T95" s="124">
        <v>0</v>
      </c>
      <c r="U95" s="124">
        <v>0</v>
      </c>
      <c r="V95" s="124">
        <v>0</v>
      </c>
      <c r="W95" s="123">
        <v>72.7</v>
      </c>
      <c r="X95" s="123">
        <v>0</v>
      </c>
      <c r="Y95" s="123">
        <v>5.2</v>
      </c>
      <c r="Z95" s="122">
        <v>836</v>
      </c>
      <c r="AA95" s="122">
        <v>115.57019199999999</v>
      </c>
      <c r="AB95" s="122">
        <v>160.76923076923077</v>
      </c>
      <c r="AC95" s="122">
        <v>22.225036923076921</v>
      </c>
    </row>
    <row r="96" spans="1:29" x14ac:dyDescent="0.35">
      <c r="A96" s="120">
        <v>45216</v>
      </c>
      <c r="B96" s="124">
        <v>1</v>
      </c>
      <c r="C96" s="124">
        <v>0</v>
      </c>
      <c r="D96" s="124">
        <v>0</v>
      </c>
      <c r="E96" s="124">
        <v>0</v>
      </c>
      <c r="F96" s="124">
        <v>0</v>
      </c>
      <c r="G96" s="124">
        <v>0</v>
      </c>
      <c r="H96" s="124">
        <v>0</v>
      </c>
      <c r="I96" s="124">
        <v>0</v>
      </c>
      <c r="J96" s="124">
        <v>0</v>
      </c>
      <c r="K96" s="124">
        <v>0</v>
      </c>
      <c r="L96" s="124">
        <v>0</v>
      </c>
      <c r="M96" s="124">
        <v>0</v>
      </c>
      <c r="N96" s="124">
        <v>0</v>
      </c>
      <c r="O96" s="124">
        <v>0</v>
      </c>
      <c r="P96" s="124">
        <v>0</v>
      </c>
      <c r="Q96" s="124">
        <v>1</v>
      </c>
      <c r="R96" s="124">
        <v>0</v>
      </c>
      <c r="S96" s="124">
        <v>0</v>
      </c>
      <c r="T96" s="124">
        <v>0</v>
      </c>
      <c r="U96" s="124">
        <v>0</v>
      </c>
      <c r="V96" s="124">
        <v>0</v>
      </c>
      <c r="W96" s="123">
        <v>72.7</v>
      </c>
      <c r="X96" s="123">
        <v>0</v>
      </c>
      <c r="Y96" s="123">
        <v>2.9333333333333331</v>
      </c>
      <c r="Z96" s="122">
        <v>245</v>
      </c>
      <c r="AA96" s="122">
        <v>39.669471999999999</v>
      </c>
      <c r="AB96" s="122">
        <v>83.52272727272728</v>
      </c>
      <c r="AC96" s="122">
        <v>13.523683636363637</v>
      </c>
    </row>
    <row r="97" spans="1:29" x14ac:dyDescent="0.35">
      <c r="A97" s="120">
        <v>45217</v>
      </c>
      <c r="B97" s="124">
        <v>1</v>
      </c>
      <c r="C97" s="124">
        <v>0</v>
      </c>
      <c r="D97" s="124">
        <v>0</v>
      </c>
      <c r="E97" s="124">
        <v>1</v>
      </c>
      <c r="F97" s="124">
        <v>0</v>
      </c>
      <c r="G97" s="124">
        <v>0</v>
      </c>
      <c r="H97" s="124">
        <v>0</v>
      </c>
      <c r="I97" s="124">
        <v>0</v>
      </c>
      <c r="J97" s="124">
        <v>0</v>
      </c>
      <c r="K97" s="124">
        <v>0</v>
      </c>
      <c r="L97" s="124">
        <v>0</v>
      </c>
      <c r="M97" s="124">
        <v>0</v>
      </c>
      <c r="N97" s="124">
        <v>0</v>
      </c>
      <c r="O97" s="124">
        <v>0</v>
      </c>
      <c r="P97" s="124">
        <v>0</v>
      </c>
      <c r="Q97" s="124">
        <v>1</v>
      </c>
      <c r="R97" s="124">
        <v>0</v>
      </c>
      <c r="S97" s="124">
        <v>0</v>
      </c>
      <c r="T97" s="124">
        <v>0</v>
      </c>
      <c r="U97" s="124">
        <v>0</v>
      </c>
      <c r="V97" s="124">
        <v>0</v>
      </c>
      <c r="W97" s="123">
        <v>79</v>
      </c>
      <c r="X97" s="123">
        <v>0</v>
      </c>
      <c r="Y97" s="123">
        <v>4.5666666666666664</v>
      </c>
      <c r="Z97" s="122">
        <v>1018</v>
      </c>
      <c r="AA97" s="122">
        <v>188.66008000000002</v>
      </c>
      <c r="AB97" s="122">
        <v>222.9197080291971</v>
      </c>
      <c r="AC97" s="122">
        <v>41.312426277372268</v>
      </c>
    </row>
    <row r="98" spans="1:29" x14ac:dyDescent="0.35">
      <c r="A98" s="120">
        <v>45218</v>
      </c>
      <c r="B98" s="124">
        <v>1</v>
      </c>
      <c r="C98" s="124">
        <v>0</v>
      </c>
      <c r="D98" s="124">
        <v>0</v>
      </c>
      <c r="E98" s="124">
        <v>0</v>
      </c>
      <c r="F98" s="124">
        <v>1</v>
      </c>
      <c r="G98" s="124">
        <v>0</v>
      </c>
      <c r="H98" s="124">
        <v>0</v>
      </c>
      <c r="I98" s="124">
        <v>0</v>
      </c>
      <c r="J98" s="124">
        <v>0</v>
      </c>
      <c r="K98" s="124">
        <v>0</v>
      </c>
      <c r="L98" s="124">
        <v>0</v>
      </c>
      <c r="M98" s="124">
        <v>0</v>
      </c>
      <c r="N98" s="124">
        <v>0</v>
      </c>
      <c r="O98" s="124">
        <v>0</v>
      </c>
      <c r="P98" s="124">
        <v>0</v>
      </c>
      <c r="Q98" s="124">
        <v>1</v>
      </c>
      <c r="R98" s="124">
        <v>0</v>
      </c>
      <c r="S98" s="124">
        <v>0</v>
      </c>
      <c r="T98" s="124">
        <v>0</v>
      </c>
      <c r="U98" s="124">
        <v>0</v>
      </c>
      <c r="V98" s="124">
        <v>0</v>
      </c>
      <c r="W98" s="123">
        <v>84.3</v>
      </c>
      <c r="X98" s="123">
        <v>0</v>
      </c>
      <c r="Y98" s="123">
        <v>6.05</v>
      </c>
      <c r="Z98" s="122">
        <v>955</v>
      </c>
      <c r="AA98" s="122">
        <v>156.47206000000003</v>
      </c>
      <c r="AB98" s="122">
        <v>157.85123966942149</v>
      </c>
      <c r="AC98" s="122">
        <v>25.863150413223146</v>
      </c>
    </row>
    <row r="99" spans="1:29" x14ac:dyDescent="0.35">
      <c r="A99" s="120">
        <v>45221</v>
      </c>
      <c r="B99" s="124">
        <v>1</v>
      </c>
      <c r="C99" s="124">
        <v>1</v>
      </c>
      <c r="D99" s="124">
        <v>0</v>
      </c>
      <c r="E99" s="124">
        <v>0</v>
      </c>
      <c r="F99" s="124">
        <v>0</v>
      </c>
      <c r="G99" s="124">
        <v>0</v>
      </c>
      <c r="H99" s="124">
        <v>0</v>
      </c>
      <c r="I99" s="124">
        <v>0</v>
      </c>
      <c r="J99" s="124">
        <v>0</v>
      </c>
      <c r="K99" s="124">
        <v>0</v>
      </c>
      <c r="L99" s="124">
        <v>0</v>
      </c>
      <c r="M99" s="124">
        <v>0</v>
      </c>
      <c r="N99" s="124">
        <v>0</v>
      </c>
      <c r="O99" s="124">
        <v>0</v>
      </c>
      <c r="P99" s="124">
        <v>0</v>
      </c>
      <c r="Q99" s="124">
        <v>1</v>
      </c>
      <c r="R99" s="124">
        <v>0</v>
      </c>
      <c r="S99" s="124">
        <v>0</v>
      </c>
      <c r="T99" s="124">
        <v>1</v>
      </c>
      <c r="U99" s="124">
        <v>0</v>
      </c>
      <c r="V99" s="124">
        <v>0</v>
      </c>
      <c r="W99" s="123">
        <v>84.3</v>
      </c>
      <c r="X99" s="123">
        <v>0</v>
      </c>
      <c r="Y99" s="123">
        <v>5.4833333333333334</v>
      </c>
      <c r="Z99" s="122">
        <v>1040.5</v>
      </c>
      <c r="AA99" s="122">
        <v>174.95838000000001</v>
      </c>
      <c r="AB99" s="122">
        <v>189.75683890577508</v>
      </c>
      <c r="AC99" s="122">
        <v>31.907303343465045</v>
      </c>
    </row>
    <row r="100" spans="1:29" x14ac:dyDescent="0.35">
      <c r="A100" s="120">
        <v>45222</v>
      </c>
      <c r="B100" s="124">
        <v>1</v>
      </c>
      <c r="C100" s="124">
        <v>0</v>
      </c>
      <c r="D100" s="124">
        <v>1</v>
      </c>
      <c r="E100" s="124">
        <v>0</v>
      </c>
      <c r="F100" s="124">
        <v>0</v>
      </c>
      <c r="G100" s="124">
        <v>0</v>
      </c>
      <c r="H100" s="124">
        <v>0</v>
      </c>
      <c r="I100" s="124">
        <v>0</v>
      </c>
      <c r="J100" s="124">
        <v>0</v>
      </c>
      <c r="K100" s="124">
        <v>0</v>
      </c>
      <c r="L100" s="124">
        <v>0</v>
      </c>
      <c r="M100" s="124">
        <v>0</v>
      </c>
      <c r="N100" s="124">
        <v>0</v>
      </c>
      <c r="O100" s="124">
        <v>0</v>
      </c>
      <c r="P100" s="124">
        <v>0</v>
      </c>
      <c r="Q100" s="124">
        <v>1</v>
      </c>
      <c r="R100" s="124">
        <v>0</v>
      </c>
      <c r="S100" s="124">
        <v>0</v>
      </c>
      <c r="T100" s="124">
        <v>0</v>
      </c>
      <c r="U100" s="124">
        <v>0</v>
      </c>
      <c r="V100" s="124">
        <v>0</v>
      </c>
      <c r="W100" s="123">
        <v>85.1</v>
      </c>
      <c r="X100" s="123">
        <v>4.4999999999999998E-2</v>
      </c>
      <c r="Y100" s="123">
        <v>5.583333333333333</v>
      </c>
      <c r="Z100" s="122">
        <v>1279</v>
      </c>
      <c r="AA100" s="122">
        <v>204.05530799999997</v>
      </c>
      <c r="AB100" s="122">
        <v>229.07462686567166</v>
      </c>
      <c r="AC100" s="122">
        <v>36.547219343283579</v>
      </c>
    </row>
    <row r="101" spans="1:29" x14ac:dyDescent="0.35">
      <c r="A101" s="120">
        <v>45223</v>
      </c>
      <c r="B101" s="124">
        <v>0</v>
      </c>
      <c r="C101" s="124">
        <v>0</v>
      </c>
      <c r="D101" s="124">
        <v>0</v>
      </c>
      <c r="E101" s="124">
        <v>0</v>
      </c>
      <c r="F101" s="124">
        <v>0</v>
      </c>
      <c r="G101" s="124">
        <v>0</v>
      </c>
      <c r="H101" s="124">
        <v>0</v>
      </c>
      <c r="I101" s="124">
        <v>0</v>
      </c>
      <c r="J101" s="124">
        <v>0</v>
      </c>
      <c r="K101" s="124">
        <v>0</v>
      </c>
      <c r="L101" s="124">
        <v>0</v>
      </c>
      <c r="M101" s="124">
        <v>0</v>
      </c>
      <c r="N101" s="124">
        <v>0</v>
      </c>
      <c r="O101" s="124">
        <v>0</v>
      </c>
      <c r="P101" s="124">
        <v>0</v>
      </c>
      <c r="Q101" s="124">
        <v>1</v>
      </c>
      <c r="R101" s="124">
        <v>0</v>
      </c>
      <c r="S101" s="124">
        <v>0</v>
      </c>
      <c r="T101" s="124">
        <v>0</v>
      </c>
      <c r="U101" s="124">
        <v>0</v>
      </c>
      <c r="V101" s="124">
        <v>0</v>
      </c>
      <c r="W101" s="123">
        <v>82.7</v>
      </c>
      <c r="X101" s="123">
        <v>0</v>
      </c>
      <c r="Y101" s="123">
        <v>3.2333333333333334</v>
      </c>
      <c r="Z101" s="122">
        <v>640</v>
      </c>
      <c r="AA101" s="122">
        <v>102.89900799999999</v>
      </c>
      <c r="AB101" s="122">
        <v>197.93814432989691</v>
      </c>
      <c r="AC101" s="122">
        <v>31.824435463917524</v>
      </c>
    </row>
    <row r="102" spans="1:29" x14ac:dyDescent="0.35">
      <c r="A102" s="120">
        <v>45223</v>
      </c>
      <c r="B102" s="124">
        <v>1</v>
      </c>
      <c r="C102" s="124">
        <v>0</v>
      </c>
      <c r="D102" s="124">
        <v>0</v>
      </c>
      <c r="E102" s="124">
        <v>0</v>
      </c>
      <c r="F102" s="124">
        <v>0</v>
      </c>
      <c r="G102" s="124">
        <v>0</v>
      </c>
      <c r="H102" s="124">
        <v>0</v>
      </c>
      <c r="I102" s="124">
        <v>0</v>
      </c>
      <c r="J102" s="124">
        <v>0</v>
      </c>
      <c r="K102" s="124">
        <v>0</v>
      </c>
      <c r="L102" s="124">
        <v>0</v>
      </c>
      <c r="M102" s="124">
        <v>0</v>
      </c>
      <c r="N102" s="124">
        <v>0</v>
      </c>
      <c r="O102" s="124">
        <v>0</v>
      </c>
      <c r="P102" s="124">
        <v>0</v>
      </c>
      <c r="Q102" s="124">
        <v>1</v>
      </c>
      <c r="R102" s="124">
        <v>0</v>
      </c>
      <c r="S102" s="124">
        <v>0</v>
      </c>
      <c r="T102" s="124">
        <v>0</v>
      </c>
      <c r="U102" s="124">
        <v>0</v>
      </c>
      <c r="V102" s="124">
        <v>0</v>
      </c>
      <c r="W102" s="123">
        <v>82.7</v>
      </c>
      <c r="X102" s="123">
        <v>0</v>
      </c>
      <c r="Y102" s="123">
        <v>3.6</v>
      </c>
      <c r="Z102" s="122">
        <v>558</v>
      </c>
      <c r="AA102" s="122">
        <v>90.058800000000005</v>
      </c>
      <c r="AB102" s="122">
        <v>155</v>
      </c>
      <c r="AC102" s="122">
        <v>25.016333333333336</v>
      </c>
    </row>
    <row r="103" spans="1:29" x14ac:dyDescent="0.35">
      <c r="A103" s="120">
        <v>45224</v>
      </c>
      <c r="B103" s="124">
        <v>0</v>
      </c>
      <c r="C103" s="124">
        <v>0</v>
      </c>
      <c r="D103" s="124">
        <v>0</v>
      </c>
      <c r="E103" s="124">
        <v>1</v>
      </c>
      <c r="F103" s="124">
        <v>0</v>
      </c>
      <c r="G103" s="124">
        <v>0</v>
      </c>
      <c r="H103" s="124">
        <v>0</v>
      </c>
      <c r="I103" s="124">
        <v>0</v>
      </c>
      <c r="J103" s="124">
        <v>0</v>
      </c>
      <c r="K103" s="124">
        <v>0</v>
      </c>
      <c r="L103" s="124">
        <v>0</v>
      </c>
      <c r="M103" s="124">
        <v>0</v>
      </c>
      <c r="N103" s="124">
        <v>0</v>
      </c>
      <c r="O103" s="124">
        <v>0</v>
      </c>
      <c r="P103" s="124">
        <v>0</v>
      </c>
      <c r="Q103" s="124">
        <v>1</v>
      </c>
      <c r="R103" s="124">
        <v>0</v>
      </c>
      <c r="S103" s="124">
        <v>0</v>
      </c>
      <c r="T103" s="124">
        <v>0</v>
      </c>
      <c r="U103" s="124">
        <v>0</v>
      </c>
      <c r="V103" s="124">
        <v>0</v>
      </c>
      <c r="W103" s="123">
        <v>85.6</v>
      </c>
      <c r="X103" s="123">
        <v>0</v>
      </c>
      <c r="Y103" s="123">
        <v>3.2666666666666666</v>
      </c>
      <c r="Z103" s="122">
        <v>351</v>
      </c>
      <c r="AA103" s="122">
        <v>60.758799999999994</v>
      </c>
      <c r="AB103" s="122">
        <v>107.44897959183673</v>
      </c>
      <c r="AC103" s="122">
        <v>18.599632653061224</v>
      </c>
    </row>
    <row r="104" spans="1:29" x14ac:dyDescent="0.35">
      <c r="A104" s="120">
        <v>45226</v>
      </c>
      <c r="B104" s="124">
        <v>1</v>
      </c>
      <c r="C104" s="124">
        <v>0</v>
      </c>
      <c r="D104" s="124">
        <v>0</v>
      </c>
      <c r="E104" s="124">
        <v>0</v>
      </c>
      <c r="F104" s="124">
        <v>0</v>
      </c>
      <c r="G104" s="124">
        <v>1</v>
      </c>
      <c r="H104" s="124">
        <v>0</v>
      </c>
      <c r="I104" s="124">
        <v>0</v>
      </c>
      <c r="J104" s="124">
        <v>0</v>
      </c>
      <c r="K104" s="124">
        <v>0</v>
      </c>
      <c r="L104" s="124">
        <v>0</v>
      </c>
      <c r="M104" s="124">
        <v>0</v>
      </c>
      <c r="N104" s="124">
        <v>0</v>
      </c>
      <c r="O104" s="124">
        <v>0</v>
      </c>
      <c r="P104" s="124">
        <v>0</v>
      </c>
      <c r="Q104" s="124">
        <v>1</v>
      </c>
      <c r="R104" s="124">
        <v>0</v>
      </c>
      <c r="S104" s="124">
        <v>0</v>
      </c>
      <c r="T104" s="124">
        <v>1</v>
      </c>
      <c r="U104" s="124">
        <v>0</v>
      </c>
      <c r="V104" s="124">
        <v>0</v>
      </c>
      <c r="W104" s="123">
        <v>85.3</v>
      </c>
      <c r="X104" s="123">
        <v>4.0000000000000001E-3</v>
      </c>
      <c r="Y104" s="123">
        <v>5.4333333333333336</v>
      </c>
      <c r="Z104" s="122">
        <v>1010</v>
      </c>
      <c r="AA104" s="122">
        <v>198.68506400000001</v>
      </c>
      <c r="AB104" s="122">
        <v>185.88957055214723</v>
      </c>
      <c r="AC104" s="122">
        <v>36.567803190184051</v>
      </c>
    </row>
    <row r="105" spans="1:29" x14ac:dyDescent="0.35">
      <c r="A105" s="120">
        <v>45227</v>
      </c>
      <c r="B105" s="124">
        <v>1</v>
      </c>
      <c r="C105" s="124">
        <v>0</v>
      </c>
      <c r="D105" s="124">
        <v>0</v>
      </c>
      <c r="E105" s="124">
        <v>0</v>
      </c>
      <c r="F105" s="124">
        <v>0</v>
      </c>
      <c r="G105" s="124">
        <v>0</v>
      </c>
      <c r="H105" s="124">
        <v>1</v>
      </c>
      <c r="I105" s="124">
        <v>0</v>
      </c>
      <c r="J105" s="124">
        <v>0</v>
      </c>
      <c r="K105" s="124">
        <v>0</v>
      </c>
      <c r="L105" s="124">
        <v>0</v>
      </c>
      <c r="M105" s="124">
        <v>0</v>
      </c>
      <c r="N105" s="124">
        <v>0</v>
      </c>
      <c r="O105" s="124">
        <v>0</v>
      </c>
      <c r="P105" s="124">
        <v>0</v>
      </c>
      <c r="Q105" s="124">
        <v>1</v>
      </c>
      <c r="R105" s="124">
        <v>0</v>
      </c>
      <c r="S105" s="124">
        <v>0</v>
      </c>
      <c r="T105" s="124">
        <v>1</v>
      </c>
      <c r="U105" s="124">
        <v>0</v>
      </c>
      <c r="V105" s="124">
        <v>0</v>
      </c>
      <c r="W105" s="123">
        <v>84.3</v>
      </c>
      <c r="X105" s="123">
        <v>0</v>
      </c>
      <c r="Y105" s="123">
        <v>7.6833333333333336</v>
      </c>
      <c r="Z105" s="122">
        <v>1353</v>
      </c>
      <c r="AA105" s="122">
        <v>220.97762</v>
      </c>
      <c r="AB105" s="122">
        <v>176.09544468546636</v>
      </c>
      <c r="AC105" s="122">
        <v>28.760644685466378</v>
      </c>
    </row>
    <row r="106" spans="1:29" x14ac:dyDescent="0.35">
      <c r="A106" s="120">
        <v>45229</v>
      </c>
      <c r="B106" s="124">
        <v>1</v>
      </c>
      <c r="C106" s="124">
        <v>0</v>
      </c>
      <c r="D106" s="124">
        <v>1</v>
      </c>
      <c r="E106" s="124">
        <v>0</v>
      </c>
      <c r="F106" s="124">
        <v>0</v>
      </c>
      <c r="G106" s="124">
        <v>0</v>
      </c>
      <c r="H106" s="124">
        <v>0</v>
      </c>
      <c r="I106" s="124">
        <v>0</v>
      </c>
      <c r="J106" s="124">
        <v>0</v>
      </c>
      <c r="K106" s="124">
        <v>0</v>
      </c>
      <c r="L106" s="124">
        <v>0</v>
      </c>
      <c r="M106" s="124">
        <v>0</v>
      </c>
      <c r="N106" s="124">
        <v>0</v>
      </c>
      <c r="O106" s="124">
        <v>0</v>
      </c>
      <c r="P106" s="124">
        <v>0</v>
      </c>
      <c r="Q106" s="124">
        <v>1</v>
      </c>
      <c r="R106" s="124">
        <v>0</v>
      </c>
      <c r="S106" s="124">
        <v>0</v>
      </c>
      <c r="T106" s="124">
        <v>0</v>
      </c>
      <c r="U106" s="124">
        <v>0</v>
      </c>
      <c r="V106" s="124">
        <v>0</v>
      </c>
      <c r="W106" s="123">
        <v>54.7</v>
      </c>
      <c r="X106" s="123">
        <v>0</v>
      </c>
      <c r="Y106" s="123">
        <v>3.7</v>
      </c>
      <c r="Z106" s="122">
        <v>593</v>
      </c>
      <c r="AA106" s="122">
        <v>99.087248000000002</v>
      </c>
      <c r="AB106" s="122">
        <v>160.27027027027026</v>
      </c>
      <c r="AC106" s="122">
        <v>26.780337297297297</v>
      </c>
    </row>
    <row r="107" spans="1:29" x14ac:dyDescent="0.35">
      <c r="A107" s="120">
        <v>45230</v>
      </c>
      <c r="B107" s="124">
        <v>0</v>
      </c>
      <c r="C107" s="124">
        <v>0</v>
      </c>
      <c r="D107" s="124">
        <v>0</v>
      </c>
      <c r="E107" s="124">
        <v>0</v>
      </c>
      <c r="F107" s="124">
        <v>0</v>
      </c>
      <c r="G107" s="124">
        <v>0</v>
      </c>
      <c r="H107" s="124">
        <v>0</v>
      </c>
      <c r="I107" s="124">
        <v>0</v>
      </c>
      <c r="J107" s="124">
        <v>0</v>
      </c>
      <c r="K107" s="124">
        <v>0</v>
      </c>
      <c r="L107" s="124">
        <v>0</v>
      </c>
      <c r="M107" s="124">
        <v>0</v>
      </c>
      <c r="N107" s="124">
        <v>0</v>
      </c>
      <c r="O107" s="124">
        <v>0</v>
      </c>
      <c r="P107" s="124">
        <v>0</v>
      </c>
      <c r="Q107" s="124">
        <v>1</v>
      </c>
      <c r="R107" s="124">
        <v>0</v>
      </c>
      <c r="S107" s="124">
        <v>0</v>
      </c>
      <c r="T107" s="124">
        <v>0</v>
      </c>
      <c r="U107" s="124">
        <v>0</v>
      </c>
      <c r="V107" s="124">
        <v>0</v>
      </c>
      <c r="W107" s="123">
        <v>58.1</v>
      </c>
      <c r="X107" s="123">
        <v>8.0000000000000002E-3</v>
      </c>
      <c r="Y107" s="123">
        <v>3.2166666666666668</v>
      </c>
      <c r="Z107" s="122">
        <v>410</v>
      </c>
      <c r="AA107" s="122">
        <v>71.073899999999995</v>
      </c>
      <c r="AB107" s="122">
        <v>127.46113989637306</v>
      </c>
      <c r="AC107" s="122">
        <v>22.095512953367873</v>
      </c>
    </row>
    <row r="108" spans="1:29" x14ac:dyDescent="0.35">
      <c r="A108" s="120">
        <v>45230</v>
      </c>
      <c r="B108" s="124">
        <v>1</v>
      </c>
      <c r="C108" s="124">
        <v>0</v>
      </c>
      <c r="D108" s="124">
        <v>0</v>
      </c>
      <c r="E108" s="124">
        <v>0</v>
      </c>
      <c r="F108" s="124">
        <v>0</v>
      </c>
      <c r="G108" s="124">
        <v>0</v>
      </c>
      <c r="H108" s="124">
        <v>0</v>
      </c>
      <c r="I108" s="124">
        <v>0</v>
      </c>
      <c r="J108" s="124">
        <v>0</v>
      </c>
      <c r="K108" s="124">
        <v>0</v>
      </c>
      <c r="L108" s="124">
        <v>0</v>
      </c>
      <c r="M108" s="124">
        <v>0</v>
      </c>
      <c r="N108" s="124">
        <v>0</v>
      </c>
      <c r="O108" s="124">
        <v>0</v>
      </c>
      <c r="P108" s="124">
        <v>0</v>
      </c>
      <c r="Q108" s="124">
        <v>1</v>
      </c>
      <c r="R108" s="124">
        <v>0</v>
      </c>
      <c r="S108" s="124">
        <v>0</v>
      </c>
      <c r="T108" s="124">
        <v>0</v>
      </c>
      <c r="U108" s="124">
        <v>0</v>
      </c>
      <c r="V108" s="124">
        <v>0</v>
      </c>
      <c r="W108" s="123">
        <v>58.1</v>
      </c>
      <c r="X108" s="123">
        <v>8.0000000000000002E-3</v>
      </c>
      <c r="Y108" s="123">
        <v>3.6166666666666667</v>
      </c>
      <c r="Z108" s="122">
        <v>603</v>
      </c>
      <c r="AA108" s="122">
        <v>94.832580000000007</v>
      </c>
      <c r="AB108" s="122">
        <v>166.72811059907835</v>
      </c>
      <c r="AC108" s="122">
        <v>26.220989861751153</v>
      </c>
    </row>
    <row r="109" spans="1:29" x14ac:dyDescent="0.35">
      <c r="A109" s="120">
        <v>45233</v>
      </c>
      <c r="B109" s="124">
        <v>1</v>
      </c>
      <c r="C109" s="124">
        <v>0</v>
      </c>
      <c r="D109" s="124">
        <v>0</v>
      </c>
      <c r="E109" s="124">
        <v>0</v>
      </c>
      <c r="F109" s="124">
        <v>0</v>
      </c>
      <c r="G109" s="124">
        <v>1</v>
      </c>
      <c r="H109" s="124">
        <v>0</v>
      </c>
      <c r="I109" s="124">
        <v>0</v>
      </c>
      <c r="J109" s="124">
        <v>0</v>
      </c>
      <c r="K109" s="124">
        <v>0</v>
      </c>
      <c r="L109" s="124">
        <v>0</v>
      </c>
      <c r="M109" s="124">
        <v>0</v>
      </c>
      <c r="N109" s="124">
        <v>0</v>
      </c>
      <c r="O109" s="124">
        <v>0</v>
      </c>
      <c r="P109" s="124">
        <v>0</v>
      </c>
      <c r="Q109" s="124">
        <v>0</v>
      </c>
      <c r="R109" s="124">
        <v>1</v>
      </c>
      <c r="S109" s="124">
        <v>0</v>
      </c>
      <c r="T109" s="124">
        <v>1</v>
      </c>
      <c r="U109" s="124">
        <v>0</v>
      </c>
      <c r="V109" s="124">
        <v>0</v>
      </c>
      <c r="W109" s="123">
        <v>74.2</v>
      </c>
      <c r="X109" s="123">
        <v>0</v>
      </c>
      <c r="Y109" s="123">
        <v>7.083333333333333</v>
      </c>
      <c r="Z109" s="122">
        <v>1618.5</v>
      </c>
      <c r="AA109" s="122">
        <v>333.18904399999997</v>
      </c>
      <c r="AB109" s="122">
        <v>228.49411764705883</v>
      </c>
      <c r="AC109" s="122">
        <v>47.038453270588235</v>
      </c>
    </row>
    <row r="110" spans="1:29" x14ac:dyDescent="0.35">
      <c r="A110" s="120">
        <v>45234</v>
      </c>
      <c r="B110" s="124">
        <v>1</v>
      </c>
      <c r="C110" s="124">
        <v>0</v>
      </c>
      <c r="D110" s="124">
        <v>0</v>
      </c>
      <c r="E110" s="124">
        <v>0</v>
      </c>
      <c r="F110" s="124">
        <v>0</v>
      </c>
      <c r="G110" s="124">
        <v>0</v>
      </c>
      <c r="H110" s="124">
        <v>1</v>
      </c>
      <c r="I110" s="124">
        <v>0</v>
      </c>
      <c r="J110" s="124">
        <v>0</v>
      </c>
      <c r="K110" s="124">
        <v>0</v>
      </c>
      <c r="L110" s="124">
        <v>0</v>
      </c>
      <c r="M110" s="124">
        <v>0</v>
      </c>
      <c r="N110" s="124">
        <v>0</v>
      </c>
      <c r="O110" s="124">
        <v>0</v>
      </c>
      <c r="P110" s="124">
        <v>0</v>
      </c>
      <c r="Q110" s="124">
        <v>0</v>
      </c>
      <c r="R110" s="124">
        <v>1</v>
      </c>
      <c r="S110" s="124">
        <v>0</v>
      </c>
      <c r="T110" s="124">
        <v>1</v>
      </c>
      <c r="U110" s="124">
        <v>0</v>
      </c>
      <c r="V110" s="124">
        <v>0</v>
      </c>
      <c r="W110" s="123">
        <v>77.2</v>
      </c>
      <c r="X110" s="123">
        <v>0</v>
      </c>
      <c r="Y110" s="123">
        <v>6.85</v>
      </c>
      <c r="Z110" s="122">
        <v>1228.5</v>
      </c>
      <c r="AA110" s="122">
        <v>194.315012</v>
      </c>
      <c r="AB110" s="122">
        <v>179.34306569343067</v>
      </c>
      <c r="AC110" s="122">
        <v>28.367155036496353</v>
      </c>
    </row>
    <row r="111" spans="1:29" x14ac:dyDescent="0.35">
      <c r="A111" s="120">
        <v>45236</v>
      </c>
      <c r="B111" s="124">
        <v>1</v>
      </c>
      <c r="C111" s="124">
        <v>0</v>
      </c>
      <c r="D111" s="124">
        <v>1</v>
      </c>
      <c r="E111" s="124">
        <v>0</v>
      </c>
      <c r="F111" s="124">
        <v>0</v>
      </c>
      <c r="G111" s="124">
        <v>0</v>
      </c>
      <c r="H111" s="124">
        <v>0</v>
      </c>
      <c r="I111" s="124">
        <v>0</v>
      </c>
      <c r="J111" s="124">
        <v>0</v>
      </c>
      <c r="K111" s="124">
        <v>0</v>
      </c>
      <c r="L111" s="124">
        <v>0</v>
      </c>
      <c r="M111" s="124">
        <v>0</v>
      </c>
      <c r="N111" s="124">
        <v>0</v>
      </c>
      <c r="O111" s="124">
        <v>0</v>
      </c>
      <c r="P111" s="124">
        <v>0</v>
      </c>
      <c r="Q111" s="124">
        <v>0</v>
      </c>
      <c r="R111" s="124">
        <v>1</v>
      </c>
      <c r="S111" s="124">
        <v>0</v>
      </c>
      <c r="T111" s="124">
        <v>0</v>
      </c>
      <c r="U111" s="124">
        <v>0</v>
      </c>
      <c r="V111" s="124">
        <v>0</v>
      </c>
      <c r="W111" s="123">
        <v>80</v>
      </c>
      <c r="X111" s="123">
        <v>0</v>
      </c>
      <c r="Y111" s="123">
        <v>6.4</v>
      </c>
      <c r="Z111" s="122">
        <v>1127.25</v>
      </c>
      <c r="AA111" s="122">
        <v>193.85134399999998</v>
      </c>
      <c r="AB111" s="122">
        <v>176.1328125</v>
      </c>
      <c r="AC111" s="122">
        <v>30.289272499999996</v>
      </c>
    </row>
    <row r="112" spans="1:29" x14ac:dyDescent="0.35">
      <c r="A112" s="120">
        <v>45237</v>
      </c>
      <c r="B112" s="124">
        <v>0</v>
      </c>
      <c r="C112" s="124">
        <v>0</v>
      </c>
      <c r="D112" s="124">
        <v>0</v>
      </c>
      <c r="E112" s="124">
        <v>0</v>
      </c>
      <c r="F112" s="124">
        <v>0</v>
      </c>
      <c r="G112" s="124">
        <v>0</v>
      </c>
      <c r="H112" s="124">
        <v>0</v>
      </c>
      <c r="I112" s="124">
        <v>0</v>
      </c>
      <c r="J112" s="124">
        <v>0</v>
      </c>
      <c r="K112" s="124">
        <v>0</v>
      </c>
      <c r="L112" s="124">
        <v>0</v>
      </c>
      <c r="M112" s="124">
        <v>0</v>
      </c>
      <c r="N112" s="124">
        <v>0</v>
      </c>
      <c r="O112" s="124">
        <v>0</v>
      </c>
      <c r="P112" s="124">
        <v>0</v>
      </c>
      <c r="Q112" s="124">
        <v>0</v>
      </c>
      <c r="R112" s="124">
        <v>1</v>
      </c>
      <c r="S112" s="124">
        <v>0</v>
      </c>
      <c r="T112" s="124">
        <v>0</v>
      </c>
      <c r="U112" s="124">
        <v>0</v>
      </c>
      <c r="V112" s="124">
        <v>0</v>
      </c>
      <c r="W112" s="123">
        <v>83.3</v>
      </c>
      <c r="X112" s="123">
        <v>0</v>
      </c>
      <c r="Y112" s="123">
        <v>3.05</v>
      </c>
      <c r="Z112" s="122">
        <v>591.5</v>
      </c>
      <c r="AA112" s="122">
        <v>98.136363999999986</v>
      </c>
      <c r="AB112" s="122">
        <v>193.9344262295082</v>
      </c>
      <c r="AC112" s="122">
        <v>32.175857049180323</v>
      </c>
    </row>
    <row r="113" spans="1:29" x14ac:dyDescent="0.35">
      <c r="A113" s="120">
        <v>45237</v>
      </c>
      <c r="B113" s="124">
        <v>1</v>
      </c>
      <c r="C113" s="124">
        <v>0</v>
      </c>
      <c r="D113" s="124">
        <v>0</v>
      </c>
      <c r="E113" s="124">
        <v>0</v>
      </c>
      <c r="F113" s="124">
        <v>0</v>
      </c>
      <c r="G113" s="124">
        <v>0</v>
      </c>
      <c r="H113" s="124">
        <v>0</v>
      </c>
      <c r="I113" s="124">
        <v>0</v>
      </c>
      <c r="J113" s="124">
        <v>0</v>
      </c>
      <c r="K113" s="124">
        <v>0</v>
      </c>
      <c r="L113" s="124">
        <v>0</v>
      </c>
      <c r="M113" s="124">
        <v>0</v>
      </c>
      <c r="N113" s="124">
        <v>0</v>
      </c>
      <c r="O113" s="124">
        <v>0</v>
      </c>
      <c r="P113" s="124">
        <v>0</v>
      </c>
      <c r="Q113" s="124">
        <v>0</v>
      </c>
      <c r="R113" s="124">
        <v>1</v>
      </c>
      <c r="S113" s="124">
        <v>0</v>
      </c>
      <c r="T113" s="124">
        <v>0</v>
      </c>
      <c r="U113" s="124">
        <v>0</v>
      </c>
      <c r="V113" s="124">
        <v>0</v>
      </c>
      <c r="W113" s="123">
        <v>83.3</v>
      </c>
      <c r="X113" s="123">
        <v>0</v>
      </c>
      <c r="Y113" s="123">
        <v>5.0333333333333332</v>
      </c>
      <c r="Z113" s="122">
        <v>947.5</v>
      </c>
      <c r="AA113" s="122">
        <v>176.85569600000002</v>
      </c>
      <c r="AB113" s="122">
        <v>188.24503311258277</v>
      </c>
      <c r="AC113" s="122">
        <v>35.136893245033122</v>
      </c>
    </row>
    <row r="114" spans="1:29" x14ac:dyDescent="0.35">
      <c r="A114" s="120">
        <v>45240</v>
      </c>
      <c r="B114" s="124">
        <v>1</v>
      </c>
      <c r="C114" s="124">
        <v>0</v>
      </c>
      <c r="D114" s="124">
        <v>0</v>
      </c>
      <c r="E114" s="124">
        <v>0</v>
      </c>
      <c r="F114" s="124">
        <v>0</v>
      </c>
      <c r="G114" s="124">
        <v>1</v>
      </c>
      <c r="H114" s="124">
        <v>0</v>
      </c>
      <c r="I114" s="124">
        <v>0</v>
      </c>
      <c r="J114" s="124">
        <v>0</v>
      </c>
      <c r="K114" s="124">
        <v>0</v>
      </c>
      <c r="L114" s="124">
        <v>0</v>
      </c>
      <c r="M114" s="124">
        <v>0</v>
      </c>
      <c r="N114" s="124">
        <v>0</v>
      </c>
      <c r="O114" s="124">
        <v>0</v>
      </c>
      <c r="P114" s="124">
        <v>0</v>
      </c>
      <c r="Q114" s="124">
        <v>0</v>
      </c>
      <c r="R114" s="124">
        <v>1</v>
      </c>
      <c r="S114" s="124">
        <v>0</v>
      </c>
      <c r="T114" s="124">
        <v>1</v>
      </c>
      <c r="U114" s="124">
        <v>0</v>
      </c>
      <c r="V114" s="124">
        <v>0</v>
      </c>
      <c r="W114" s="123">
        <v>68.099999999999994</v>
      </c>
      <c r="X114" s="123">
        <v>0.14299999999999999</v>
      </c>
      <c r="Y114" s="123">
        <v>6.7666666666666666</v>
      </c>
      <c r="Z114" s="122">
        <v>1505</v>
      </c>
      <c r="AA114" s="122">
        <v>236.089088</v>
      </c>
      <c r="AB114" s="122">
        <v>222.41379310344828</v>
      </c>
      <c r="AC114" s="122">
        <v>34.890013004926111</v>
      </c>
    </row>
    <row r="115" spans="1:29" x14ac:dyDescent="0.35">
      <c r="A115" s="120">
        <v>45241</v>
      </c>
      <c r="B115" s="124">
        <v>1</v>
      </c>
      <c r="C115" s="124">
        <v>0</v>
      </c>
      <c r="D115" s="124">
        <v>0</v>
      </c>
      <c r="E115" s="124">
        <v>0</v>
      </c>
      <c r="F115" s="124">
        <v>0</v>
      </c>
      <c r="G115" s="124">
        <v>0</v>
      </c>
      <c r="H115" s="124">
        <v>1</v>
      </c>
      <c r="I115" s="124">
        <v>0</v>
      </c>
      <c r="J115" s="124">
        <v>0</v>
      </c>
      <c r="K115" s="124">
        <v>0</v>
      </c>
      <c r="L115" s="124">
        <v>0</v>
      </c>
      <c r="M115" s="124">
        <v>0</v>
      </c>
      <c r="N115" s="124">
        <v>0</v>
      </c>
      <c r="O115" s="124">
        <v>0</v>
      </c>
      <c r="P115" s="124">
        <v>0</v>
      </c>
      <c r="Q115" s="124">
        <v>0</v>
      </c>
      <c r="R115" s="124">
        <v>1</v>
      </c>
      <c r="S115" s="124">
        <v>0</v>
      </c>
      <c r="T115" s="124">
        <v>1</v>
      </c>
      <c r="U115" s="124">
        <v>0</v>
      </c>
      <c r="V115" s="124">
        <v>0</v>
      </c>
      <c r="W115" s="123">
        <v>60.4</v>
      </c>
      <c r="X115" s="123">
        <v>0</v>
      </c>
      <c r="Y115" s="123">
        <v>6.3166666666666664</v>
      </c>
      <c r="Z115" s="122">
        <v>1098</v>
      </c>
      <c r="AA115" s="122">
        <v>205.845732</v>
      </c>
      <c r="AB115" s="122">
        <v>173.82585751978891</v>
      </c>
      <c r="AC115" s="122">
        <v>32.58771482849604</v>
      </c>
    </row>
    <row r="116" spans="1:29" x14ac:dyDescent="0.35">
      <c r="A116" s="120">
        <v>45242</v>
      </c>
      <c r="B116" s="124">
        <v>1</v>
      </c>
      <c r="C116" s="124">
        <v>1</v>
      </c>
      <c r="D116" s="124">
        <v>0</v>
      </c>
      <c r="E116" s="124">
        <v>0</v>
      </c>
      <c r="F116" s="124">
        <v>0</v>
      </c>
      <c r="G116" s="124">
        <v>0</v>
      </c>
      <c r="H116" s="124">
        <v>0</v>
      </c>
      <c r="I116" s="124">
        <v>0</v>
      </c>
      <c r="J116" s="124">
        <v>0</v>
      </c>
      <c r="K116" s="124">
        <v>0</v>
      </c>
      <c r="L116" s="124">
        <v>0</v>
      </c>
      <c r="M116" s="124">
        <v>0</v>
      </c>
      <c r="N116" s="124">
        <v>0</v>
      </c>
      <c r="O116" s="124">
        <v>0</v>
      </c>
      <c r="P116" s="124">
        <v>0</v>
      </c>
      <c r="Q116" s="124">
        <v>0</v>
      </c>
      <c r="R116" s="124">
        <v>1</v>
      </c>
      <c r="S116" s="124">
        <v>0</v>
      </c>
      <c r="T116" s="124">
        <v>1</v>
      </c>
      <c r="U116" s="124">
        <v>0</v>
      </c>
      <c r="V116" s="124">
        <v>0</v>
      </c>
      <c r="W116" s="123">
        <v>64.5</v>
      </c>
      <c r="X116" s="123">
        <v>8.4000000000000005E-2</v>
      </c>
      <c r="Y116" s="123">
        <v>6.55</v>
      </c>
      <c r="Z116" s="122">
        <v>1284</v>
      </c>
      <c r="AA116" s="122">
        <v>210.13176400000003</v>
      </c>
      <c r="AB116" s="122">
        <v>196.03053435114504</v>
      </c>
      <c r="AC116" s="122">
        <v>32.081185343511457</v>
      </c>
    </row>
    <row r="117" spans="1:29" x14ac:dyDescent="0.35">
      <c r="A117" s="120">
        <v>45243</v>
      </c>
      <c r="B117" s="124">
        <v>0</v>
      </c>
      <c r="C117" s="124">
        <v>0</v>
      </c>
      <c r="D117" s="124">
        <v>1</v>
      </c>
      <c r="E117" s="124">
        <v>0</v>
      </c>
      <c r="F117" s="124">
        <v>0</v>
      </c>
      <c r="G117" s="124">
        <v>0</v>
      </c>
      <c r="H117" s="124">
        <v>0</v>
      </c>
      <c r="I117" s="124">
        <v>0</v>
      </c>
      <c r="J117" s="124">
        <v>0</v>
      </c>
      <c r="K117" s="124">
        <v>0</v>
      </c>
      <c r="L117" s="124">
        <v>0</v>
      </c>
      <c r="M117" s="124">
        <v>0</v>
      </c>
      <c r="N117" s="124">
        <v>0</v>
      </c>
      <c r="O117" s="124">
        <v>0</v>
      </c>
      <c r="P117" s="124">
        <v>0</v>
      </c>
      <c r="Q117" s="124">
        <v>0</v>
      </c>
      <c r="R117" s="124">
        <v>1</v>
      </c>
      <c r="S117" s="124">
        <v>0</v>
      </c>
      <c r="T117" s="124">
        <v>0</v>
      </c>
      <c r="U117" s="124">
        <v>0</v>
      </c>
      <c r="V117" s="124">
        <v>0</v>
      </c>
      <c r="W117" s="123">
        <v>61.1</v>
      </c>
      <c r="X117" s="123">
        <v>0.60599999999999998</v>
      </c>
      <c r="Y117" s="123">
        <v>4.6333333333333337</v>
      </c>
      <c r="Z117" s="122">
        <v>568</v>
      </c>
      <c r="AA117" s="122">
        <v>97.287064000000001</v>
      </c>
      <c r="AB117" s="122">
        <v>122.58992805755395</v>
      </c>
      <c r="AC117" s="122">
        <v>20.997208057553955</v>
      </c>
    </row>
    <row r="118" spans="1:29" x14ac:dyDescent="0.35">
      <c r="A118" s="120">
        <v>45244</v>
      </c>
      <c r="B118" s="124">
        <v>0</v>
      </c>
      <c r="C118" s="124">
        <v>0</v>
      </c>
      <c r="D118" s="124">
        <v>0</v>
      </c>
      <c r="E118" s="124">
        <v>0</v>
      </c>
      <c r="F118" s="124">
        <v>0</v>
      </c>
      <c r="G118" s="124">
        <v>0</v>
      </c>
      <c r="H118" s="124">
        <v>0</v>
      </c>
      <c r="I118" s="124">
        <v>0</v>
      </c>
      <c r="J118" s="124">
        <v>0</v>
      </c>
      <c r="K118" s="124">
        <v>0</v>
      </c>
      <c r="L118" s="124">
        <v>0</v>
      </c>
      <c r="M118" s="124">
        <v>0</v>
      </c>
      <c r="N118" s="124">
        <v>0</v>
      </c>
      <c r="O118" s="124">
        <v>0</v>
      </c>
      <c r="P118" s="124">
        <v>0</v>
      </c>
      <c r="Q118" s="124">
        <v>0</v>
      </c>
      <c r="R118" s="124">
        <v>1</v>
      </c>
      <c r="S118" s="124">
        <v>0</v>
      </c>
      <c r="T118" s="124">
        <v>0</v>
      </c>
      <c r="U118" s="124">
        <v>0</v>
      </c>
      <c r="V118" s="124">
        <v>0</v>
      </c>
      <c r="W118" s="123">
        <v>69.8</v>
      </c>
      <c r="X118" s="123">
        <v>0</v>
      </c>
      <c r="Y118" s="123">
        <v>4.5333333333333332</v>
      </c>
      <c r="Z118" s="122">
        <v>988</v>
      </c>
      <c r="AA118" s="122">
        <v>148.91745600000002</v>
      </c>
      <c r="AB118" s="122">
        <v>217.94117647058823</v>
      </c>
      <c r="AC118" s="122">
        <v>32.849438823529418</v>
      </c>
    </row>
    <row r="119" spans="1:29" x14ac:dyDescent="0.35">
      <c r="A119" s="120">
        <v>45245</v>
      </c>
      <c r="B119" s="124">
        <v>0</v>
      </c>
      <c r="C119" s="124">
        <v>0</v>
      </c>
      <c r="D119" s="124">
        <v>0</v>
      </c>
      <c r="E119" s="124">
        <v>1</v>
      </c>
      <c r="F119" s="124">
        <v>0</v>
      </c>
      <c r="G119" s="124">
        <v>0</v>
      </c>
      <c r="H119" s="124">
        <v>0</v>
      </c>
      <c r="I119" s="124">
        <v>0</v>
      </c>
      <c r="J119" s="124">
        <v>0</v>
      </c>
      <c r="K119" s="124">
        <v>0</v>
      </c>
      <c r="L119" s="124">
        <v>0</v>
      </c>
      <c r="M119" s="124">
        <v>0</v>
      </c>
      <c r="N119" s="124">
        <v>0</v>
      </c>
      <c r="O119" s="124">
        <v>0</v>
      </c>
      <c r="P119" s="124">
        <v>0</v>
      </c>
      <c r="Q119" s="124">
        <v>0</v>
      </c>
      <c r="R119" s="124">
        <v>1</v>
      </c>
      <c r="S119" s="124">
        <v>0</v>
      </c>
      <c r="T119" s="124">
        <v>0</v>
      </c>
      <c r="U119" s="124">
        <v>0</v>
      </c>
      <c r="V119" s="124">
        <v>0</v>
      </c>
      <c r="W119" s="123">
        <v>71.7</v>
      </c>
      <c r="X119" s="123">
        <v>0</v>
      </c>
      <c r="Y119" s="123">
        <v>3.7666666666666666</v>
      </c>
      <c r="Z119" s="122">
        <v>731</v>
      </c>
      <c r="AA119" s="122">
        <v>106.313872</v>
      </c>
      <c r="AB119" s="122">
        <v>194.07079646017701</v>
      </c>
      <c r="AC119" s="122">
        <v>28.224921769911507</v>
      </c>
    </row>
    <row r="120" spans="1:29" x14ac:dyDescent="0.35">
      <c r="A120" s="120">
        <v>45247</v>
      </c>
      <c r="B120" s="124">
        <v>1</v>
      </c>
      <c r="C120" s="124">
        <v>0</v>
      </c>
      <c r="D120" s="124">
        <v>0</v>
      </c>
      <c r="E120" s="124">
        <v>0</v>
      </c>
      <c r="F120" s="124">
        <v>0</v>
      </c>
      <c r="G120" s="124">
        <v>1</v>
      </c>
      <c r="H120" s="124">
        <v>0</v>
      </c>
      <c r="I120" s="124">
        <v>0</v>
      </c>
      <c r="J120" s="124">
        <v>0</v>
      </c>
      <c r="K120" s="124">
        <v>0</v>
      </c>
      <c r="L120" s="124">
        <v>0</v>
      </c>
      <c r="M120" s="124">
        <v>0</v>
      </c>
      <c r="N120" s="124">
        <v>0</v>
      </c>
      <c r="O120" s="124">
        <v>0</v>
      </c>
      <c r="P120" s="124">
        <v>0</v>
      </c>
      <c r="Q120" s="124">
        <v>0</v>
      </c>
      <c r="R120" s="124">
        <v>1</v>
      </c>
      <c r="S120" s="124">
        <v>0</v>
      </c>
      <c r="T120" s="124">
        <v>1</v>
      </c>
      <c r="U120" s="124">
        <v>0</v>
      </c>
      <c r="V120" s="124">
        <v>0</v>
      </c>
      <c r="W120" s="123">
        <v>76.3</v>
      </c>
      <c r="X120" s="123">
        <v>0</v>
      </c>
      <c r="Y120" s="123">
        <v>5.85</v>
      </c>
      <c r="Z120" s="122">
        <v>1036.5</v>
      </c>
      <c r="AA120" s="122">
        <v>162.82282000000001</v>
      </c>
      <c r="AB120" s="122">
        <v>177.17948717948718</v>
      </c>
      <c r="AC120" s="122">
        <v>27.832960683760685</v>
      </c>
    </row>
    <row r="121" spans="1:29" x14ac:dyDescent="0.35">
      <c r="A121" s="120">
        <v>45248</v>
      </c>
      <c r="B121" s="124">
        <v>1</v>
      </c>
      <c r="C121" s="124">
        <v>0</v>
      </c>
      <c r="D121" s="124">
        <v>0</v>
      </c>
      <c r="E121" s="124">
        <v>0</v>
      </c>
      <c r="F121" s="124">
        <v>0</v>
      </c>
      <c r="G121" s="124">
        <v>0</v>
      </c>
      <c r="H121" s="124">
        <v>1</v>
      </c>
      <c r="I121" s="124">
        <v>0</v>
      </c>
      <c r="J121" s="124">
        <v>0</v>
      </c>
      <c r="K121" s="124">
        <v>0</v>
      </c>
      <c r="L121" s="124">
        <v>0</v>
      </c>
      <c r="M121" s="124">
        <v>0</v>
      </c>
      <c r="N121" s="124">
        <v>0</v>
      </c>
      <c r="O121" s="124">
        <v>0</v>
      </c>
      <c r="P121" s="124">
        <v>0</v>
      </c>
      <c r="Q121" s="124">
        <v>0</v>
      </c>
      <c r="R121" s="124">
        <v>1</v>
      </c>
      <c r="S121" s="124">
        <v>0</v>
      </c>
      <c r="T121" s="124">
        <v>1</v>
      </c>
      <c r="U121" s="124">
        <v>0</v>
      </c>
      <c r="V121" s="124">
        <v>0</v>
      </c>
      <c r="W121" s="123">
        <v>73.7</v>
      </c>
      <c r="X121" s="123">
        <v>0</v>
      </c>
      <c r="Y121" s="123">
        <v>4.583333333333333</v>
      </c>
      <c r="Z121" s="122">
        <v>1264</v>
      </c>
      <c r="AA121" s="122">
        <v>210.67860399999998</v>
      </c>
      <c r="AB121" s="122">
        <v>275.78181818181821</v>
      </c>
      <c r="AC121" s="122">
        <v>45.966240872727269</v>
      </c>
    </row>
    <row r="122" spans="1:29" x14ac:dyDescent="0.35">
      <c r="A122" s="120">
        <v>45250</v>
      </c>
      <c r="B122" s="124">
        <v>1</v>
      </c>
      <c r="C122" s="124">
        <v>0</v>
      </c>
      <c r="D122" s="124">
        <v>1</v>
      </c>
      <c r="E122" s="124">
        <v>0</v>
      </c>
      <c r="F122" s="124">
        <v>0</v>
      </c>
      <c r="G122" s="124">
        <v>0</v>
      </c>
      <c r="H122" s="124">
        <v>0</v>
      </c>
      <c r="I122" s="124">
        <v>0</v>
      </c>
      <c r="J122" s="124">
        <v>0</v>
      </c>
      <c r="K122" s="124">
        <v>0</v>
      </c>
      <c r="L122" s="124">
        <v>0</v>
      </c>
      <c r="M122" s="124">
        <v>0</v>
      </c>
      <c r="N122" s="124">
        <v>0</v>
      </c>
      <c r="O122" s="124">
        <v>0</v>
      </c>
      <c r="P122" s="124">
        <v>0</v>
      </c>
      <c r="Q122" s="124">
        <v>0</v>
      </c>
      <c r="R122" s="124">
        <v>1</v>
      </c>
      <c r="S122" s="124">
        <v>0</v>
      </c>
      <c r="T122" s="124">
        <v>0</v>
      </c>
      <c r="U122" s="124">
        <v>0</v>
      </c>
      <c r="V122" s="124">
        <v>0</v>
      </c>
      <c r="W122" s="123">
        <v>77.099999999999994</v>
      </c>
      <c r="X122" s="123">
        <v>5.7000000000000002E-2</v>
      </c>
      <c r="Y122" s="123">
        <v>6.45</v>
      </c>
      <c r="Z122" s="122">
        <v>1271</v>
      </c>
      <c r="AA122" s="122">
        <v>246.31573199999997</v>
      </c>
      <c r="AB122" s="122">
        <v>197.05426356589146</v>
      </c>
      <c r="AC122" s="122">
        <v>38.188485581395341</v>
      </c>
    </row>
    <row r="123" spans="1:29" x14ac:dyDescent="0.35">
      <c r="A123" s="120">
        <v>45251</v>
      </c>
      <c r="B123" s="124">
        <v>0</v>
      </c>
      <c r="C123" s="124">
        <v>0</v>
      </c>
      <c r="D123" s="124">
        <v>0</v>
      </c>
      <c r="E123" s="124">
        <v>0</v>
      </c>
      <c r="F123" s="124">
        <v>0</v>
      </c>
      <c r="G123" s="124">
        <v>0</v>
      </c>
      <c r="H123" s="124">
        <v>0</v>
      </c>
      <c r="I123" s="124">
        <v>0</v>
      </c>
      <c r="J123" s="124">
        <v>0</v>
      </c>
      <c r="K123" s="124">
        <v>0</v>
      </c>
      <c r="L123" s="124">
        <v>0</v>
      </c>
      <c r="M123" s="124">
        <v>0</v>
      </c>
      <c r="N123" s="124">
        <v>0</v>
      </c>
      <c r="O123" s="124">
        <v>0</v>
      </c>
      <c r="P123" s="124">
        <v>0</v>
      </c>
      <c r="Q123" s="124">
        <v>0</v>
      </c>
      <c r="R123" s="124">
        <v>1</v>
      </c>
      <c r="S123" s="124">
        <v>0</v>
      </c>
      <c r="T123" s="124">
        <v>0</v>
      </c>
      <c r="U123" s="124">
        <v>0</v>
      </c>
      <c r="V123" s="124">
        <v>0</v>
      </c>
      <c r="W123" s="123">
        <v>64.400000000000006</v>
      </c>
      <c r="X123" s="123">
        <v>0</v>
      </c>
      <c r="Y123" s="123">
        <v>3.25</v>
      </c>
      <c r="Z123" s="122">
        <v>410</v>
      </c>
      <c r="AA123" s="122">
        <v>69.237492000000003</v>
      </c>
      <c r="AB123" s="122">
        <v>126.15384615384616</v>
      </c>
      <c r="AC123" s="122">
        <v>21.303843692307694</v>
      </c>
    </row>
    <row r="124" spans="1:29" x14ac:dyDescent="0.35">
      <c r="A124" s="120">
        <v>45251</v>
      </c>
      <c r="B124" s="124">
        <v>1</v>
      </c>
      <c r="C124" s="124">
        <v>0</v>
      </c>
      <c r="D124" s="124">
        <v>0</v>
      </c>
      <c r="E124" s="124">
        <v>0</v>
      </c>
      <c r="F124" s="124">
        <v>0</v>
      </c>
      <c r="G124" s="124">
        <v>0</v>
      </c>
      <c r="H124" s="124">
        <v>0</v>
      </c>
      <c r="I124" s="124">
        <v>0</v>
      </c>
      <c r="J124" s="124">
        <v>0</v>
      </c>
      <c r="K124" s="124">
        <v>0</v>
      </c>
      <c r="L124" s="124">
        <v>0</v>
      </c>
      <c r="M124" s="124">
        <v>0</v>
      </c>
      <c r="N124" s="124">
        <v>0</v>
      </c>
      <c r="O124" s="124">
        <v>0</v>
      </c>
      <c r="P124" s="124">
        <v>0</v>
      </c>
      <c r="Q124" s="124">
        <v>0</v>
      </c>
      <c r="R124" s="124">
        <v>1</v>
      </c>
      <c r="S124" s="124">
        <v>0</v>
      </c>
      <c r="T124" s="124">
        <v>0</v>
      </c>
      <c r="U124" s="124">
        <v>0</v>
      </c>
      <c r="V124" s="124">
        <v>0</v>
      </c>
      <c r="W124" s="123">
        <v>64.400000000000006</v>
      </c>
      <c r="X124" s="123">
        <v>0</v>
      </c>
      <c r="Y124" s="123">
        <v>4.75</v>
      </c>
      <c r="Z124" s="122">
        <v>1448</v>
      </c>
      <c r="AA124" s="122">
        <v>241.88926000000001</v>
      </c>
      <c r="AB124" s="122">
        <v>304.84210526315792</v>
      </c>
      <c r="AC124" s="122">
        <v>50.924054736842109</v>
      </c>
    </row>
    <row r="125" spans="1:29" x14ac:dyDescent="0.35">
      <c r="A125" s="120">
        <v>45252</v>
      </c>
      <c r="B125" s="124">
        <v>0</v>
      </c>
      <c r="C125" s="124">
        <v>0</v>
      </c>
      <c r="D125" s="124">
        <v>0</v>
      </c>
      <c r="E125" s="124">
        <v>1</v>
      </c>
      <c r="F125" s="124">
        <v>0</v>
      </c>
      <c r="G125" s="124">
        <v>0</v>
      </c>
      <c r="H125" s="124">
        <v>0</v>
      </c>
      <c r="I125" s="124">
        <v>0</v>
      </c>
      <c r="J125" s="124">
        <v>0</v>
      </c>
      <c r="K125" s="124">
        <v>0</v>
      </c>
      <c r="L125" s="124">
        <v>0</v>
      </c>
      <c r="M125" s="124">
        <v>0</v>
      </c>
      <c r="N125" s="124">
        <v>0</v>
      </c>
      <c r="O125" s="124">
        <v>0</v>
      </c>
      <c r="P125" s="124">
        <v>0</v>
      </c>
      <c r="Q125" s="124">
        <v>0</v>
      </c>
      <c r="R125" s="124">
        <v>1</v>
      </c>
      <c r="S125" s="124">
        <v>0</v>
      </c>
      <c r="T125" s="124">
        <v>0</v>
      </c>
      <c r="U125" s="124">
        <v>0</v>
      </c>
      <c r="V125" s="124">
        <v>0</v>
      </c>
      <c r="W125" s="123">
        <v>55.6</v>
      </c>
      <c r="X125" s="123">
        <v>0</v>
      </c>
      <c r="Y125" s="123">
        <v>4.583333333333333</v>
      </c>
      <c r="Z125" s="122">
        <v>306</v>
      </c>
      <c r="AA125" s="122">
        <v>48.530916000000005</v>
      </c>
      <c r="AB125" s="122">
        <v>66.763636363636365</v>
      </c>
      <c r="AC125" s="122">
        <v>10.588563490909092</v>
      </c>
    </row>
    <row r="126" spans="1:29" x14ac:dyDescent="0.35">
      <c r="A126" s="120">
        <v>45254</v>
      </c>
      <c r="B126" s="124">
        <v>1</v>
      </c>
      <c r="C126" s="124">
        <v>0</v>
      </c>
      <c r="D126" s="124">
        <v>0</v>
      </c>
      <c r="E126" s="124">
        <v>0</v>
      </c>
      <c r="F126" s="124">
        <v>0</v>
      </c>
      <c r="G126" s="124">
        <v>1</v>
      </c>
      <c r="H126" s="124">
        <v>0</v>
      </c>
      <c r="I126" s="124">
        <v>0</v>
      </c>
      <c r="J126" s="124">
        <v>0</v>
      </c>
      <c r="K126" s="124">
        <v>0</v>
      </c>
      <c r="L126" s="124">
        <v>0</v>
      </c>
      <c r="M126" s="124">
        <v>0</v>
      </c>
      <c r="N126" s="124">
        <v>0</v>
      </c>
      <c r="O126" s="124">
        <v>0</v>
      </c>
      <c r="P126" s="124">
        <v>0</v>
      </c>
      <c r="Q126" s="124">
        <v>0</v>
      </c>
      <c r="R126" s="124">
        <v>1</v>
      </c>
      <c r="S126" s="124">
        <v>0</v>
      </c>
      <c r="T126" s="124">
        <v>1</v>
      </c>
      <c r="U126" s="124">
        <v>0</v>
      </c>
      <c r="V126" s="124">
        <v>0</v>
      </c>
      <c r="W126" s="123">
        <v>64.5</v>
      </c>
      <c r="X126" s="123">
        <v>0</v>
      </c>
      <c r="Y126" s="123">
        <v>4.3</v>
      </c>
      <c r="Z126" s="122">
        <v>835.5</v>
      </c>
      <c r="AA126" s="122">
        <v>124.98876000000001</v>
      </c>
      <c r="AB126" s="122">
        <v>194.30232558139537</v>
      </c>
      <c r="AC126" s="122">
        <v>29.067153488372096</v>
      </c>
    </row>
    <row r="127" spans="1:29" x14ac:dyDescent="0.35">
      <c r="A127" s="120">
        <v>45257</v>
      </c>
      <c r="B127" s="124">
        <v>1</v>
      </c>
      <c r="C127" s="124">
        <v>0</v>
      </c>
      <c r="D127" s="124">
        <v>1</v>
      </c>
      <c r="E127" s="124">
        <v>0</v>
      </c>
      <c r="F127" s="124">
        <v>0</v>
      </c>
      <c r="G127" s="124">
        <v>0</v>
      </c>
      <c r="H127" s="124">
        <v>0</v>
      </c>
      <c r="I127" s="124">
        <v>0</v>
      </c>
      <c r="J127" s="124">
        <v>0</v>
      </c>
      <c r="K127" s="124">
        <v>0</v>
      </c>
      <c r="L127" s="124">
        <v>0</v>
      </c>
      <c r="M127" s="124">
        <v>0</v>
      </c>
      <c r="N127" s="124">
        <v>0</v>
      </c>
      <c r="O127" s="124">
        <v>0</v>
      </c>
      <c r="P127" s="124">
        <v>0</v>
      </c>
      <c r="Q127" s="124">
        <v>0</v>
      </c>
      <c r="R127" s="124">
        <v>1</v>
      </c>
      <c r="S127" s="124">
        <v>0</v>
      </c>
      <c r="T127" s="124">
        <v>0</v>
      </c>
      <c r="U127" s="124">
        <v>0</v>
      </c>
      <c r="V127" s="124">
        <v>0</v>
      </c>
      <c r="W127" s="123">
        <v>55.6</v>
      </c>
      <c r="X127" s="123">
        <v>0</v>
      </c>
      <c r="Y127" s="123">
        <v>5.2666666666666666</v>
      </c>
      <c r="Z127" s="122">
        <v>535</v>
      </c>
      <c r="AA127" s="122">
        <v>92.886856000000009</v>
      </c>
      <c r="AB127" s="122">
        <v>101.58227848101266</v>
      </c>
      <c r="AC127" s="122">
        <v>17.636744810126583</v>
      </c>
    </row>
    <row r="128" spans="1:29" x14ac:dyDescent="0.35">
      <c r="A128" s="120">
        <v>45258</v>
      </c>
      <c r="B128" s="124">
        <v>0</v>
      </c>
      <c r="C128" s="124">
        <v>0</v>
      </c>
      <c r="D128" s="124">
        <v>0</v>
      </c>
      <c r="E128" s="124">
        <v>0</v>
      </c>
      <c r="F128" s="124">
        <v>0</v>
      </c>
      <c r="G128" s="124">
        <v>0</v>
      </c>
      <c r="H128" s="124">
        <v>0</v>
      </c>
      <c r="I128" s="124">
        <v>0</v>
      </c>
      <c r="J128" s="124">
        <v>0</v>
      </c>
      <c r="K128" s="124">
        <v>0</v>
      </c>
      <c r="L128" s="124">
        <v>0</v>
      </c>
      <c r="M128" s="124">
        <v>0</v>
      </c>
      <c r="N128" s="124">
        <v>0</v>
      </c>
      <c r="O128" s="124">
        <v>0</v>
      </c>
      <c r="P128" s="124">
        <v>0</v>
      </c>
      <c r="Q128" s="124">
        <v>0</v>
      </c>
      <c r="R128" s="124">
        <v>1</v>
      </c>
      <c r="S128" s="124">
        <v>0</v>
      </c>
      <c r="T128" s="124">
        <v>0</v>
      </c>
      <c r="U128" s="124">
        <v>0</v>
      </c>
      <c r="V128" s="124">
        <v>0</v>
      </c>
      <c r="W128" s="123">
        <v>60.8</v>
      </c>
      <c r="X128" s="123">
        <v>0</v>
      </c>
      <c r="Y128" s="123">
        <v>4.5</v>
      </c>
      <c r="Z128" s="122">
        <v>509</v>
      </c>
      <c r="AA128" s="122">
        <v>86.225679999999997</v>
      </c>
      <c r="AB128" s="122">
        <v>113.11111111111111</v>
      </c>
      <c r="AC128" s="122">
        <v>19.16126222222222</v>
      </c>
    </row>
    <row r="129" spans="1:29" x14ac:dyDescent="0.35">
      <c r="A129" s="120">
        <v>45260</v>
      </c>
      <c r="B129" s="124">
        <v>1</v>
      </c>
      <c r="C129" s="124">
        <v>0</v>
      </c>
      <c r="D129" s="124">
        <v>0</v>
      </c>
      <c r="E129" s="124">
        <v>0</v>
      </c>
      <c r="F129" s="124">
        <v>1</v>
      </c>
      <c r="G129" s="124">
        <v>0</v>
      </c>
      <c r="H129" s="124">
        <v>0</v>
      </c>
      <c r="I129" s="124">
        <v>0</v>
      </c>
      <c r="J129" s="124">
        <v>0</v>
      </c>
      <c r="K129" s="124">
        <v>0</v>
      </c>
      <c r="L129" s="124">
        <v>0</v>
      </c>
      <c r="M129" s="124">
        <v>0</v>
      </c>
      <c r="N129" s="124">
        <v>0</v>
      </c>
      <c r="O129" s="124">
        <v>0</v>
      </c>
      <c r="P129" s="124">
        <v>0</v>
      </c>
      <c r="Q129" s="124">
        <v>0</v>
      </c>
      <c r="R129" s="124">
        <v>1</v>
      </c>
      <c r="S129" s="124">
        <v>0</v>
      </c>
      <c r="T129" s="124">
        <v>0</v>
      </c>
      <c r="U129" s="124">
        <v>0</v>
      </c>
      <c r="V129" s="124">
        <v>0</v>
      </c>
      <c r="W129" s="123">
        <v>71.599999999999994</v>
      </c>
      <c r="X129" s="123">
        <v>0.70099999999999996</v>
      </c>
      <c r="Y129" s="123">
        <v>3.8833333333333333</v>
      </c>
      <c r="Z129" s="122">
        <v>438.5</v>
      </c>
      <c r="AA129" s="122">
        <v>83.191628000000009</v>
      </c>
      <c r="AB129" s="122">
        <v>112.91845493562232</v>
      </c>
      <c r="AC129" s="122">
        <v>21.422736824034338</v>
      </c>
    </row>
    <row r="130" spans="1:29" x14ac:dyDescent="0.35">
      <c r="A130" s="120">
        <v>45261</v>
      </c>
      <c r="B130" s="124">
        <v>1</v>
      </c>
      <c r="C130" s="124">
        <v>0</v>
      </c>
      <c r="D130" s="124">
        <v>0</v>
      </c>
      <c r="E130" s="124">
        <v>0</v>
      </c>
      <c r="F130" s="124">
        <v>0</v>
      </c>
      <c r="G130" s="124">
        <v>1</v>
      </c>
      <c r="H130" s="124">
        <v>0</v>
      </c>
      <c r="I130" s="124">
        <v>0</v>
      </c>
      <c r="J130" s="124">
        <v>0</v>
      </c>
      <c r="K130" s="124">
        <v>0</v>
      </c>
      <c r="L130" s="124">
        <v>0</v>
      </c>
      <c r="M130" s="124">
        <v>0</v>
      </c>
      <c r="N130" s="124">
        <v>0</v>
      </c>
      <c r="O130" s="124">
        <v>0</v>
      </c>
      <c r="P130" s="124">
        <v>0</v>
      </c>
      <c r="Q130" s="124">
        <v>0</v>
      </c>
      <c r="R130" s="124">
        <v>0</v>
      </c>
      <c r="S130" s="124">
        <v>1</v>
      </c>
      <c r="T130" s="124">
        <v>1</v>
      </c>
      <c r="U130" s="124">
        <v>0</v>
      </c>
      <c r="V130" s="124">
        <v>0</v>
      </c>
      <c r="W130" s="123">
        <v>71.7</v>
      </c>
      <c r="X130" s="123">
        <v>0.01</v>
      </c>
      <c r="Y130" s="123">
        <v>5.55</v>
      </c>
      <c r="Z130" s="122">
        <v>1084.5</v>
      </c>
      <c r="AA130" s="122">
        <v>178.117964</v>
      </c>
      <c r="AB130" s="122">
        <v>195.40540540540542</v>
      </c>
      <c r="AC130" s="122">
        <v>32.09332684684685</v>
      </c>
    </row>
    <row r="131" spans="1:29" x14ac:dyDescent="0.35">
      <c r="A131" s="120">
        <v>45263</v>
      </c>
      <c r="B131" s="124">
        <v>1</v>
      </c>
      <c r="C131" s="124">
        <v>1</v>
      </c>
      <c r="D131" s="124">
        <v>0</v>
      </c>
      <c r="E131" s="124">
        <v>0</v>
      </c>
      <c r="F131" s="124">
        <v>0</v>
      </c>
      <c r="G131" s="124">
        <v>0</v>
      </c>
      <c r="H131" s="124">
        <v>0</v>
      </c>
      <c r="I131" s="124">
        <v>0</v>
      </c>
      <c r="J131" s="124">
        <v>0</v>
      </c>
      <c r="K131" s="124">
        <v>0</v>
      </c>
      <c r="L131" s="124">
        <v>0</v>
      </c>
      <c r="M131" s="124">
        <v>0</v>
      </c>
      <c r="N131" s="124">
        <v>0</v>
      </c>
      <c r="O131" s="124">
        <v>0</v>
      </c>
      <c r="P131" s="124">
        <v>0</v>
      </c>
      <c r="Q131" s="124">
        <v>0</v>
      </c>
      <c r="R131" s="124">
        <v>0</v>
      </c>
      <c r="S131" s="124">
        <v>1</v>
      </c>
      <c r="T131" s="124">
        <v>1</v>
      </c>
      <c r="U131" s="124">
        <v>0</v>
      </c>
      <c r="V131" s="124">
        <v>0</v>
      </c>
      <c r="W131" s="123">
        <v>69.900000000000006</v>
      </c>
      <c r="X131" s="123">
        <v>0</v>
      </c>
      <c r="Y131" s="123">
        <v>4.4833333333333334</v>
      </c>
      <c r="Z131" s="122">
        <v>1199</v>
      </c>
      <c r="AA131" s="122">
        <v>201.53945999999999</v>
      </c>
      <c r="AB131" s="122">
        <v>267.43494423791822</v>
      </c>
      <c r="AC131" s="122">
        <v>44.953039405204457</v>
      </c>
    </row>
    <row r="132" spans="1:29" x14ac:dyDescent="0.35">
      <c r="A132" s="120">
        <v>45264</v>
      </c>
      <c r="B132" s="124">
        <v>1</v>
      </c>
      <c r="C132" s="124">
        <v>0</v>
      </c>
      <c r="D132" s="124">
        <v>1</v>
      </c>
      <c r="E132" s="124">
        <v>0</v>
      </c>
      <c r="F132" s="124">
        <v>0</v>
      </c>
      <c r="G132" s="124">
        <v>0</v>
      </c>
      <c r="H132" s="124">
        <v>0</v>
      </c>
      <c r="I132" s="124">
        <v>0</v>
      </c>
      <c r="J132" s="124">
        <v>0</v>
      </c>
      <c r="K132" s="124">
        <v>0</v>
      </c>
      <c r="L132" s="124">
        <v>0</v>
      </c>
      <c r="M132" s="124">
        <v>0</v>
      </c>
      <c r="N132" s="124">
        <v>0</v>
      </c>
      <c r="O132" s="124">
        <v>0</v>
      </c>
      <c r="P132" s="124">
        <v>0</v>
      </c>
      <c r="Q132" s="124">
        <v>0</v>
      </c>
      <c r="R132" s="124">
        <v>0</v>
      </c>
      <c r="S132" s="124">
        <v>1</v>
      </c>
      <c r="T132" s="124">
        <v>0</v>
      </c>
      <c r="U132" s="124">
        <v>0</v>
      </c>
      <c r="V132" s="124">
        <v>0</v>
      </c>
      <c r="W132" s="123">
        <v>68.2</v>
      </c>
      <c r="X132" s="123">
        <v>0</v>
      </c>
      <c r="Y132" s="123">
        <v>5.2</v>
      </c>
      <c r="Z132" s="122">
        <v>465</v>
      </c>
      <c r="AA132" s="122">
        <v>85.968488000000008</v>
      </c>
      <c r="AB132" s="122">
        <v>89.42307692307692</v>
      </c>
      <c r="AC132" s="122">
        <v>16.532401538461539</v>
      </c>
    </row>
    <row r="133" spans="1:29" x14ac:dyDescent="0.35">
      <c r="A133" s="120">
        <v>45266</v>
      </c>
      <c r="B133" s="124">
        <v>0</v>
      </c>
      <c r="C133" s="124">
        <v>0</v>
      </c>
      <c r="D133" s="124">
        <v>0</v>
      </c>
      <c r="E133" s="124">
        <v>1</v>
      </c>
      <c r="F133" s="124">
        <v>0</v>
      </c>
      <c r="G133" s="124">
        <v>0</v>
      </c>
      <c r="H133" s="124">
        <v>0</v>
      </c>
      <c r="I133" s="124">
        <v>0</v>
      </c>
      <c r="J133" s="124">
        <v>0</v>
      </c>
      <c r="K133" s="124">
        <v>0</v>
      </c>
      <c r="L133" s="124">
        <v>0</v>
      </c>
      <c r="M133" s="124">
        <v>0</v>
      </c>
      <c r="N133" s="124">
        <v>0</v>
      </c>
      <c r="O133" s="124">
        <v>0</v>
      </c>
      <c r="P133" s="124">
        <v>0</v>
      </c>
      <c r="Q133" s="124">
        <v>0</v>
      </c>
      <c r="R133" s="124">
        <v>0</v>
      </c>
      <c r="S133" s="124">
        <v>1</v>
      </c>
      <c r="T133" s="124">
        <v>0</v>
      </c>
      <c r="U133" s="124">
        <v>0</v>
      </c>
      <c r="V133" s="124">
        <v>0</v>
      </c>
      <c r="W133" s="123">
        <v>65.400000000000006</v>
      </c>
      <c r="X133" s="123">
        <v>0</v>
      </c>
      <c r="Y133" s="123">
        <v>4.5166666666666666</v>
      </c>
      <c r="Z133" s="122">
        <v>698.5</v>
      </c>
      <c r="AA133" s="122">
        <v>107.33346</v>
      </c>
      <c r="AB133" s="122">
        <v>154.64944649446494</v>
      </c>
      <c r="AC133" s="122">
        <v>23.763865682656828</v>
      </c>
    </row>
    <row r="134" spans="1:29" x14ac:dyDescent="0.35">
      <c r="A134" s="120">
        <v>45268</v>
      </c>
      <c r="B134" s="124">
        <v>1</v>
      </c>
      <c r="C134" s="124">
        <v>0</v>
      </c>
      <c r="D134" s="124">
        <v>0</v>
      </c>
      <c r="E134" s="124">
        <v>0</v>
      </c>
      <c r="F134" s="124">
        <v>0</v>
      </c>
      <c r="G134" s="124">
        <v>1</v>
      </c>
      <c r="H134" s="124">
        <v>0</v>
      </c>
      <c r="I134" s="124">
        <v>0</v>
      </c>
      <c r="J134" s="124">
        <v>0</v>
      </c>
      <c r="K134" s="124">
        <v>0</v>
      </c>
      <c r="L134" s="124">
        <v>0</v>
      </c>
      <c r="M134" s="124">
        <v>0</v>
      </c>
      <c r="N134" s="124">
        <v>0</v>
      </c>
      <c r="O134" s="124">
        <v>0</v>
      </c>
      <c r="P134" s="124">
        <v>0</v>
      </c>
      <c r="Q134" s="124">
        <v>0</v>
      </c>
      <c r="R134" s="124">
        <v>0</v>
      </c>
      <c r="S134" s="124">
        <v>1</v>
      </c>
      <c r="T134" s="124">
        <v>1</v>
      </c>
      <c r="U134" s="124">
        <v>0</v>
      </c>
      <c r="V134" s="124">
        <v>0</v>
      </c>
      <c r="W134" s="123">
        <v>75.3</v>
      </c>
      <c r="X134" s="123">
        <v>3.1E-2</v>
      </c>
      <c r="Y134" s="123">
        <v>5.3</v>
      </c>
      <c r="Z134" s="122">
        <v>1617</v>
      </c>
      <c r="AA134" s="122">
        <v>260.403952</v>
      </c>
      <c r="AB134" s="122">
        <v>305.09433962264154</v>
      </c>
      <c r="AC134" s="122">
        <v>49.132821132075478</v>
      </c>
    </row>
    <row r="135" spans="1:29" x14ac:dyDescent="0.35">
      <c r="A135" s="120">
        <v>45269</v>
      </c>
      <c r="B135" s="124">
        <v>0</v>
      </c>
      <c r="C135" s="124">
        <v>0</v>
      </c>
      <c r="D135" s="124">
        <v>0</v>
      </c>
      <c r="E135" s="124">
        <v>0</v>
      </c>
      <c r="F135" s="124">
        <v>0</v>
      </c>
      <c r="G135" s="124">
        <v>0</v>
      </c>
      <c r="H135" s="124">
        <v>1</v>
      </c>
      <c r="I135" s="124">
        <v>0</v>
      </c>
      <c r="J135" s="124">
        <v>0</v>
      </c>
      <c r="K135" s="124">
        <v>0</v>
      </c>
      <c r="L135" s="124">
        <v>0</v>
      </c>
      <c r="M135" s="124">
        <v>0</v>
      </c>
      <c r="N135" s="124">
        <v>0</v>
      </c>
      <c r="O135" s="124">
        <v>0</v>
      </c>
      <c r="P135" s="124">
        <v>0</v>
      </c>
      <c r="Q135" s="124">
        <v>0</v>
      </c>
      <c r="R135" s="124">
        <v>0</v>
      </c>
      <c r="S135" s="124">
        <v>1</v>
      </c>
      <c r="T135" s="124">
        <v>1</v>
      </c>
      <c r="U135" s="124">
        <v>0</v>
      </c>
      <c r="V135" s="124">
        <v>0</v>
      </c>
      <c r="W135" s="123">
        <v>78.900000000000006</v>
      </c>
      <c r="X135" s="123">
        <v>0.35799999999999998</v>
      </c>
      <c r="Y135" s="123">
        <v>2.9333333333333331</v>
      </c>
      <c r="Z135" s="122">
        <v>322</v>
      </c>
      <c r="AA135" s="122">
        <v>58.094623999999996</v>
      </c>
      <c r="AB135" s="122">
        <v>109.77272727272728</v>
      </c>
      <c r="AC135" s="122">
        <v>19.804985454545456</v>
      </c>
    </row>
    <row r="136" spans="1:29" x14ac:dyDescent="0.35">
      <c r="A136" s="120">
        <v>45269</v>
      </c>
      <c r="B136" s="124">
        <v>1</v>
      </c>
      <c r="C136" s="124">
        <v>0</v>
      </c>
      <c r="D136" s="124">
        <v>0</v>
      </c>
      <c r="E136" s="124">
        <v>0</v>
      </c>
      <c r="F136" s="124">
        <v>0</v>
      </c>
      <c r="G136" s="124">
        <v>0</v>
      </c>
      <c r="H136" s="124">
        <v>1</v>
      </c>
      <c r="I136" s="124">
        <v>0</v>
      </c>
      <c r="J136" s="124">
        <v>0</v>
      </c>
      <c r="K136" s="124">
        <v>0</v>
      </c>
      <c r="L136" s="124">
        <v>0</v>
      </c>
      <c r="M136" s="124">
        <v>0</v>
      </c>
      <c r="N136" s="124">
        <v>0</v>
      </c>
      <c r="O136" s="124">
        <v>0</v>
      </c>
      <c r="P136" s="124">
        <v>0</v>
      </c>
      <c r="Q136" s="124">
        <v>0</v>
      </c>
      <c r="R136" s="124">
        <v>0</v>
      </c>
      <c r="S136" s="124">
        <v>1</v>
      </c>
      <c r="T136" s="124">
        <v>1</v>
      </c>
      <c r="U136" s="124">
        <v>0</v>
      </c>
      <c r="V136" s="124">
        <v>0</v>
      </c>
      <c r="W136" s="123">
        <v>78.900000000000006</v>
      </c>
      <c r="X136" s="123">
        <v>0.35799999999999998</v>
      </c>
      <c r="Y136" s="123">
        <v>4.8833333333333337</v>
      </c>
      <c r="Z136" s="122">
        <v>1072</v>
      </c>
      <c r="AA136" s="122">
        <v>172.93660399999999</v>
      </c>
      <c r="AB136" s="122">
        <v>219.52218430034128</v>
      </c>
      <c r="AC136" s="122">
        <v>35.413639044368594</v>
      </c>
    </row>
    <row r="137" spans="1:29" x14ac:dyDescent="0.35">
      <c r="A137" s="120">
        <v>45271</v>
      </c>
      <c r="B137" s="124">
        <v>1</v>
      </c>
      <c r="C137" s="124">
        <v>0</v>
      </c>
      <c r="D137" s="124">
        <v>1</v>
      </c>
      <c r="E137" s="124">
        <v>0</v>
      </c>
      <c r="F137" s="124">
        <v>0</v>
      </c>
      <c r="G137" s="124">
        <v>0</v>
      </c>
      <c r="H137" s="124">
        <v>0</v>
      </c>
      <c r="I137" s="124">
        <v>0</v>
      </c>
      <c r="J137" s="124">
        <v>0</v>
      </c>
      <c r="K137" s="124">
        <v>0</v>
      </c>
      <c r="L137" s="124">
        <v>0</v>
      </c>
      <c r="M137" s="124">
        <v>0</v>
      </c>
      <c r="N137" s="124">
        <v>0</v>
      </c>
      <c r="O137" s="124">
        <v>0</v>
      </c>
      <c r="P137" s="124">
        <v>0</v>
      </c>
      <c r="Q137" s="124">
        <v>0</v>
      </c>
      <c r="R137" s="124">
        <v>0</v>
      </c>
      <c r="S137" s="124">
        <v>1</v>
      </c>
      <c r="T137" s="124">
        <v>0</v>
      </c>
      <c r="U137" s="124">
        <v>0</v>
      </c>
      <c r="V137" s="124">
        <v>0</v>
      </c>
      <c r="W137" s="123">
        <v>62.7</v>
      </c>
      <c r="X137" s="123">
        <v>0</v>
      </c>
      <c r="Y137" s="123">
        <v>4.166666666666667</v>
      </c>
      <c r="Z137" s="122">
        <v>1044.5</v>
      </c>
      <c r="AA137" s="122">
        <v>180.80057600000001</v>
      </c>
      <c r="AB137" s="122">
        <v>250.67999999999998</v>
      </c>
      <c r="AC137" s="122">
        <v>43.392138240000001</v>
      </c>
    </row>
    <row r="138" spans="1:29" x14ac:dyDescent="0.35">
      <c r="A138" s="120">
        <v>45273</v>
      </c>
      <c r="B138" s="124">
        <v>0</v>
      </c>
      <c r="C138" s="124">
        <v>0</v>
      </c>
      <c r="D138" s="124">
        <v>0</v>
      </c>
      <c r="E138" s="124">
        <v>1</v>
      </c>
      <c r="F138" s="124">
        <v>0</v>
      </c>
      <c r="G138" s="124">
        <v>0</v>
      </c>
      <c r="H138" s="124">
        <v>0</v>
      </c>
      <c r="I138" s="124">
        <v>0</v>
      </c>
      <c r="J138" s="124">
        <v>0</v>
      </c>
      <c r="K138" s="124">
        <v>0</v>
      </c>
      <c r="L138" s="124">
        <v>0</v>
      </c>
      <c r="M138" s="124">
        <v>0</v>
      </c>
      <c r="N138" s="124">
        <v>0</v>
      </c>
      <c r="O138" s="124">
        <v>0</v>
      </c>
      <c r="P138" s="124">
        <v>0</v>
      </c>
      <c r="Q138" s="124">
        <v>0</v>
      </c>
      <c r="R138" s="124">
        <v>0</v>
      </c>
      <c r="S138" s="124">
        <v>1</v>
      </c>
      <c r="T138" s="124">
        <v>0</v>
      </c>
      <c r="U138" s="124">
        <v>0</v>
      </c>
      <c r="V138" s="124">
        <v>0</v>
      </c>
      <c r="W138" s="123">
        <v>59.1</v>
      </c>
      <c r="X138" s="123">
        <v>1.0999999999999999E-2</v>
      </c>
      <c r="Y138" s="123">
        <v>5.1333333333333337</v>
      </c>
      <c r="Z138" s="122">
        <v>695</v>
      </c>
      <c r="AA138" s="122">
        <v>127.98885600000001</v>
      </c>
      <c r="AB138" s="122">
        <v>135.38961038961037</v>
      </c>
      <c r="AC138" s="122">
        <v>24.932894025974026</v>
      </c>
    </row>
    <row r="139" spans="1:29" x14ac:dyDescent="0.35">
      <c r="A139" s="120">
        <v>45275</v>
      </c>
      <c r="B139" s="124">
        <v>1</v>
      </c>
      <c r="C139" s="124">
        <v>0</v>
      </c>
      <c r="D139" s="124">
        <v>0</v>
      </c>
      <c r="E139" s="124">
        <v>0</v>
      </c>
      <c r="F139" s="124">
        <v>0</v>
      </c>
      <c r="G139" s="124">
        <v>1</v>
      </c>
      <c r="H139" s="124">
        <v>0</v>
      </c>
      <c r="I139" s="124">
        <v>0</v>
      </c>
      <c r="J139" s="124">
        <v>0</v>
      </c>
      <c r="K139" s="124">
        <v>0</v>
      </c>
      <c r="L139" s="124">
        <v>0</v>
      </c>
      <c r="M139" s="124">
        <v>0</v>
      </c>
      <c r="N139" s="124">
        <v>0</v>
      </c>
      <c r="O139" s="124">
        <v>0</v>
      </c>
      <c r="P139" s="124">
        <v>0</v>
      </c>
      <c r="Q139" s="124">
        <v>0</v>
      </c>
      <c r="R139" s="124">
        <v>0</v>
      </c>
      <c r="S139" s="124">
        <v>1</v>
      </c>
      <c r="T139" s="124">
        <v>1</v>
      </c>
      <c r="U139" s="124">
        <v>0</v>
      </c>
      <c r="V139" s="124">
        <v>0</v>
      </c>
      <c r="W139" s="123">
        <v>64.400000000000006</v>
      </c>
      <c r="X139" s="123">
        <v>0.29699999999999999</v>
      </c>
      <c r="Y139" s="123">
        <v>3.4333333333333331</v>
      </c>
      <c r="Z139" s="122">
        <v>659</v>
      </c>
      <c r="AA139" s="122">
        <v>121.60652</v>
      </c>
      <c r="AB139" s="122">
        <v>191.94174757281556</v>
      </c>
      <c r="AC139" s="122">
        <v>35.41937475728156</v>
      </c>
    </row>
    <row r="140" spans="1:29" x14ac:dyDescent="0.35">
      <c r="A140" s="120">
        <v>45276</v>
      </c>
      <c r="B140" s="124">
        <v>1</v>
      </c>
      <c r="C140" s="124">
        <v>0</v>
      </c>
      <c r="D140" s="124">
        <v>0</v>
      </c>
      <c r="E140" s="124">
        <v>0</v>
      </c>
      <c r="F140" s="124">
        <v>0</v>
      </c>
      <c r="G140" s="124">
        <v>0</v>
      </c>
      <c r="H140" s="124">
        <v>1</v>
      </c>
      <c r="I140" s="124">
        <v>0</v>
      </c>
      <c r="J140" s="124">
        <v>0</v>
      </c>
      <c r="K140" s="124">
        <v>0</v>
      </c>
      <c r="L140" s="124">
        <v>0</v>
      </c>
      <c r="M140" s="124">
        <v>0</v>
      </c>
      <c r="N140" s="124">
        <v>0</v>
      </c>
      <c r="O140" s="124">
        <v>0</v>
      </c>
      <c r="P140" s="124">
        <v>0</v>
      </c>
      <c r="Q140" s="124">
        <v>0</v>
      </c>
      <c r="R140" s="124">
        <v>0</v>
      </c>
      <c r="S140" s="124">
        <v>1</v>
      </c>
      <c r="T140" s="124">
        <v>1</v>
      </c>
      <c r="U140" s="124">
        <v>0</v>
      </c>
      <c r="V140" s="124">
        <v>0</v>
      </c>
      <c r="W140" s="123">
        <v>62.6</v>
      </c>
      <c r="X140" s="123">
        <v>3.7999999999999999E-2</v>
      </c>
      <c r="Y140" s="123">
        <v>5</v>
      </c>
      <c r="Z140" s="122">
        <v>1181</v>
      </c>
      <c r="AA140" s="122">
        <v>181.37616800000001</v>
      </c>
      <c r="AB140" s="122">
        <v>236.2</v>
      </c>
      <c r="AC140" s="122">
        <v>36.2752336</v>
      </c>
    </row>
    <row r="141" spans="1:29" x14ac:dyDescent="0.35">
      <c r="A141" s="120">
        <v>45277</v>
      </c>
      <c r="B141" s="124">
        <v>1</v>
      </c>
      <c r="C141" s="124">
        <v>1</v>
      </c>
      <c r="D141" s="124">
        <v>0</v>
      </c>
      <c r="E141" s="124">
        <v>0</v>
      </c>
      <c r="F141" s="124">
        <v>0</v>
      </c>
      <c r="G141" s="124">
        <v>0</v>
      </c>
      <c r="H141" s="124">
        <v>0</v>
      </c>
      <c r="I141" s="124">
        <v>0</v>
      </c>
      <c r="J141" s="124">
        <v>0</v>
      </c>
      <c r="K141" s="124">
        <v>0</v>
      </c>
      <c r="L141" s="124">
        <v>0</v>
      </c>
      <c r="M141" s="124">
        <v>0</v>
      </c>
      <c r="N141" s="124">
        <v>0</v>
      </c>
      <c r="O141" s="124">
        <v>0</v>
      </c>
      <c r="P141" s="124">
        <v>0</v>
      </c>
      <c r="Q141" s="124">
        <v>0</v>
      </c>
      <c r="R141" s="124">
        <v>0</v>
      </c>
      <c r="S141" s="124">
        <v>1</v>
      </c>
      <c r="T141" s="124">
        <v>1</v>
      </c>
      <c r="U141" s="124">
        <v>0</v>
      </c>
      <c r="V141" s="124">
        <v>0</v>
      </c>
      <c r="W141" s="123">
        <v>66.3</v>
      </c>
      <c r="X141" s="123">
        <v>0</v>
      </c>
      <c r="Y141" s="123">
        <v>5.6166666666666663</v>
      </c>
      <c r="Z141" s="122">
        <v>1390</v>
      </c>
      <c r="AA141" s="122">
        <v>217.58837200000002</v>
      </c>
      <c r="AB141" s="122">
        <v>247.47774480712167</v>
      </c>
      <c r="AC141" s="122">
        <v>38.73976949554897</v>
      </c>
    </row>
    <row r="142" spans="1:29" x14ac:dyDescent="0.35">
      <c r="A142" s="120">
        <v>45278</v>
      </c>
      <c r="B142" s="124">
        <v>1</v>
      </c>
      <c r="C142" s="124">
        <v>0</v>
      </c>
      <c r="D142" s="124">
        <v>1</v>
      </c>
      <c r="E142" s="124">
        <v>0</v>
      </c>
      <c r="F142" s="124">
        <v>0</v>
      </c>
      <c r="G142" s="124">
        <v>0</v>
      </c>
      <c r="H142" s="124">
        <v>0</v>
      </c>
      <c r="I142" s="124">
        <v>0</v>
      </c>
      <c r="J142" s="124">
        <v>0</v>
      </c>
      <c r="K142" s="124">
        <v>0</v>
      </c>
      <c r="L142" s="124">
        <v>0</v>
      </c>
      <c r="M142" s="124">
        <v>0</v>
      </c>
      <c r="N142" s="124">
        <v>0</v>
      </c>
      <c r="O142" s="124">
        <v>0</v>
      </c>
      <c r="P142" s="124">
        <v>0</v>
      </c>
      <c r="Q142" s="124">
        <v>0</v>
      </c>
      <c r="R142" s="124">
        <v>0</v>
      </c>
      <c r="S142" s="124">
        <v>1</v>
      </c>
      <c r="T142" s="124">
        <v>0</v>
      </c>
      <c r="U142" s="124">
        <v>0</v>
      </c>
      <c r="V142" s="124">
        <v>0</v>
      </c>
      <c r="W142" s="123">
        <v>70</v>
      </c>
      <c r="X142" s="123">
        <v>0</v>
      </c>
      <c r="Y142" s="123">
        <v>5.65</v>
      </c>
      <c r="Z142" s="122">
        <v>1140</v>
      </c>
      <c r="AA142" s="122">
        <v>187.37920400000002</v>
      </c>
      <c r="AB142" s="122">
        <v>201.76991150442475</v>
      </c>
      <c r="AC142" s="122">
        <v>33.164460884955751</v>
      </c>
    </row>
    <row r="143" spans="1:29" x14ac:dyDescent="0.35">
      <c r="A143" s="120">
        <v>45281</v>
      </c>
      <c r="B143" s="124">
        <v>1</v>
      </c>
      <c r="C143" s="124">
        <v>0</v>
      </c>
      <c r="D143" s="124">
        <v>0</v>
      </c>
      <c r="E143" s="124">
        <v>0</v>
      </c>
      <c r="F143" s="124">
        <v>1</v>
      </c>
      <c r="G143" s="124">
        <v>0</v>
      </c>
      <c r="H143" s="124">
        <v>0</v>
      </c>
      <c r="I143" s="124">
        <v>0</v>
      </c>
      <c r="J143" s="124">
        <v>0</v>
      </c>
      <c r="K143" s="124">
        <v>0</v>
      </c>
      <c r="L143" s="124">
        <v>0</v>
      </c>
      <c r="M143" s="124">
        <v>0</v>
      </c>
      <c r="N143" s="124">
        <v>0</v>
      </c>
      <c r="O143" s="124">
        <v>0</v>
      </c>
      <c r="P143" s="124">
        <v>0</v>
      </c>
      <c r="Q143" s="124">
        <v>0</v>
      </c>
      <c r="R143" s="124">
        <v>0</v>
      </c>
      <c r="S143" s="124">
        <v>1</v>
      </c>
      <c r="T143" s="124">
        <v>0</v>
      </c>
      <c r="U143" s="124">
        <v>0</v>
      </c>
      <c r="V143" s="124">
        <v>0</v>
      </c>
      <c r="W143" s="123">
        <v>63.5</v>
      </c>
      <c r="X143" s="123">
        <v>0</v>
      </c>
      <c r="Y143" s="123">
        <v>5.3666666666666663</v>
      </c>
      <c r="Z143" s="122">
        <v>1102</v>
      </c>
      <c r="AA143" s="122">
        <v>199.11728000000002</v>
      </c>
      <c r="AB143" s="122">
        <v>205.34161490683232</v>
      </c>
      <c r="AC143" s="122">
        <v>37.102598757763985</v>
      </c>
    </row>
    <row r="144" spans="1:29" x14ac:dyDescent="0.35">
      <c r="A144" s="120">
        <v>45282</v>
      </c>
      <c r="B144" s="124">
        <v>1</v>
      </c>
      <c r="C144" s="124">
        <v>0</v>
      </c>
      <c r="D144" s="124">
        <v>0</v>
      </c>
      <c r="E144" s="124">
        <v>0</v>
      </c>
      <c r="F144" s="124">
        <v>0</v>
      </c>
      <c r="G144" s="124">
        <v>1</v>
      </c>
      <c r="H144" s="124">
        <v>0</v>
      </c>
      <c r="I144" s="124">
        <v>0</v>
      </c>
      <c r="J144" s="124">
        <v>0</v>
      </c>
      <c r="K144" s="124">
        <v>0</v>
      </c>
      <c r="L144" s="124">
        <v>0</v>
      </c>
      <c r="M144" s="124">
        <v>0</v>
      </c>
      <c r="N144" s="124">
        <v>0</v>
      </c>
      <c r="O144" s="124">
        <v>0</v>
      </c>
      <c r="P144" s="124">
        <v>0</v>
      </c>
      <c r="Q144" s="124">
        <v>0</v>
      </c>
      <c r="R144" s="124">
        <v>0</v>
      </c>
      <c r="S144" s="124">
        <v>1</v>
      </c>
      <c r="T144" s="124">
        <v>1</v>
      </c>
      <c r="U144" s="124">
        <v>0</v>
      </c>
      <c r="V144" s="124">
        <v>0</v>
      </c>
      <c r="W144" s="123">
        <v>69.900000000000006</v>
      </c>
      <c r="X144" s="123">
        <v>1E-3</v>
      </c>
      <c r="Y144" s="123">
        <v>5.3</v>
      </c>
      <c r="Z144" s="122">
        <v>1445</v>
      </c>
      <c r="AA144" s="122">
        <v>232.50149599999997</v>
      </c>
      <c r="AB144" s="122">
        <v>272.64150943396226</v>
      </c>
      <c r="AC144" s="122">
        <v>43.868206792452824</v>
      </c>
    </row>
    <row r="145" spans="1:29" x14ac:dyDescent="0.35">
      <c r="A145" s="120">
        <v>45283</v>
      </c>
      <c r="B145" s="124">
        <v>1</v>
      </c>
      <c r="C145" s="124">
        <v>0</v>
      </c>
      <c r="D145" s="124">
        <v>0</v>
      </c>
      <c r="E145" s="124">
        <v>0</v>
      </c>
      <c r="F145" s="124">
        <v>0</v>
      </c>
      <c r="G145" s="124">
        <v>0</v>
      </c>
      <c r="H145" s="124">
        <v>1</v>
      </c>
      <c r="I145" s="124">
        <v>0</v>
      </c>
      <c r="J145" s="124">
        <v>0</v>
      </c>
      <c r="K145" s="124">
        <v>0</v>
      </c>
      <c r="L145" s="124">
        <v>0</v>
      </c>
      <c r="M145" s="124">
        <v>0</v>
      </c>
      <c r="N145" s="124">
        <v>0</v>
      </c>
      <c r="O145" s="124">
        <v>0</v>
      </c>
      <c r="P145" s="124">
        <v>0</v>
      </c>
      <c r="Q145" s="124">
        <v>0</v>
      </c>
      <c r="R145" s="124">
        <v>0</v>
      </c>
      <c r="S145" s="124">
        <v>1</v>
      </c>
      <c r="T145" s="124">
        <v>1</v>
      </c>
      <c r="U145" s="124">
        <v>0</v>
      </c>
      <c r="V145" s="124">
        <v>0</v>
      </c>
      <c r="W145" s="123">
        <v>71.7</v>
      </c>
      <c r="X145" s="123">
        <v>6.2E-2</v>
      </c>
      <c r="Y145" s="123">
        <v>5.45</v>
      </c>
      <c r="Z145" s="122">
        <v>1427</v>
      </c>
      <c r="AA145" s="122">
        <v>259.20059599999996</v>
      </c>
      <c r="AB145" s="122">
        <v>261.83486238532112</v>
      </c>
      <c r="AC145" s="122">
        <v>47.559742385321094</v>
      </c>
    </row>
    <row r="146" spans="1:29" x14ac:dyDescent="0.35">
      <c r="A146" s="120">
        <v>45287</v>
      </c>
      <c r="B146" s="124">
        <v>0</v>
      </c>
      <c r="C146" s="124">
        <v>0</v>
      </c>
      <c r="D146" s="124">
        <v>0</v>
      </c>
      <c r="E146" s="124">
        <v>1</v>
      </c>
      <c r="F146" s="124">
        <v>0</v>
      </c>
      <c r="G146" s="124">
        <v>0</v>
      </c>
      <c r="H146" s="124">
        <v>0</v>
      </c>
      <c r="I146" s="124">
        <v>0</v>
      </c>
      <c r="J146" s="124">
        <v>0</v>
      </c>
      <c r="K146" s="124">
        <v>0</v>
      </c>
      <c r="L146" s="124">
        <v>0</v>
      </c>
      <c r="M146" s="124">
        <v>0</v>
      </c>
      <c r="N146" s="124">
        <v>0</v>
      </c>
      <c r="O146" s="124">
        <v>0</v>
      </c>
      <c r="P146" s="124">
        <v>0</v>
      </c>
      <c r="Q146" s="124">
        <v>0</v>
      </c>
      <c r="R146" s="124">
        <v>0</v>
      </c>
      <c r="S146" s="124">
        <v>1</v>
      </c>
      <c r="T146" s="124">
        <v>0</v>
      </c>
      <c r="U146" s="124">
        <v>0</v>
      </c>
      <c r="V146" s="124">
        <v>0</v>
      </c>
      <c r="W146" s="123">
        <v>63.5</v>
      </c>
      <c r="X146" s="123">
        <v>0</v>
      </c>
      <c r="Y146" s="123">
        <v>4.8666666666666663</v>
      </c>
      <c r="Z146" s="122">
        <v>1065.5</v>
      </c>
      <c r="AA146" s="122">
        <v>208.52860799999999</v>
      </c>
      <c r="AB146" s="122">
        <v>218.93835616438358</v>
      </c>
      <c r="AC146" s="122">
        <v>42.848344109589043</v>
      </c>
    </row>
    <row r="147" spans="1:29" x14ac:dyDescent="0.35">
      <c r="A147" s="120">
        <v>45287</v>
      </c>
      <c r="B147" s="124">
        <v>1</v>
      </c>
      <c r="C147" s="124">
        <v>0</v>
      </c>
      <c r="D147" s="124">
        <v>0</v>
      </c>
      <c r="E147" s="124">
        <v>1</v>
      </c>
      <c r="F147" s="124">
        <v>0</v>
      </c>
      <c r="G147" s="124">
        <v>0</v>
      </c>
      <c r="H147" s="124">
        <v>0</v>
      </c>
      <c r="I147" s="124">
        <v>0</v>
      </c>
      <c r="J147" s="124">
        <v>0</v>
      </c>
      <c r="K147" s="124">
        <v>0</v>
      </c>
      <c r="L147" s="124">
        <v>0</v>
      </c>
      <c r="M147" s="124">
        <v>0</v>
      </c>
      <c r="N147" s="124">
        <v>0</v>
      </c>
      <c r="O147" s="124">
        <v>0</v>
      </c>
      <c r="P147" s="124">
        <v>0</v>
      </c>
      <c r="Q147" s="124">
        <v>0</v>
      </c>
      <c r="R147" s="124">
        <v>0</v>
      </c>
      <c r="S147" s="124">
        <v>1</v>
      </c>
      <c r="T147" s="124">
        <v>0</v>
      </c>
      <c r="U147" s="124">
        <v>0</v>
      </c>
      <c r="V147" s="124">
        <v>0</v>
      </c>
      <c r="W147" s="123">
        <v>63.5</v>
      </c>
      <c r="X147" s="123">
        <v>0</v>
      </c>
      <c r="Y147" s="123">
        <v>4.416666666666667</v>
      </c>
      <c r="Z147" s="122">
        <v>1625.5</v>
      </c>
      <c r="AA147" s="122">
        <v>286.64925200000005</v>
      </c>
      <c r="AB147" s="122">
        <v>368.03773584905656</v>
      </c>
      <c r="AC147" s="122">
        <v>64.901717433962276</v>
      </c>
    </row>
    <row r="148" spans="1:29" x14ac:dyDescent="0.35">
      <c r="A148" s="120">
        <v>45289</v>
      </c>
      <c r="B148" s="124">
        <v>1</v>
      </c>
      <c r="C148" s="124">
        <v>0</v>
      </c>
      <c r="D148" s="124">
        <v>0</v>
      </c>
      <c r="E148" s="124">
        <v>0</v>
      </c>
      <c r="F148" s="124">
        <v>0</v>
      </c>
      <c r="G148" s="124">
        <v>1</v>
      </c>
      <c r="H148" s="124">
        <v>0</v>
      </c>
      <c r="I148" s="124">
        <v>0</v>
      </c>
      <c r="J148" s="124">
        <v>0</v>
      </c>
      <c r="K148" s="124">
        <v>0</v>
      </c>
      <c r="L148" s="124">
        <v>0</v>
      </c>
      <c r="M148" s="124">
        <v>0</v>
      </c>
      <c r="N148" s="124">
        <v>0</v>
      </c>
      <c r="O148" s="124">
        <v>0</v>
      </c>
      <c r="P148" s="124">
        <v>0</v>
      </c>
      <c r="Q148" s="124">
        <v>0</v>
      </c>
      <c r="R148" s="124">
        <v>0</v>
      </c>
      <c r="S148" s="124">
        <v>1</v>
      </c>
      <c r="T148" s="124">
        <v>1</v>
      </c>
      <c r="U148" s="124">
        <v>0</v>
      </c>
      <c r="V148" s="124">
        <v>0</v>
      </c>
      <c r="W148" s="123">
        <v>53.7</v>
      </c>
      <c r="X148" s="123">
        <v>0</v>
      </c>
      <c r="Y148" s="123">
        <v>5.0333333333333332</v>
      </c>
      <c r="Z148" s="122">
        <v>1304</v>
      </c>
      <c r="AA148" s="122">
        <v>216.11023999999998</v>
      </c>
      <c r="AB148" s="122">
        <v>259.07284768211923</v>
      </c>
      <c r="AC148" s="122">
        <v>42.935809271523176</v>
      </c>
    </row>
    <row r="149" spans="1:29" x14ac:dyDescent="0.35">
      <c r="A149" s="120">
        <v>45290</v>
      </c>
      <c r="B149" s="124">
        <v>1</v>
      </c>
      <c r="C149" s="124">
        <v>0</v>
      </c>
      <c r="D149" s="124">
        <v>0</v>
      </c>
      <c r="E149" s="124">
        <v>0</v>
      </c>
      <c r="F149" s="124">
        <v>0</v>
      </c>
      <c r="G149" s="124">
        <v>0</v>
      </c>
      <c r="H149" s="124">
        <v>1</v>
      </c>
      <c r="I149" s="124">
        <v>0</v>
      </c>
      <c r="J149" s="124">
        <v>0</v>
      </c>
      <c r="K149" s="124">
        <v>0</v>
      </c>
      <c r="L149" s="124">
        <v>0</v>
      </c>
      <c r="M149" s="124">
        <v>0</v>
      </c>
      <c r="N149" s="124">
        <v>0</v>
      </c>
      <c r="O149" s="124">
        <v>0</v>
      </c>
      <c r="P149" s="124">
        <v>0</v>
      </c>
      <c r="Q149" s="124">
        <v>0</v>
      </c>
      <c r="R149" s="124">
        <v>0</v>
      </c>
      <c r="S149" s="124">
        <v>1</v>
      </c>
      <c r="T149" s="124">
        <v>1</v>
      </c>
      <c r="U149" s="124">
        <v>0</v>
      </c>
      <c r="V149" s="124">
        <v>0</v>
      </c>
      <c r="W149" s="123">
        <v>64.5</v>
      </c>
      <c r="X149" s="123">
        <v>0</v>
      </c>
      <c r="Y149" s="123">
        <v>4.9000000000000004</v>
      </c>
      <c r="Z149" s="122">
        <v>1261</v>
      </c>
      <c r="AA149" s="122">
        <v>193.792216</v>
      </c>
      <c r="AB149" s="122">
        <v>257.34693877551018</v>
      </c>
      <c r="AC149" s="122">
        <v>39.549431836734691</v>
      </c>
    </row>
    <row r="150" spans="1:29" x14ac:dyDescent="0.35">
      <c r="A150" s="120">
        <v>45292</v>
      </c>
      <c r="B150" s="124">
        <v>0</v>
      </c>
      <c r="C150" s="124">
        <v>0</v>
      </c>
      <c r="D150" s="124">
        <v>1</v>
      </c>
      <c r="E150" s="124">
        <v>0</v>
      </c>
      <c r="F150" s="124">
        <v>0</v>
      </c>
      <c r="G150" s="124">
        <v>0</v>
      </c>
      <c r="H150" s="124">
        <v>0</v>
      </c>
      <c r="I150" s="124">
        <v>1</v>
      </c>
      <c r="J150" s="124">
        <v>0</v>
      </c>
      <c r="K150" s="124">
        <v>0</v>
      </c>
      <c r="L150" s="124">
        <v>0</v>
      </c>
      <c r="M150" s="124">
        <v>0</v>
      </c>
      <c r="N150" s="124">
        <v>0</v>
      </c>
      <c r="O150" s="124">
        <v>0</v>
      </c>
      <c r="P150" s="124">
        <v>0</v>
      </c>
      <c r="Q150" s="124">
        <v>0</v>
      </c>
      <c r="R150" s="124">
        <v>0</v>
      </c>
      <c r="S150" s="124">
        <v>0</v>
      </c>
      <c r="T150" s="124">
        <v>0</v>
      </c>
      <c r="U150" s="124">
        <v>0</v>
      </c>
      <c r="V150" s="124">
        <v>0</v>
      </c>
      <c r="W150" s="123">
        <v>64.3</v>
      </c>
      <c r="X150" s="123">
        <v>1.008</v>
      </c>
      <c r="Y150" s="123">
        <v>3.3833333333333333</v>
      </c>
      <c r="Z150" s="122">
        <v>298</v>
      </c>
      <c r="AA150" s="122">
        <v>59.834435999999997</v>
      </c>
      <c r="AB150" s="122">
        <v>88.078817733990149</v>
      </c>
      <c r="AC150" s="122">
        <v>17.685054975369457</v>
      </c>
    </row>
    <row r="151" spans="1:29" x14ac:dyDescent="0.35">
      <c r="A151" s="120">
        <v>45292</v>
      </c>
      <c r="B151" s="124">
        <v>1</v>
      </c>
      <c r="C151" s="124">
        <v>0</v>
      </c>
      <c r="D151" s="124">
        <v>1</v>
      </c>
      <c r="E151" s="124">
        <v>0</v>
      </c>
      <c r="F151" s="124">
        <v>0</v>
      </c>
      <c r="G151" s="124">
        <v>0</v>
      </c>
      <c r="H151" s="124">
        <v>0</v>
      </c>
      <c r="I151" s="124">
        <v>1</v>
      </c>
      <c r="J151" s="124">
        <v>0</v>
      </c>
      <c r="K151" s="124">
        <v>0</v>
      </c>
      <c r="L151" s="124">
        <v>0</v>
      </c>
      <c r="M151" s="124">
        <v>0</v>
      </c>
      <c r="N151" s="124">
        <v>0</v>
      </c>
      <c r="O151" s="124">
        <v>0</v>
      </c>
      <c r="P151" s="124">
        <v>0</v>
      </c>
      <c r="Q151" s="124">
        <v>0</v>
      </c>
      <c r="R151" s="124">
        <v>0</v>
      </c>
      <c r="S151" s="124">
        <v>0</v>
      </c>
      <c r="T151" s="124">
        <v>0</v>
      </c>
      <c r="U151" s="124">
        <v>0</v>
      </c>
      <c r="V151" s="124">
        <v>0</v>
      </c>
      <c r="W151" s="123">
        <v>64.3</v>
      </c>
      <c r="X151" s="123">
        <v>1.008</v>
      </c>
      <c r="Y151" s="123">
        <v>3.7166666666666668</v>
      </c>
      <c r="Z151" s="122">
        <v>946.5</v>
      </c>
      <c r="AA151" s="122">
        <v>167.03622000000001</v>
      </c>
      <c r="AB151" s="122">
        <v>254.66367713004485</v>
      </c>
      <c r="AC151" s="122">
        <v>44.942480717488792</v>
      </c>
    </row>
    <row r="152" spans="1:29" x14ac:dyDescent="0.35">
      <c r="A152" s="120">
        <v>45294</v>
      </c>
      <c r="B152" s="124">
        <v>1</v>
      </c>
      <c r="C152" s="124">
        <v>0</v>
      </c>
      <c r="D152" s="124">
        <v>0</v>
      </c>
      <c r="E152" s="124">
        <v>1</v>
      </c>
      <c r="F152" s="124">
        <v>0</v>
      </c>
      <c r="G152" s="124">
        <v>0</v>
      </c>
      <c r="H152" s="124">
        <v>0</v>
      </c>
      <c r="I152" s="124">
        <v>1</v>
      </c>
      <c r="J152" s="124">
        <v>0</v>
      </c>
      <c r="K152" s="124">
        <v>0</v>
      </c>
      <c r="L152" s="124">
        <v>0</v>
      </c>
      <c r="M152" s="124">
        <v>0</v>
      </c>
      <c r="N152" s="124">
        <v>0</v>
      </c>
      <c r="O152" s="124">
        <v>0</v>
      </c>
      <c r="P152" s="124">
        <v>0</v>
      </c>
      <c r="Q152" s="124">
        <v>0</v>
      </c>
      <c r="R152" s="124">
        <v>0</v>
      </c>
      <c r="S152" s="124">
        <v>0</v>
      </c>
      <c r="T152" s="124">
        <v>0</v>
      </c>
      <c r="U152" s="124">
        <v>0</v>
      </c>
      <c r="V152" s="124">
        <v>0</v>
      </c>
      <c r="W152" s="123">
        <v>57.2</v>
      </c>
      <c r="X152" s="123">
        <v>0.71399999999999997</v>
      </c>
      <c r="Y152" s="123">
        <v>6.4333333333333336</v>
      </c>
      <c r="Z152" s="122">
        <v>1426.5</v>
      </c>
      <c r="AA152" s="122">
        <v>258.35831999999999</v>
      </c>
      <c r="AB152" s="122">
        <v>221.73575129533677</v>
      </c>
      <c r="AC152" s="122">
        <v>40.159324352331602</v>
      </c>
    </row>
    <row r="153" spans="1:29" x14ac:dyDescent="0.35">
      <c r="A153" s="120">
        <v>45296</v>
      </c>
      <c r="B153" s="124">
        <v>1</v>
      </c>
      <c r="C153" s="124">
        <v>0</v>
      </c>
      <c r="D153" s="124">
        <v>0</v>
      </c>
      <c r="E153" s="124">
        <v>0</v>
      </c>
      <c r="F153" s="124">
        <v>0</v>
      </c>
      <c r="G153" s="124">
        <v>1</v>
      </c>
      <c r="H153" s="124">
        <v>0</v>
      </c>
      <c r="I153" s="124">
        <v>1</v>
      </c>
      <c r="J153" s="124">
        <v>0</v>
      </c>
      <c r="K153" s="124">
        <v>0</v>
      </c>
      <c r="L153" s="124">
        <v>0</v>
      </c>
      <c r="M153" s="124">
        <v>0</v>
      </c>
      <c r="N153" s="124">
        <v>0</v>
      </c>
      <c r="O153" s="124">
        <v>0</v>
      </c>
      <c r="P153" s="124">
        <v>0</v>
      </c>
      <c r="Q153" s="124">
        <v>0</v>
      </c>
      <c r="R153" s="124">
        <v>0</v>
      </c>
      <c r="S153" s="124">
        <v>0</v>
      </c>
      <c r="T153" s="124">
        <v>1</v>
      </c>
      <c r="U153" s="124">
        <v>0</v>
      </c>
      <c r="V153" s="124">
        <v>0</v>
      </c>
      <c r="W153" s="123">
        <v>60.9</v>
      </c>
      <c r="X153" s="123">
        <v>1.109</v>
      </c>
      <c r="Y153" s="123">
        <v>4.8</v>
      </c>
      <c r="Z153" s="122">
        <v>1373.5</v>
      </c>
      <c r="AA153" s="122">
        <v>213.26584799999998</v>
      </c>
      <c r="AB153" s="122">
        <v>286.14583333333337</v>
      </c>
      <c r="AC153" s="122">
        <v>44.430384999999994</v>
      </c>
    </row>
    <row r="154" spans="1:29" x14ac:dyDescent="0.35">
      <c r="A154" s="120">
        <v>45297</v>
      </c>
      <c r="B154" s="124">
        <v>1</v>
      </c>
      <c r="C154" s="124">
        <v>0</v>
      </c>
      <c r="D154" s="124">
        <v>0</v>
      </c>
      <c r="E154" s="124">
        <v>0</v>
      </c>
      <c r="F154" s="124">
        <v>0</v>
      </c>
      <c r="G154" s="124">
        <v>0</v>
      </c>
      <c r="H154" s="124">
        <v>1</v>
      </c>
      <c r="I154" s="124">
        <v>1</v>
      </c>
      <c r="J154" s="124">
        <v>0</v>
      </c>
      <c r="K154" s="124">
        <v>0</v>
      </c>
      <c r="L154" s="124">
        <v>0</v>
      </c>
      <c r="M154" s="124">
        <v>0</v>
      </c>
      <c r="N154" s="124">
        <v>0</v>
      </c>
      <c r="O154" s="124">
        <v>0</v>
      </c>
      <c r="P154" s="124">
        <v>0</v>
      </c>
      <c r="Q154" s="124">
        <v>0</v>
      </c>
      <c r="R154" s="124">
        <v>0</v>
      </c>
      <c r="S154" s="124">
        <v>0</v>
      </c>
      <c r="T154" s="124">
        <v>1</v>
      </c>
      <c r="U154" s="124">
        <v>0</v>
      </c>
      <c r="V154" s="124">
        <v>0</v>
      </c>
      <c r="W154" s="123">
        <v>60.9</v>
      </c>
      <c r="X154" s="123">
        <v>0</v>
      </c>
      <c r="Y154" s="123">
        <v>5.4333333333333336</v>
      </c>
      <c r="Z154" s="122">
        <v>1280</v>
      </c>
      <c r="AA154" s="122">
        <v>197.23952</v>
      </c>
      <c r="AB154" s="122">
        <v>235.58282208588955</v>
      </c>
      <c r="AC154" s="122">
        <v>36.301752147239263</v>
      </c>
    </row>
    <row r="155" spans="1:29" x14ac:dyDescent="0.35">
      <c r="A155" s="120">
        <v>45298</v>
      </c>
      <c r="B155" s="124">
        <v>1</v>
      </c>
      <c r="C155" s="124">
        <v>1</v>
      </c>
      <c r="D155" s="124">
        <v>0</v>
      </c>
      <c r="E155" s="124">
        <v>0</v>
      </c>
      <c r="F155" s="124">
        <v>0</v>
      </c>
      <c r="G155" s="124">
        <v>0</v>
      </c>
      <c r="H155" s="124">
        <v>0</v>
      </c>
      <c r="I155" s="124">
        <v>1</v>
      </c>
      <c r="J155" s="124">
        <v>0</v>
      </c>
      <c r="K155" s="124">
        <v>0</v>
      </c>
      <c r="L155" s="124">
        <v>0</v>
      </c>
      <c r="M155" s="124">
        <v>0</v>
      </c>
      <c r="N155" s="124">
        <v>0</v>
      </c>
      <c r="O155" s="124">
        <v>0</v>
      </c>
      <c r="P155" s="124">
        <v>0</v>
      </c>
      <c r="Q155" s="124">
        <v>0</v>
      </c>
      <c r="R155" s="124">
        <v>0</v>
      </c>
      <c r="S155" s="124">
        <v>0</v>
      </c>
      <c r="T155" s="124">
        <v>1</v>
      </c>
      <c r="U155" s="124">
        <v>0</v>
      </c>
      <c r="V155" s="124">
        <v>0</v>
      </c>
      <c r="W155" s="123">
        <v>59.1</v>
      </c>
      <c r="X155" s="123">
        <v>0</v>
      </c>
      <c r="Y155" s="123">
        <v>5.2333333333333334</v>
      </c>
      <c r="Z155" s="122">
        <v>1389.5</v>
      </c>
      <c r="AA155" s="122">
        <v>233.85552799999999</v>
      </c>
      <c r="AB155" s="122">
        <v>265.50955414012736</v>
      </c>
      <c r="AC155" s="122">
        <v>44.685769681528662</v>
      </c>
    </row>
    <row r="156" spans="1:29" x14ac:dyDescent="0.35">
      <c r="A156" s="120">
        <v>45299</v>
      </c>
      <c r="B156" s="124">
        <v>1</v>
      </c>
      <c r="C156" s="124">
        <v>0</v>
      </c>
      <c r="D156" s="124">
        <v>1</v>
      </c>
      <c r="E156" s="124">
        <v>0</v>
      </c>
      <c r="F156" s="124">
        <v>0</v>
      </c>
      <c r="G156" s="124">
        <v>0</v>
      </c>
      <c r="H156" s="124">
        <v>0</v>
      </c>
      <c r="I156" s="124">
        <v>1</v>
      </c>
      <c r="J156" s="124">
        <v>0</v>
      </c>
      <c r="K156" s="124">
        <v>0</v>
      </c>
      <c r="L156" s="124">
        <v>0</v>
      </c>
      <c r="M156" s="124">
        <v>0</v>
      </c>
      <c r="N156" s="124">
        <v>0</v>
      </c>
      <c r="O156" s="124">
        <v>0</v>
      </c>
      <c r="P156" s="124">
        <v>0</v>
      </c>
      <c r="Q156" s="124">
        <v>0</v>
      </c>
      <c r="R156" s="124">
        <v>0</v>
      </c>
      <c r="S156" s="124">
        <v>0</v>
      </c>
      <c r="T156" s="124">
        <v>0</v>
      </c>
      <c r="U156" s="124">
        <v>0</v>
      </c>
      <c r="V156" s="124">
        <v>0</v>
      </c>
      <c r="W156" s="123">
        <v>73.400000000000006</v>
      </c>
      <c r="X156" s="123">
        <v>0.46200000000000002</v>
      </c>
      <c r="Y156" s="123">
        <v>6.1333333333333337</v>
      </c>
      <c r="Z156" s="122">
        <v>491.5</v>
      </c>
      <c r="AA156" s="122">
        <v>92.215599999999995</v>
      </c>
      <c r="AB156" s="122">
        <v>80.135869565217391</v>
      </c>
      <c r="AC156" s="122">
        <v>15.035152173913042</v>
      </c>
    </row>
    <row r="157" spans="1:29" x14ac:dyDescent="0.35">
      <c r="A157" s="120">
        <v>45301</v>
      </c>
      <c r="B157" s="124">
        <v>1</v>
      </c>
      <c r="C157" s="124">
        <v>0</v>
      </c>
      <c r="D157" s="124">
        <v>0</v>
      </c>
      <c r="E157" s="124">
        <v>1</v>
      </c>
      <c r="F157" s="124">
        <v>0</v>
      </c>
      <c r="G157" s="124">
        <v>0</v>
      </c>
      <c r="H157" s="124">
        <v>0</v>
      </c>
      <c r="I157" s="124">
        <v>1</v>
      </c>
      <c r="J157" s="124">
        <v>0</v>
      </c>
      <c r="K157" s="124">
        <v>0</v>
      </c>
      <c r="L157" s="124">
        <v>0</v>
      </c>
      <c r="M157" s="124">
        <v>0</v>
      </c>
      <c r="N157" s="124">
        <v>0</v>
      </c>
      <c r="O157" s="124">
        <v>0</v>
      </c>
      <c r="P157" s="124">
        <v>0</v>
      </c>
      <c r="Q157" s="124">
        <v>0</v>
      </c>
      <c r="R157" s="124">
        <v>0</v>
      </c>
      <c r="S157" s="124">
        <v>0</v>
      </c>
      <c r="T157" s="124">
        <v>0</v>
      </c>
      <c r="U157" s="124">
        <v>0</v>
      </c>
      <c r="V157" s="124">
        <v>0</v>
      </c>
      <c r="W157" s="123">
        <v>66.3</v>
      </c>
      <c r="X157" s="123">
        <v>0</v>
      </c>
      <c r="Y157" s="123">
        <v>5.8166666666666664</v>
      </c>
      <c r="Z157" s="122">
        <v>1140.5</v>
      </c>
      <c r="AA157" s="122">
        <v>171.09210000000002</v>
      </c>
      <c r="AB157" s="122">
        <v>196.07449856733524</v>
      </c>
      <c r="AC157" s="122">
        <v>29.414114613180519</v>
      </c>
    </row>
    <row r="158" spans="1:29" x14ac:dyDescent="0.35">
      <c r="A158" s="120">
        <v>45303</v>
      </c>
      <c r="B158" s="124">
        <v>1</v>
      </c>
      <c r="C158" s="124">
        <v>0</v>
      </c>
      <c r="D158" s="124">
        <v>0</v>
      </c>
      <c r="E158" s="124">
        <v>0</v>
      </c>
      <c r="F158" s="124">
        <v>0</v>
      </c>
      <c r="G158" s="124">
        <v>1</v>
      </c>
      <c r="H158" s="124">
        <v>0</v>
      </c>
      <c r="I158" s="124">
        <v>1</v>
      </c>
      <c r="J158" s="124">
        <v>0</v>
      </c>
      <c r="K158" s="124">
        <v>0</v>
      </c>
      <c r="L158" s="124">
        <v>0</v>
      </c>
      <c r="M158" s="124">
        <v>0</v>
      </c>
      <c r="N158" s="124">
        <v>0</v>
      </c>
      <c r="O158" s="124">
        <v>0</v>
      </c>
      <c r="P158" s="124">
        <v>0</v>
      </c>
      <c r="Q158" s="124">
        <v>0</v>
      </c>
      <c r="R158" s="124">
        <v>0</v>
      </c>
      <c r="S158" s="124">
        <v>0</v>
      </c>
      <c r="T158" s="124">
        <v>1</v>
      </c>
      <c r="U158" s="124">
        <v>0</v>
      </c>
      <c r="V158" s="124">
        <v>0</v>
      </c>
      <c r="W158" s="123">
        <v>69.8</v>
      </c>
      <c r="X158" s="123">
        <v>0</v>
      </c>
      <c r="Y158" s="123">
        <v>5.9833333333333334</v>
      </c>
      <c r="Z158" s="122">
        <v>1276.5</v>
      </c>
      <c r="AA158" s="122">
        <v>215.94746000000001</v>
      </c>
      <c r="AB158" s="122">
        <v>213.34261838440111</v>
      </c>
      <c r="AC158" s="122">
        <v>36.091497493036215</v>
      </c>
    </row>
    <row r="159" spans="1:29" x14ac:dyDescent="0.35">
      <c r="A159" s="120">
        <v>45304</v>
      </c>
      <c r="B159" s="124">
        <v>1</v>
      </c>
      <c r="C159" s="124">
        <v>0</v>
      </c>
      <c r="D159" s="124">
        <v>0</v>
      </c>
      <c r="E159" s="124">
        <v>0</v>
      </c>
      <c r="F159" s="124">
        <v>0</v>
      </c>
      <c r="G159" s="124">
        <v>0</v>
      </c>
      <c r="H159" s="124">
        <v>1</v>
      </c>
      <c r="I159" s="124">
        <v>1</v>
      </c>
      <c r="J159" s="124">
        <v>0</v>
      </c>
      <c r="K159" s="124">
        <v>0</v>
      </c>
      <c r="L159" s="124">
        <v>0</v>
      </c>
      <c r="M159" s="124">
        <v>0</v>
      </c>
      <c r="N159" s="124">
        <v>0</v>
      </c>
      <c r="O159" s="124">
        <v>0</v>
      </c>
      <c r="P159" s="124">
        <v>0</v>
      </c>
      <c r="Q159" s="124">
        <v>0</v>
      </c>
      <c r="R159" s="124">
        <v>0</v>
      </c>
      <c r="S159" s="124">
        <v>0</v>
      </c>
      <c r="T159" s="124">
        <v>1</v>
      </c>
      <c r="U159" s="124">
        <v>0</v>
      </c>
      <c r="V159" s="124">
        <v>0</v>
      </c>
      <c r="W159" s="123">
        <v>62.6</v>
      </c>
      <c r="X159" s="123">
        <v>0</v>
      </c>
      <c r="Y159" s="123">
        <v>6.2833333333333332</v>
      </c>
      <c r="Z159" s="122">
        <v>1227</v>
      </c>
      <c r="AA159" s="122">
        <v>228.13538799999998</v>
      </c>
      <c r="AB159" s="122">
        <v>195.27851458885942</v>
      </c>
      <c r="AC159" s="122">
        <v>36.308019310344825</v>
      </c>
    </row>
    <row r="160" spans="1:29" x14ac:dyDescent="0.35">
      <c r="A160" s="120">
        <v>45308</v>
      </c>
      <c r="B160" s="124">
        <v>1</v>
      </c>
      <c r="C160" s="124">
        <v>0</v>
      </c>
      <c r="D160" s="124">
        <v>0</v>
      </c>
      <c r="E160" s="124">
        <v>1</v>
      </c>
      <c r="F160" s="124">
        <v>0</v>
      </c>
      <c r="G160" s="124">
        <v>0</v>
      </c>
      <c r="H160" s="124">
        <v>0</v>
      </c>
      <c r="I160" s="124">
        <v>1</v>
      </c>
      <c r="J160" s="124">
        <v>0</v>
      </c>
      <c r="K160" s="124">
        <v>0</v>
      </c>
      <c r="L160" s="124">
        <v>0</v>
      </c>
      <c r="M160" s="124">
        <v>0</v>
      </c>
      <c r="N160" s="124">
        <v>0</v>
      </c>
      <c r="O160" s="124">
        <v>0</v>
      </c>
      <c r="P160" s="124">
        <v>0</v>
      </c>
      <c r="Q160" s="124">
        <v>0</v>
      </c>
      <c r="R160" s="124">
        <v>0</v>
      </c>
      <c r="S160" s="124">
        <v>0</v>
      </c>
      <c r="T160" s="124">
        <v>0</v>
      </c>
      <c r="U160" s="124">
        <v>0</v>
      </c>
      <c r="V160" s="124">
        <v>0</v>
      </c>
      <c r="W160" s="123">
        <v>42.8</v>
      </c>
      <c r="X160" s="123">
        <v>0</v>
      </c>
      <c r="Y160" s="123">
        <v>5.4666666666666668</v>
      </c>
      <c r="Z160" s="122">
        <v>454</v>
      </c>
      <c r="AA160" s="122">
        <v>78.785280000000014</v>
      </c>
      <c r="AB160" s="122">
        <v>83.048780487804876</v>
      </c>
      <c r="AC160" s="122">
        <v>14.411941463414637</v>
      </c>
    </row>
    <row r="161" spans="1:29" x14ac:dyDescent="0.35">
      <c r="A161" s="120">
        <v>45309</v>
      </c>
      <c r="B161" s="124">
        <v>0</v>
      </c>
      <c r="C161" s="124">
        <v>0</v>
      </c>
      <c r="D161" s="124">
        <v>0</v>
      </c>
      <c r="E161" s="124">
        <v>0</v>
      </c>
      <c r="F161" s="124">
        <v>1</v>
      </c>
      <c r="G161" s="124">
        <v>0</v>
      </c>
      <c r="H161" s="124">
        <v>0</v>
      </c>
      <c r="I161" s="124">
        <v>1</v>
      </c>
      <c r="J161" s="124">
        <v>0</v>
      </c>
      <c r="K161" s="124">
        <v>0</v>
      </c>
      <c r="L161" s="124">
        <v>0</v>
      </c>
      <c r="M161" s="124">
        <v>0</v>
      </c>
      <c r="N161" s="124">
        <v>0</v>
      </c>
      <c r="O161" s="124">
        <v>0</v>
      </c>
      <c r="P161" s="124">
        <v>0</v>
      </c>
      <c r="Q161" s="124">
        <v>0</v>
      </c>
      <c r="R161" s="124">
        <v>0</v>
      </c>
      <c r="S161" s="124">
        <v>0</v>
      </c>
      <c r="T161" s="124">
        <v>0</v>
      </c>
      <c r="U161" s="124">
        <v>0</v>
      </c>
      <c r="V161" s="124">
        <v>0</v>
      </c>
      <c r="W161" s="123">
        <v>62.6</v>
      </c>
      <c r="X161" s="123">
        <v>0</v>
      </c>
      <c r="Y161" s="123">
        <v>5.25</v>
      </c>
      <c r="Z161" s="122">
        <v>919</v>
      </c>
      <c r="AA161" s="122">
        <v>148.03595600000003</v>
      </c>
      <c r="AB161" s="122">
        <v>175.04761904761904</v>
      </c>
      <c r="AC161" s="122">
        <v>28.197324952380956</v>
      </c>
    </row>
    <row r="162" spans="1:29" x14ac:dyDescent="0.35">
      <c r="A162" s="120">
        <v>45310</v>
      </c>
      <c r="B162" s="124">
        <v>1</v>
      </c>
      <c r="C162" s="124">
        <v>0</v>
      </c>
      <c r="D162" s="124">
        <v>0</v>
      </c>
      <c r="E162" s="124">
        <v>0</v>
      </c>
      <c r="F162" s="124">
        <v>0</v>
      </c>
      <c r="G162" s="124">
        <v>1</v>
      </c>
      <c r="H162" s="124">
        <v>0</v>
      </c>
      <c r="I162" s="124">
        <v>1</v>
      </c>
      <c r="J162" s="124">
        <v>0</v>
      </c>
      <c r="K162" s="124">
        <v>0</v>
      </c>
      <c r="L162" s="124">
        <v>0</v>
      </c>
      <c r="M162" s="124">
        <v>0</v>
      </c>
      <c r="N162" s="124">
        <v>0</v>
      </c>
      <c r="O162" s="124">
        <v>0</v>
      </c>
      <c r="P162" s="124">
        <v>0</v>
      </c>
      <c r="Q162" s="124">
        <v>0</v>
      </c>
      <c r="R162" s="124">
        <v>0</v>
      </c>
      <c r="S162" s="124">
        <v>0</v>
      </c>
      <c r="T162" s="124">
        <v>1</v>
      </c>
      <c r="U162" s="124">
        <v>0</v>
      </c>
      <c r="V162" s="124">
        <v>0</v>
      </c>
      <c r="W162" s="123">
        <v>60.4</v>
      </c>
      <c r="X162" s="123">
        <v>0</v>
      </c>
      <c r="Y162" s="123">
        <v>5.2166666666666668</v>
      </c>
      <c r="Z162" s="122">
        <v>1417</v>
      </c>
      <c r="AA162" s="122">
        <v>235.33174</v>
      </c>
      <c r="AB162" s="122">
        <v>271.62939297124598</v>
      </c>
      <c r="AC162" s="122">
        <v>45.111515654952072</v>
      </c>
    </row>
    <row r="163" spans="1:29" x14ac:dyDescent="0.35">
      <c r="A163" s="120">
        <v>45311</v>
      </c>
      <c r="B163" s="124">
        <v>1</v>
      </c>
      <c r="C163" s="124">
        <v>0</v>
      </c>
      <c r="D163" s="124">
        <v>0</v>
      </c>
      <c r="E163" s="124">
        <v>0</v>
      </c>
      <c r="F163" s="124">
        <v>0</v>
      </c>
      <c r="G163" s="124">
        <v>0</v>
      </c>
      <c r="H163" s="124">
        <v>1</v>
      </c>
      <c r="I163" s="124">
        <v>1</v>
      </c>
      <c r="J163" s="124">
        <v>0</v>
      </c>
      <c r="K163" s="124">
        <v>0</v>
      </c>
      <c r="L163" s="124">
        <v>0</v>
      </c>
      <c r="M163" s="124">
        <v>0</v>
      </c>
      <c r="N163" s="124">
        <v>0</v>
      </c>
      <c r="O163" s="124">
        <v>0</v>
      </c>
      <c r="P163" s="124">
        <v>0</v>
      </c>
      <c r="Q163" s="124">
        <v>0</v>
      </c>
      <c r="R163" s="124">
        <v>0</v>
      </c>
      <c r="S163" s="124">
        <v>0</v>
      </c>
      <c r="T163" s="124">
        <v>1</v>
      </c>
      <c r="U163" s="124">
        <v>0</v>
      </c>
      <c r="V163" s="124">
        <v>0</v>
      </c>
      <c r="W163" s="123">
        <v>44.7</v>
      </c>
      <c r="X163" s="123">
        <v>0</v>
      </c>
      <c r="Y163" s="123">
        <v>5.7333333333333334</v>
      </c>
      <c r="Z163" s="122">
        <v>1544</v>
      </c>
      <c r="AA163" s="122">
        <v>259.32637599999998</v>
      </c>
      <c r="AB163" s="122">
        <v>269.30232558139534</v>
      </c>
      <c r="AC163" s="122">
        <v>45.231344651162786</v>
      </c>
    </row>
    <row r="164" spans="1:29" x14ac:dyDescent="0.35">
      <c r="A164" s="120">
        <v>45313</v>
      </c>
      <c r="B164" s="124">
        <v>0</v>
      </c>
      <c r="C164" s="124">
        <v>0</v>
      </c>
      <c r="D164" s="124">
        <v>1</v>
      </c>
      <c r="E164" s="124">
        <v>0</v>
      </c>
      <c r="F164" s="124">
        <v>0</v>
      </c>
      <c r="G164" s="124">
        <v>0</v>
      </c>
      <c r="H164" s="124">
        <v>0</v>
      </c>
      <c r="I164" s="124">
        <v>1</v>
      </c>
      <c r="J164" s="124">
        <v>0</v>
      </c>
      <c r="K164" s="124">
        <v>0</v>
      </c>
      <c r="L164" s="124">
        <v>0</v>
      </c>
      <c r="M164" s="124">
        <v>0</v>
      </c>
      <c r="N164" s="124">
        <v>0</v>
      </c>
      <c r="O164" s="124">
        <v>0</v>
      </c>
      <c r="P164" s="124">
        <v>0</v>
      </c>
      <c r="Q164" s="124">
        <v>0</v>
      </c>
      <c r="R164" s="124">
        <v>0</v>
      </c>
      <c r="S164" s="124">
        <v>0</v>
      </c>
      <c r="T164" s="124">
        <v>0</v>
      </c>
      <c r="U164" s="124">
        <v>0</v>
      </c>
      <c r="V164" s="124">
        <v>0</v>
      </c>
      <c r="W164" s="123">
        <v>64.400000000000006</v>
      </c>
      <c r="X164" s="123">
        <v>0.85299999999999998</v>
      </c>
      <c r="Y164" s="123">
        <v>2.85</v>
      </c>
      <c r="Z164" s="122">
        <v>283.5</v>
      </c>
      <c r="AA164" s="122">
        <v>44.028148000000002</v>
      </c>
      <c r="AB164" s="122">
        <v>99.473684210526315</v>
      </c>
      <c r="AC164" s="122">
        <v>15.44847298245614</v>
      </c>
    </row>
    <row r="165" spans="1:29" x14ac:dyDescent="0.35">
      <c r="A165" s="120">
        <v>45315</v>
      </c>
      <c r="B165" s="124">
        <v>1</v>
      </c>
      <c r="C165" s="124">
        <v>0</v>
      </c>
      <c r="D165" s="124">
        <v>0</v>
      </c>
      <c r="E165" s="124">
        <v>1</v>
      </c>
      <c r="F165" s="124">
        <v>0</v>
      </c>
      <c r="G165" s="124">
        <v>0</v>
      </c>
      <c r="H165" s="124">
        <v>0</v>
      </c>
      <c r="I165" s="124">
        <v>1</v>
      </c>
      <c r="J165" s="124">
        <v>0</v>
      </c>
      <c r="K165" s="124">
        <v>0</v>
      </c>
      <c r="L165" s="124">
        <v>0</v>
      </c>
      <c r="M165" s="124">
        <v>0</v>
      </c>
      <c r="N165" s="124">
        <v>0</v>
      </c>
      <c r="O165" s="124">
        <v>0</v>
      </c>
      <c r="P165" s="124">
        <v>0</v>
      </c>
      <c r="Q165" s="124">
        <v>0</v>
      </c>
      <c r="R165" s="124">
        <v>0</v>
      </c>
      <c r="S165" s="124">
        <v>0</v>
      </c>
      <c r="T165" s="124">
        <v>0</v>
      </c>
      <c r="U165" s="124">
        <v>0</v>
      </c>
      <c r="V165" s="124">
        <v>0</v>
      </c>
      <c r="W165" s="123">
        <v>68</v>
      </c>
      <c r="X165" s="123">
        <v>1.1879999999999999</v>
      </c>
      <c r="Y165" s="123">
        <v>5</v>
      </c>
      <c r="Z165" s="122">
        <v>1000</v>
      </c>
      <c r="AA165" s="122">
        <v>167.29</v>
      </c>
      <c r="AB165" s="122">
        <v>200</v>
      </c>
      <c r="AC165" s="122">
        <v>33.457999999999998</v>
      </c>
    </row>
    <row r="166" spans="1:29" x14ac:dyDescent="0.35">
      <c r="A166" s="120">
        <v>45316</v>
      </c>
      <c r="B166" s="124">
        <v>1</v>
      </c>
      <c r="C166" s="124">
        <v>0</v>
      </c>
      <c r="D166" s="124">
        <v>0</v>
      </c>
      <c r="E166" s="124">
        <v>0</v>
      </c>
      <c r="F166" s="124">
        <v>1</v>
      </c>
      <c r="G166" s="124">
        <v>0</v>
      </c>
      <c r="H166" s="124">
        <v>0</v>
      </c>
      <c r="I166" s="124">
        <v>1</v>
      </c>
      <c r="J166" s="124">
        <v>0</v>
      </c>
      <c r="K166" s="124">
        <v>0</v>
      </c>
      <c r="L166" s="124">
        <v>0</v>
      </c>
      <c r="M166" s="124">
        <v>0</v>
      </c>
      <c r="N166" s="124">
        <v>0</v>
      </c>
      <c r="O166" s="124">
        <v>0</v>
      </c>
      <c r="P166" s="124">
        <v>0</v>
      </c>
      <c r="Q166" s="124">
        <v>0</v>
      </c>
      <c r="R166" s="124">
        <v>0</v>
      </c>
      <c r="S166" s="124">
        <v>0</v>
      </c>
      <c r="T166" s="124">
        <v>0</v>
      </c>
      <c r="U166" s="124">
        <v>0</v>
      </c>
      <c r="V166" s="124">
        <v>0</v>
      </c>
      <c r="W166" s="123">
        <v>69.900000000000006</v>
      </c>
      <c r="X166" s="123">
        <v>0.497</v>
      </c>
      <c r="Y166" s="123">
        <v>6.7666666666666666</v>
      </c>
      <c r="Z166" s="122">
        <v>1739</v>
      </c>
      <c r="AA166" s="122">
        <v>287.61990400000002</v>
      </c>
      <c r="AB166" s="122">
        <v>256.99507389162562</v>
      </c>
      <c r="AC166" s="122">
        <v>42.50540453201971</v>
      </c>
    </row>
    <row r="167" spans="1:29" x14ac:dyDescent="0.35">
      <c r="A167" s="120">
        <v>45317</v>
      </c>
      <c r="B167" s="124">
        <v>1</v>
      </c>
      <c r="C167" s="124">
        <v>0</v>
      </c>
      <c r="D167" s="124">
        <v>0</v>
      </c>
      <c r="E167" s="124">
        <v>0</v>
      </c>
      <c r="F167" s="124">
        <v>0</v>
      </c>
      <c r="G167" s="124">
        <v>1</v>
      </c>
      <c r="H167" s="124">
        <v>0</v>
      </c>
      <c r="I167" s="124">
        <v>1</v>
      </c>
      <c r="J167" s="124">
        <v>0</v>
      </c>
      <c r="K167" s="124">
        <v>0</v>
      </c>
      <c r="L167" s="124">
        <v>0</v>
      </c>
      <c r="M167" s="124">
        <v>0</v>
      </c>
      <c r="N167" s="124">
        <v>0</v>
      </c>
      <c r="O167" s="124">
        <v>0</v>
      </c>
      <c r="P167" s="124">
        <v>0</v>
      </c>
      <c r="Q167" s="124">
        <v>0</v>
      </c>
      <c r="R167" s="124">
        <v>0</v>
      </c>
      <c r="S167" s="124">
        <v>0</v>
      </c>
      <c r="T167" s="124">
        <v>1</v>
      </c>
      <c r="U167" s="124">
        <v>0</v>
      </c>
      <c r="V167" s="124">
        <v>0</v>
      </c>
      <c r="W167" s="123">
        <v>62.6</v>
      </c>
      <c r="X167" s="123">
        <v>0.71699999999999997</v>
      </c>
      <c r="Y167" s="123">
        <v>4.7</v>
      </c>
      <c r="Z167" s="122">
        <v>1224</v>
      </c>
      <c r="AA167" s="122">
        <v>194.26603999999998</v>
      </c>
      <c r="AB167" s="122">
        <v>260.42553191489361</v>
      </c>
      <c r="AC167" s="122">
        <v>41.333199999999991</v>
      </c>
    </row>
    <row r="168" spans="1:29" x14ac:dyDescent="0.35">
      <c r="A168" s="120">
        <v>45318</v>
      </c>
      <c r="B168" s="124">
        <v>0</v>
      </c>
      <c r="C168" s="124">
        <v>0</v>
      </c>
      <c r="D168" s="124">
        <v>0</v>
      </c>
      <c r="E168" s="124">
        <v>0</v>
      </c>
      <c r="F168" s="124">
        <v>0</v>
      </c>
      <c r="G168" s="124">
        <v>0</v>
      </c>
      <c r="H168" s="124">
        <v>1</v>
      </c>
      <c r="I168" s="124">
        <v>1</v>
      </c>
      <c r="J168" s="124">
        <v>0</v>
      </c>
      <c r="K168" s="124">
        <v>0</v>
      </c>
      <c r="L168" s="124">
        <v>0</v>
      </c>
      <c r="M168" s="124">
        <v>0</v>
      </c>
      <c r="N168" s="124">
        <v>0</v>
      </c>
      <c r="O168" s="124">
        <v>0</v>
      </c>
      <c r="P168" s="124">
        <v>0</v>
      </c>
      <c r="Q168" s="124">
        <v>0</v>
      </c>
      <c r="R168" s="124">
        <v>0</v>
      </c>
      <c r="S168" s="124">
        <v>0</v>
      </c>
      <c r="T168" s="124">
        <v>1</v>
      </c>
      <c r="U168" s="124">
        <v>0</v>
      </c>
      <c r="V168" s="124">
        <v>0</v>
      </c>
      <c r="W168" s="123">
        <v>59.1</v>
      </c>
      <c r="X168" s="123">
        <v>0</v>
      </c>
      <c r="Y168" s="123">
        <v>5.0999999999999996</v>
      </c>
      <c r="Z168" s="122">
        <v>1188.5</v>
      </c>
      <c r="AA168" s="122">
        <v>198.829072</v>
      </c>
      <c r="AB168" s="122">
        <v>233.03921568627453</v>
      </c>
      <c r="AC168" s="122">
        <v>38.98609254901961</v>
      </c>
    </row>
    <row r="169" spans="1:29" x14ac:dyDescent="0.35">
      <c r="A169" s="120">
        <v>45318</v>
      </c>
      <c r="B169" s="124">
        <v>1</v>
      </c>
      <c r="C169" s="124">
        <v>0</v>
      </c>
      <c r="D169" s="124">
        <v>0</v>
      </c>
      <c r="E169" s="124">
        <v>0</v>
      </c>
      <c r="F169" s="124">
        <v>0</v>
      </c>
      <c r="G169" s="124">
        <v>0</v>
      </c>
      <c r="H169" s="124">
        <v>1</v>
      </c>
      <c r="I169" s="124">
        <v>1</v>
      </c>
      <c r="J169" s="124">
        <v>0</v>
      </c>
      <c r="K169" s="124">
        <v>0</v>
      </c>
      <c r="L169" s="124">
        <v>0</v>
      </c>
      <c r="M169" s="124">
        <v>0</v>
      </c>
      <c r="N169" s="124">
        <v>0</v>
      </c>
      <c r="O169" s="124">
        <v>0</v>
      </c>
      <c r="P169" s="124">
        <v>0</v>
      </c>
      <c r="Q169" s="124">
        <v>0</v>
      </c>
      <c r="R169" s="124">
        <v>0</v>
      </c>
      <c r="S169" s="124">
        <v>0</v>
      </c>
      <c r="T169" s="124">
        <v>1</v>
      </c>
      <c r="U169" s="124">
        <v>0</v>
      </c>
      <c r="V169" s="124">
        <v>0</v>
      </c>
      <c r="W169" s="123">
        <v>59.1</v>
      </c>
      <c r="X169" s="123">
        <v>0</v>
      </c>
      <c r="Y169" s="123">
        <v>4.3666666666666663</v>
      </c>
      <c r="Z169" s="122">
        <v>1192.5</v>
      </c>
      <c r="AA169" s="122">
        <v>198.46371199999999</v>
      </c>
      <c r="AB169" s="122">
        <v>273.09160305343516</v>
      </c>
      <c r="AC169" s="122">
        <v>45.449705038167941</v>
      </c>
    </row>
    <row r="170" spans="1:29" x14ac:dyDescent="0.35">
      <c r="A170" s="120">
        <v>45319</v>
      </c>
      <c r="B170" s="124">
        <v>1</v>
      </c>
      <c r="C170" s="124">
        <v>1</v>
      </c>
      <c r="D170" s="124">
        <v>0</v>
      </c>
      <c r="E170" s="124">
        <v>0</v>
      </c>
      <c r="F170" s="124">
        <v>0</v>
      </c>
      <c r="G170" s="124">
        <v>0</v>
      </c>
      <c r="H170" s="124">
        <v>0</v>
      </c>
      <c r="I170" s="124">
        <v>1</v>
      </c>
      <c r="J170" s="124">
        <v>0</v>
      </c>
      <c r="K170" s="124">
        <v>0</v>
      </c>
      <c r="L170" s="124">
        <v>0</v>
      </c>
      <c r="M170" s="124">
        <v>0</v>
      </c>
      <c r="N170" s="124">
        <v>0</v>
      </c>
      <c r="O170" s="124">
        <v>0</v>
      </c>
      <c r="P170" s="124">
        <v>0</v>
      </c>
      <c r="Q170" s="124">
        <v>0</v>
      </c>
      <c r="R170" s="124">
        <v>0</v>
      </c>
      <c r="S170" s="124">
        <v>0</v>
      </c>
      <c r="T170" s="124">
        <v>1</v>
      </c>
      <c r="U170" s="124">
        <v>0</v>
      </c>
      <c r="V170" s="124">
        <v>0</v>
      </c>
      <c r="W170" s="123">
        <v>60.9</v>
      </c>
      <c r="X170" s="123">
        <v>0</v>
      </c>
      <c r="Y170" s="123">
        <v>4.333333333333333</v>
      </c>
      <c r="Z170" s="122">
        <v>908</v>
      </c>
      <c r="AA170" s="122">
        <v>144.33091999999999</v>
      </c>
      <c r="AB170" s="122">
        <v>209.53846153846155</v>
      </c>
      <c r="AC170" s="122">
        <v>33.307135384615385</v>
      </c>
    </row>
    <row r="171" spans="1:29" x14ac:dyDescent="0.35">
      <c r="A171" s="120">
        <v>45322</v>
      </c>
      <c r="B171" s="124">
        <v>1</v>
      </c>
      <c r="C171" s="124">
        <v>0</v>
      </c>
      <c r="D171" s="124">
        <v>0</v>
      </c>
      <c r="E171" s="124">
        <v>1</v>
      </c>
      <c r="F171" s="124">
        <v>0</v>
      </c>
      <c r="G171" s="124">
        <v>0</v>
      </c>
      <c r="H171" s="124">
        <v>0</v>
      </c>
      <c r="I171" s="124">
        <v>1</v>
      </c>
      <c r="J171" s="124">
        <v>0</v>
      </c>
      <c r="K171" s="124">
        <v>0</v>
      </c>
      <c r="L171" s="124">
        <v>0</v>
      </c>
      <c r="M171" s="124">
        <v>0</v>
      </c>
      <c r="N171" s="124">
        <v>0</v>
      </c>
      <c r="O171" s="124">
        <v>0</v>
      </c>
      <c r="P171" s="124">
        <v>0</v>
      </c>
      <c r="Q171" s="124">
        <v>0</v>
      </c>
      <c r="R171" s="124">
        <v>0</v>
      </c>
      <c r="S171" s="124">
        <v>0</v>
      </c>
      <c r="T171" s="124">
        <v>0</v>
      </c>
      <c r="U171" s="124">
        <v>0</v>
      </c>
      <c r="V171" s="124">
        <v>0</v>
      </c>
      <c r="W171" s="123">
        <v>73.400000000000006</v>
      </c>
      <c r="X171" s="123">
        <v>0</v>
      </c>
      <c r="Y171" s="123">
        <v>6.2666666666666666</v>
      </c>
      <c r="Z171" s="122">
        <v>1320</v>
      </c>
      <c r="AA171" s="122">
        <v>183.97036800000001</v>
      </c>
      <c r="AB171" s="122">
        <v>210.63829787234042</v>
      </c>
      <c r="AC171" s="122">
        <v>29.356973617021278</v>
      </c>
    </row>
    <row r="172" spans="1:29" x14ac:dyDescent="0.35">
      <c r="A172" s="120">
        <v>45323</v>
      </c>
      <c r="B172" s="124">
        <v>1</v>
      </c>
      <c r="C172" s="124">
        <v>0</v>
      </c>
      <c r="D172" s="124">
        <v>0</v>
      </c>
      <c r="E172" s="124">
        <v>0</v>
      </c>
      <c r="F172" s="124">
        <v>1</v>
      </c>
      <c r="G172" s="124">
        <v>0</v>
      </c>
      <c r="H172" s="124">
        <v>0</v>
      </c>
      <c r="I172" s="124">
        <v>0</v>
      </c>
      <c r="J172" s="124">
        <v>1</v>
      </c>
      <c r="K172" s="124">
        <v>0</v>
      </c>
      <c r="L172" s="124">
        <v>0</v>
      </c>
      <c r="M172" s="124">
        <v>0</v>
      </c>
      <c r="N172" s="124">
        <v>0</v>
      </c>
      <c r="O172" s="124">
        <v>0</v>
      </c>
      <c r="P172" s="124">
        <v>0</v>
      </c>
      <c r="Q172" s="124">
        <v>0</v>
      </c>
      <c r="R172" s="124">
        <v>0</v>
      </c>
      <c r="S172" s="124">
        <v>0</v>
      </c>
      <c r="T172" s="124">
        <v>0</v>
      </c>
      <c r="U172" s="124">
        <v>0</v>
      </c>
      <c r="V172" s="124">
        <v>0</v>
      </c>
      <c r="W172" s="123">
        <v>68.099999999999994</v>
      </c>
      <c r="X172" s="123">
        <v>0</v>
      </c>
      <c r="Y172" s="123">
        <v>6.6333333333333337</v>
      </c>
      <c r="Z172" s="122">
        <v>1451.5</v>
      </c>
      <c r="AA172" s="122">
        <v>241.10095200000001</v>
      </c>
      <c r="AB172" s="122">
        <v>218.81909547738692</v>
      </c>
      <c r="AC172" s="122">
        <v>36.34687718592965</v>
      </c>
    </row>
    <row r="173" spans="1:29" x14ac:dyDescent="0.35">
      <c r="A173" s="120">
        <v>45324</v>
      </c>
      <c r="B173" s="124">
        <v>1</v>
      </c>
      <c r="C173" s="124">
        <v>0</v>
      </c>
      <c r="D173" s="124">
        <v>0</v>
      </c>
      <c r="E173" s="124">
        <v>0</v>
      </c>
      <c r="F173" s="124">
        <v>0</v>
      </c>
      <c r="G173" s="124">
        <v>1</v>
      </c>
      <c r="H173" s="124">
        <v>0</v>
      </c>
      <c r="I173" s="124">
        <v>0</v>
      </c>
      <c r="J173" s="124">
        <v>1</v>
      </c>
      <c r="K173" s="124">
        <v>0</v>
      </c>
      <c r="L173" s="124">
        <v>0</v>
      </c>
      <c r="M173" s="124">
        <v>0</v>
      </c>
      <c r="N173" s="124">
        <v>0</v>
      </c>
      <c r="O173" s="124">
        <v>0</v>
      </c>
      <c r="P173" s="124">
        <v>0</v>
      </c>
      <c r="Q173" s="124">
        <v>0</v>
      </c>
      <c r="R173" s="124">
        <v>0</v>
      </c>
      <c r="S173" s="124">
        <v>0</v>
      </c>
      <c r="T173" s="124">
        <v>1</v>
      </c>
      <c r="U173" s="124">
        <v>0</v>
      </c>
      <c r="V173" s="124">
        <v>0</v>
      </c>
      <c r="W173" s="123">
        <v>71.7</v>
      </c>
      <c r="X173" s="123">
        <v>1E-3</v>
      </c>
      <c r="Y173" s="123">
        <v>7.9666666666666668</v>
      </c>
      <c r="Z173" s="122">
        <v>1462</v>
      </c>
      <c r="AA173" s="122">
        <v>276.31105599999995</v>
      </c>
      <c r="AB173" s="122">
        <v>183.51464435146443</v>
      </c>
      <c r="AC173" s="122">
        <v>34.683396150627608</v>
      </c>
    </row>
    <row r="174" spans="1:29" x14ac:dyDescent="0.35">
      <c r="A174" s="120">
        <v>45325</v>
      </c>
      <c r="B174" s="124">
        <v>0</v>
      </c>
      <c r="C174" s="124">
        <v>0</v>
      </c>
      <c r="D174" s="124">
        <v>0</v>
      </c>
      <c r="E174" s="124">
        <v>0</v>
      </c>
      <c r="F174" s="124">
        <v>0</v>
      </c>
      <c r="G174" s="124">
        <v>0</v>
      </c>
      <c r="H174" s="124">
        <v>1</v>
      </c>
      <c r="I174" s="124">
        <v>0</v>
      </c>
      <c r="J174" s="124">
        <v>1</v>
      </c>
      <c r="K174" s="124">
        <v>0</v>
      </c>
      <c r="L174" s="124">
        <v>0</v>
      </c>
      <c r="M174" s="124">
        <v>0</v>
      </c>
      <c r="N174" s="124">
        <v>0</v>
      </c>
      <c r="O174" s="124">
        <v>0</v>
      </c>
      <c r="P174" s="124">
        <v>0</v>
      </c>
      <c r="Q174" s="124">
        <v>0</v>
      </c>
      <c r="R174" s="124">
        <v>0</v>
      </c>
      <c r="S174" s="124">
        <v>0</v>
      </c>
      <c r="T174" s="124">
        <v>1</v>
      </c>
      <c r="U174" s="124">
        <v>0</v>
      </c>
      <c r="V174" s="124">
        <v>0</v>
      </c>
      <c r="W174" s="123">
        <v>69.8</v>
      </c>
      <c r="X174" s="123">
        <v>1.2729999999999999</v>
      </c>
      <c r="Y174" s="123">
        <v>2.7333333333333334</v>
      </c>
      <c r="Z174" s="122">
        <v>207</v>
      </c>
      <c r="AA174" s="122">
        <v>43.126488000000002</v>
      </c>
      <c r="AB174" s="122">
        <v>75.731707317073173</v>
      </c>
      <c r="AC174" s="122">
        <v>15.777983414634146</v>
      </c>
    </row>
    <row r="175" spans="1:29" x14ac:dyDescent="0.35">
      <c r="A175" s="120">
        <v>45326</v>
      </c>
      <c r="B175" s="124">
        <v>1</v>
      </c>
      <c r="C175" s="124">
        <v>1</v>
      </c>
      <c r="D175" s="124">
        <v>0</v>
      </c>
      <c r="E175" s="124">
        <v>0</v>
      </c>
      <c r="F175" s="124">
        <v>0</v>
      </c>
      <c r="G175" s="124">
        <v>0</v>
      </c>
      <c r="H175" s="124">
        <v>0</v>
      </c>
      <c r="I175" s="124">
        <v>0</v>
      </c>
      <c r="J175" s="124">
        <v>1</v>
      </c>
      <c r="K175" s="124">
        <v>0</v>
      </c>
      <c r="L175" s="124">
        <v>0</v>
      </c>
      <c r="M175" s="124">
        <v>0</v>
      </c>
      <c r="N175" s="124">
        <v>0</v>
      </c>
      <c r="O175" s="124">
        <v>0</v>
      </c>
      <c r="P175" s="124">
        <v>0</v>
      </c>
      <c r="Q175" s="124">
        <v>0</v>
      </c>
      <c r="R175" s="124">
        <v>0</v>
      </c>
      <c r="S175" s="124">
        <v>0</v>
      </c>
      <c r="T175" s="124">
        <v>1</v>
      </c>
      <c r="U175" s="124">
        <v>0</v>
      </c>
      <c r="V175" s="124">
        <v>0</v>
      </c>
      <c r="W175" s="123">
        <v>68.099999999999994</v>
      </c>
      <c r="X175" s="123">
        <v>0</v>
      </c>
      <c r="Y175" s="123">
        <v>4</v>
      </c>
      <c r="Z175" s="122">
        <v>1094.5</v>
      </c>
      <c r="AA175" s="122">
        <v>187.93316000000002</v>
      </c>
      <c r="AB175" s="122">
        <v>273.625</v>
      </c>
      <c r="AC175" s="122">
        <v>46.983290000000004</v>
      </c>
    </row>
    <row r="176" spans="1:29" x14ac:dyDescent="0.35">
      <c r="A176" s="120">
        <v>45327</v>
      </c>
      <c r="B176" s="124">
        <v>0</v>
      </c>
      <c r="C176" s="124">
        <v>0</v>
      </c>
      <c r="D176" s="124">
        <v>1</v>
      </c>
      <c r="E176" s="124">
        <v>0</v>
      </c>
      <c r="F176" s="124">
        <v>0</v>
      </c>
      <c r="G176" s="124">
        <v>0</v>
      </c>
      <c r="H176" s="124">
        <v>0</v>
      </c>
      <c r="I176" s="124">
        <v>0</v>
      </c>
      <c r="J176" s="124">
        <v>1</v>
      </c>
      <c r="K176" s="124">
        <v>0</v>
      </c>
      <c r="L176" s="124">
        <v>0</v>
      </c>
      <c r="M176" s="124">
        <v>0</v>
      </c>
      <c r="N176" s="124">
        <v>0</v>
      </c>
      <c r="O176" s="124">
        <v>0</v>
      </c>
      <c r="P176" s="124">
        <v>0</v>
      </c>
      <c r="Q176" s="124">
        <v>0</v>
      </c>
      <c r="R176" s="124">
        <v>0</v>
      </c>
      <c r="S176" s="124">
        <v>0</v>
      </c>
      <c r="T176" s="124">
        <v>0</v>
      </c>
      <c r="U176" s="124">
        <v>0</v>
      </c>
      <c r="V176" s="124">
        <v>0</v>
      </c>
      <c r="W176" s="123">
        <v>62.7</v>
      </c>
      <c r="X176" s="123">
        <v>0</v>
      </c>
      <c r="Y176" s="123">
        <v>2.5166666666666666</v>
      </c>
      <c r="Z176" s="122">
        <v>334</v>
      </c>
      <c r="AA176" s="122">
        <v>57.636924</v>
      </c>
      <c r="AB176" s="122">
        <v>132.71523178807948</v>
      </c>
      <c r="AC176" s="122">
        <v>22.902089006622518</v>
      </c>
    </row>
    <row r="177" spans="1:29" x14ac:dyDescent="0.35">
      <c r="A177" s="120">
        <v>45327</v>
      </c>
      <c r="B177" s="124">
        <v>1</v>
      </c>
      <c r="C177" s="124">
        <v>0</v>
      </c>
      <c r="D177" s="124">
        <v>1</v>
      </c>
      <c r="E177" s="124">
        <v>0</v>
      </c>
      <c r="F177" s="124">
        <v>0</v>
      </c>
      <c r="G177" s="124">
        <v>0</v>
      </c>
      <c r="H177" s="124">
        <v>0</v>
      </c>
      <c r="I177" s="124">
        <v>0</v>
      </c>
      <c r="J177" s="124">
        <v>1</v>
      </c>
      <c r="K177" s="124">
        <v>0</v>
      </c>
      <c r="L177" s="124">
        <v>0</v>
      </c>
      <c r="M177" s="124">
        <v>0</v>
      </c>
      <c r="N177" s="124">
        <v>0</v>
      </c>
      <c r="O177" s="124">
        <v>0</v>
      </c>
      <c r="P177" s="124">
        <v>0</v>
      </c>
      <c r="Q177" s="124">
        <v>0</v>
      </c>
      <c r="R177" s="124">
        <v>0</v>
      </c>
      <c r="S177" s="124">
        <v>0</v>
      </c>
      <c r="T177" s="124">
        <v>0</v>
      </c>
      <c r="U177" s="124">
        <v>0</v>
      </c>
      <c r="V177" s="124">
        <v>0</v>
      </c>
      <c r="W177" s="123">
        <v>62.7</v>
      </c>
      <c r="X177" s="123">
        <v>0</v>
      </c>
      <c r="Y177" s="123">
        <v>4.5333333333333332</v>
      </c>
      <c r="Z177" s="122">
        <v>1044</v>
      </c>
      <c r="AA177" s="122">
        <v>184.10223999999999</v>
      </c>
      <c r="AB177" s="122">
        <v>230.29411764705884</v>
      </c>
      <c r="AC177" s="122">
        <v>40.610788235294116</v>
      </c>
    </row>
    <row r="178" spans="1:29" x14ac:dyDescent="0.35">
      <c r="A178" s="120">
        <v>45329</v>
      </c>
      <c r="B178" s="124">
        <v>0</v>
      </c>
      <c r="C178" s="124">
        <v>0</v>
      </c>
      <c r="D178" s="124">
        <v>0</v>
      </c>
      <c r="E178" s="124">
        <v>1</v>
      </c>
      <c r="F178" s="124">
        <v>0</v>
      </c>
      <c r="G178" s="124">
        <v>0</v>
      </c>
      <c r="H178" s="124">
        <v>0</v>
      </c>
      <c r="I178" s="124">
        <v>0</v>
      </c>
      <c r="J178" s="124">
        <v>1</v>
      </c>
      <c r="K178" s="124">
        <v>0</v>
      </c>
      <c r="L178" s="124">
        <v>0</v>
      </c>
      <c r="M178" s="124">
        <v>0</v>
      </c>
      <c r="N178" s="124">
        <v>0</v>
      </c>
      <c r="O178" s="124">
        <v>0</v>
      </c>
      <c r="P178" s="124">
        <v>0</v>
      </c>
      <c r="Q178" s="124">
        <v>0</v>
      </c>
      <c r="R178" s="124">
        <v>0</v>
      </c>
      <c r="S178" s="124">
        <v>0</v>
      </c>
      <c r="T178" s="124">
        <v>0</v>
      </c>
      <c r="U178" s="124">
        <v>0</v>
      </c>
      <c r="V178" s="124">
        <v>0</v>
      </c>
      <c r="W178" s="123">
        <v>68.099999999999994</v>
      </c>
      <c r="X178" s="123">
        <v>0</v>
      </c>
      <c r="Y178" s="123">
        <v>3.7833333333333332</v>
      </c>
      <c r="Z178" s="122">
        <v>980</v>
      </c>
      <c r="AA178" s="122">
        <v>220.50298800000002</v>
      </c>
      <c r="AB178" s="122">
        <v>259.03083700440527</v>
      </c>
      <c r="AC178" s="122">
        <v>58.282728105726875</v>
      </c>
    </row>
    <row r="179" spans="1:29" x14ac:dyDescent="0.35">
      <c r="A179" s="120">
        <v>45329</v>
      </c>
      <c r="B179" s="124">
        <v>1</v>
      </c>
      <c r="C179" s="124">
        <v>0</v>
      </c>
      <c r="D179" s="124">
        <v>0</v>
      </c>
      <c r="E179" s="124">
        <v>1</v>
      </c>
      <c r="F179" s="124">
        <v>0</v>
      </c>
      <c r="G179" s="124">
        <v>0</v>
      </c>
      <c r="H179" s="124">
        <v>0</v>
      </c>
      <c r="I179" s="124">
        <v>0</v>
      </c>
      <c r="J179" s="124">
        <v>1</v>
      </c>
      <c r="K179" s="124">
        <v>0</v>
      </c>
      <c r="L179" s="124">
        <v>0</v>
      </c>
      <c r="M179" s="124">
        <v>0</v>
      </c>
      <c r="N179" s="124">
        <v>0</v>
      </c>
      <c r="O179" s="124">
        <v>0</v>
      </c>
      <c r="P179" s="124">
        <v>0</v>
      </c>
      <c r="Q179" s="124">
        <v>0</v>
      </c>
      <c r="R179" s="124">
        <v>0</v>
      </c>
      <c r="S179" s="124">
        <v>0</v>
      </c>
      <c r="T179" s="124">
        <v>0</v>
      </c>
      <c r="U179" s="124">
        <v>0</v>
      </c>
      <c r="V179" s="124">
        <v>0</v>
      </c>
      <c r="W179" s="123">
        <v>68.099999999999994</v>
      </c>
      <c r="X179" s="123">
        <v>0</v>
      </c>
      <c r="Y179" s="123">
        <v>5.7833333333333332</v>
      </c>
      <c r="Z179" s="122">
        <v>1491.5</v>
      </c>
      <c r="AA179" s="122">
        <v>248.87699599999996</v>
      </c>
      <c r="AB179" s="122">
        <v>257.89625360230548</v>
      </c>
      <c r="AC179" s="122">
        <v>43.033486340057628</v>
      </c>
    </row>
    <row r="180" spans="1:29" x14ac:dyDescent="0.35">
      <c r="A180" s="120">
        <v>45330</v>
      </c>
      <c r="B180" s="124">
        <v>1</v>
      </c>
      <c r="C180" s="124">
        <v>0</v>
      </c>
      <c r="D180" s="124">
        <v>0</v>
      </c>
      <c r="E180" s="124">
        <v>0</v>
      </c>
      <c r="F180" s="124">
        <v>1</v>
      </c>
      <c r="G180" s="124">
        <v>0</v>
      </c>
      <c r="H180" s="124">
        <v>0</v>
      </c>
      <c r="I180" s="124">
        <v>0</v>
      </c>
      <c r="J180" s="124">
        <v>1</v>
      </c>
      <c r="K180" s="124">
        <v>0</v>
      </c>
      <c r="L180" s="124">
        <v>0</v>
      </c>
      <c r="M180" s="124">
        <v>0</v>
      </c>
      <c r="N180" s="124">
        <v>0</v>
      </c>
      <c r="O180" s="124">
        <v>0</v>
      </c>
      <c r="P180" s="124">
        <v>0</v>
      </c>
      <c r="Q180" s="124">
        <v>0</v>
      </c>
      <c r="R180" s="124">
        <v>0</v>
      </c>
      <c r="S180" s="124">
        <v>0</v>
      </c>
      <c r="T180" s="124">
        <v>0</v>
      </c>
      <c r="U180" s="124">
        <v>0</v>
      </c>
      <c r="V180" s="124">
        <v>0</v>
      </c>
      <c r="W180" s="123">
        <v>73.400000000000006</v>
      </c>
      <c r="X180" s="123">
        <v>0</v>
      </c>
      <c r="Y180" s="123">
        <v>6.1333333333333337</v>
      </c>
      <c r="Z180" s="122">
        <v>1198</v>
      </c>
      <c r="AA180" s="122">
        <v>206.80472799999998</v>
      </c>
      <c r="AB180" s="122">
        <v>195.32608695652172</v>
      </c>
      <c r="AC180" s="122">
        <v>33.718162173913036</v>
      </c>
    </row>
    <row r="181" spans="1:29" x14ac:dyDescent="0.35">
      <c r="A181" s="120">
        <v>45332</v>
      </c>
      <c r="B181" s="124">
        <v>0</v>
      </c>
      <c r="C181" s="124">
        <v>0</v>
      </c>
      <c r="D181" s="124">
        <v>0</v>
      </c>
      <c r="E181" s="124">
        <v>0</v>
      </c>
      <c r="F181" s="124">
        <v>0</v>
      </c>
      <c r="G181" s="124">
        <v>0</v>
      </c>
      <c r="H181" s="124">
        <v>1</v>
      </c>
      <c r="I181" s="124">
        <v>0</v>
      </c>
      <c r="J181" s="124">
        <v>1</v>
      </c>
      <c r="K181" s="124">
        <v>0</v>
      </c>
      <c r="L181" s="124">
        <v>0</v>
      </c>
      <c r="M181" s="124">
        <v>0</v>
      </c>
      <c r="N181" s="124">
        <v>0</v>
      </c>
      <c r="O181" s="124">
        <v>0</v>
      </c>
      <c r="P181" s="124">
        <v>0</v>
      </c>
      <c r="Q181" s="124">
        <v>0</v>
      </c>
      <c r="R181" s="124">
        <v>0</v>
      </c>
      <c r="S181" s="124">
        <v>0</v>
      </c>
      <c r="T181" s="124">
        <v>1</v>
      </c>
      <c r="U181" s="124">
        <v>0</v>
      </c>
      <c r="V181" s="124">
        <v>0</v>
      </c>
      <c r="W181" s="123">
        <v>73.400000000000006</v>
      </c>
      <c r="X181" s="123">
        <v>3.7999999999999999E-2</v>
      </c>
      <c r="Y181" s="123">
        <v>4.9333333333333336</v>
      </c>
      <c r="Z181" s="122">
        <v>908.5</v>
      </c>
      <c r="AA181" s="122">
        <v>175.62089600000002</v>
      </c>
      <c r="AB181" s="122">
        <v>184.15540540540539</v>
      </c>
      <c r="AC181" s="122">
        <v>35.59883027027027</v>
      </c>
    </row>
    <row r="182" spans="1:29" x14ac:dyDescent="0.35">
      <c r="A182" s="120">
        <v>45333</v>
      </c>
      <c r="B182" s="124">
        <v>0</v>
      </c>
      <c r="C182" s="124">
        <v>1</v>
      </c>
      <c r="D182" s="124">
        <v>0</v>
      </c>
      <c r="E182" s="124">
        <v>0</v>
      </c>
      <c r="F182" s="124">
        <v>0</v>
      </c>
      <c r="G182" s="124">
        <v>0</v>
      </c>
      <c r="H182" s="124">
        <v>0</v>
      </c>
      <c r="I182" s="124">
        <v>0</v>
      </c>
      <c r="J182" s="124">
        <v>1</v>
      </c>
      <c r="K182" s="124">
        <v>0</v>
      </c>
      <c r="L182" s="124">
        <v>0</v>
      </c>
      <c r="M182" s="124">
        <v>0</v>
      </c>
      <c r="N182" s="124">
        <v>0</v>
      </c>
      <c r="O182" s="124">
        <v>0</v>
      </c>
      <c r="P182" s="124">
        <v>0</v>
      </c>
      <c r="Q182" s="124">
        <v>0</v>
      </c>
      <c r="R182" s="124">
        <v>0</v>
      </c>
      <c r="S182" s="124">
        <v>0</v>
      </c>
      <c r="T182" s="124">
        <v>1</v>
      </c>
      <c r="U182" s="124">
        <v>0</v>
      </c>
      <c r="V182" s="124">
        <v>0</v>
      </c>
      <c r="W182" s="123">
        <v>75.3</v>
      </c>
      <c r="X182" s="123">
        <v>0.03</v>
      </c>
      <c r="Y182" s="123">
        <v>3.6666666666666665</v>
      </c>
      <c r="Z182" s="122">
        <v>513</v>
      </c>
      <c r="AA182" s="122">
        <v>87.969680000000011</v>
      </c>
      <c r="AB182" s="122">
        <v>139.90909090909091</v>
      </c>
      <c r="AC182" s="122">
        <v>23.991730909090911</v>
      </c>
    </row>
    <row r="183" spans="1:29" x14ac:dyDescent="0.35">
      <c r="A183" s="120">
        <v>45334</v>
      </c>
      <c r="B183" s="124">
        <v>0</v>
      </c>
      <c r="C183" s="124">
        <v>0</v>
      </c>
      <c r="D183" s="124">
        <v>1</v>
      </c>
      <c r="E183" s="124">
        <v>0</v>
      </c>
      <c r="F183" s="124">
        <v>0</v>
      </c>
      <c r="G183" s="124">
        <v>0</v>
      </c>
      <c r="H183" s="124">
        <v>0</v>
      </c>
      <c r="I183" s="124">
        <v>0</v>
      </c>
      <c r="J183" s="124">
        <v>1</v>
      </c>
      <c r="K183" s="124">
        <v>0</v>
      </c>
      <c r="L183" s="124">
        <v>0</v>
      </c>
      <c r="M183" s="124">
        <v>0</v>
      </c>
      <c r="N183" s="124">
        <v>0</v>
      </c>
      <c r="O183" s="124">
        <v>0</v>
      </c>
      <c r="P183" s="124">
        <v>0</v>
      </c>
      <c r="Q183" s="124">
        <v>0</v>
      </c>
      <c r="R183" s="124">
        <v>0</v>
      </c>
      <c r="S183" s="124">
        <v>0</v>
      </c>
      <c r="T183" s="124">
        <v>0</v>
      </c>
      <c r="U183" s="124">
        <v>0</v>
      </c>
      <c r="V183" s="124">
        <v>0</v>
      </c>
      <c r="W183" s="123">
        <v>59.1</v>
      </c>
      <c r="X183" s="123">
        <v>0</v>
      </c>
      <c r="Y183" s="123">
        <v>1.9166666666666667</v>
      </c>
      <c r="Z183" s="122">
        <v>55</v>
      </c>
      <c r="AA183" s="122">
        <v>12.697699999999999</v>
      </c>
      <c r="AB183" s="122">
        <v>28.695652173913043</v>
      </c>
      <c r="AC183" s="122">
        <v>6.6248869565217383</v>
      </c>
    </row>
    <row r="184" spans="1:29" x14ac:dyDescent="0.35">
      <c r="A184" s="120">
        <v>45334</v>
      </c>
      <c r="B184" s="124">
        <v>1</v>
      </c>
      <c r="C184" s="124">
        <v>0</v>
      </c>
      <c r="D184" s="124">
        <v>1</v>
      </c>
      <c r="E184" s="124">
        <v>0</v>
      </c>
      <c r="F184" s="124">
        <v>0</v>
      </c>
      <c r="G184" s="124">
        <v>0</v>
      </c>
      <c r="H184" s="124">
        <v>0</v>
      </c>
      <c r="I184" s="124">
        <v>0</v>
      </c>
      <c r="J184" s="124">
        <v>1</v>
      </c>
      <c r="K184" s="124">
        <v>0</v>
      </c>
      <c r="L184" s="124">
        <v>0</v>
      </c>
      <c r="M184" s="124">
        <v>0</v>
      </c>
      <c r="N184" s="124">
        <v>0</v>
      </c>
      <c r="O184" s="124">
        <v>0</v>
      </c>
      <c r="P184" s="124">
        <v>0</v>
      </c>
      <c r="Q184" s="124">
        <v>0</v>
      </c>
      <c r="R184" s="124">
        <v>0</v>
      </c>
      <c r="S184" s="124">
        <v>0</v>
      </c>
      <c r="T184" s="124">
        <v>0</v>
      </c>
      <c r="U184" s="124">
        <v>0</v>
      </c>
      <c r="V184" s="124">
        <v>0</v>
      </c>
      <c r="W184" s="123">
        <v>59.1</v>
      </c>
      <c r="X184" s="123">
        <v>0</v>
      </c>
      <c r="Y184" s="123">
        <v>4.3833333333333337</v>
      </c>
      <c r="Z184" s="122">
        <v>1041.5</v>
      </c>
      <c r="AA184" s="122">
        <v>141.91920399999998</v>
      </c>
      <c r="AB184" s="122">
        <v>237.60456273764257</v>
      </c>
      <c r="AC184" s="122">
        <v>32.377004714828892</v>
      </c>
    </row>
    <row r="185" spans="1:29" x14ac:dyDescent="0.35">
      <c r="A185" s="120">
        <v>45336</v>
      </c>
      <c r="B185" s="124">
        <v>1</v>
      </c>
      <c r="C185" s="124">
        <v>0</v>
      </c>
      <c r="D185" s="124">
        <v>0</v>
      </c>
      <c r="E185" s="124">
        <v>1</v>
      </c>
      <c r="F185" s="124">
        <v>0</v>
      </c>
      <c r="G185" s="124">
        <v>0</v>
      </c>
      <c r="H185" s="124">
        <v>0</v>
      </c>
      <c r="I185" s="124">
        <v>0</v>
      </c>
      <c r="J185" s="124">
        <v>1</v>
      </c>
      <c r="K185" s="124">
        <v>0</v>
      </c>
      <c r="L185" s="124">
        <v>0</v>
      </c>
      <c r="M185" s="124">
        <v>0</v>
      </c>
      <c r="N185" s="124">
        <v>0</v>
      </c>
      <c r="O185" s="124">
        <v>0</v>
      </c>
      <c r="P185" s="124">
        <v>0</v>
      </c>
      <c r="Q185" s="124">
        <v>0</v>
      </c>
      <c r="R185" s="124">
        <v>0</v>
      </c>
      <c r="S185" s="124">
        <v>0</v>
      </c>
      <c r="T185" s="124">
        <v>0</v>
      </c>
      <c r="U185" s="124">
        <v>0</v>
      </c>
      <c r="V185" s="124">
        <v>0</v>
      </c>
      <c r="W185" s="123">
        <v>64.400000000000006</v>
      </c>
      <c r="X185" s="123">
        <v>0</v>
      </c>
      <c r="Y185" s="123">
        <v>6.4666666666666668</v>
      </c>
      <c r="Z185" s="122">
        <v>2119</v>
      </c>
      <c r="AA185" s="122">
        <v>373.043768</v>
      </c>
      <c r="AB185" s="122">
        <v>327.68041237113403</v>
      </c>
      <c r="AC185" s="122">
        <v>57.687180618556702</v>
      </c>
    </row>
    <row r="186" spans="1:29" x14ac:dyDescent="0.35">
      <c r="A186" s="120">
        <v>45337</v>
      </c>
      <c r="B186" s="124">
        <v>1</v>
      </c>
      <c r="C186" s="124">
        <v>0</v>
      </c>
      <c r="D186" s="124">
        <v>0</v>
      </c>
      <c r="E186" s="124">
        <v>0</v>
      </c>
      <c r="F186" s="124">
        <v>1</v>
      </c>
      <c r="G186" s="124">
        <v>0</v>
      </c>
      <c r="H186" s="124">
        <v>0</v>
      </c>
      <c r="I186" s="124">
        <v>0</v>
      </c>
      <c r="J186" s="124">
        <v>1</v>
      </c>
      <c r="K186" s="124">
        <v>0</v>
      </c>
      <c r="L186" s="124">
        <v>0</v>
      </c>
      <c r="M186" s="124">
        <v>0</v>
      </c>
      <c r="N186" s="124">
        <v>0</v>
      </c>
      <c r="O186" s="124">
        <v>0</v>
      </c>
      <c r="P186" s="124">
        <v>0</v>
      </c>
      <c r="Q186" s="124">
        <v>0</v>
      </c>
      <c r="R186" s="124">
        <v>0</v>
      </c>
      <c r="S186" s="124">
        <v>0</v>
      </c>
      <c r="T186" s="124">
        <v>0</v>
      </c>
      <c r="U186" s="124">
        <v>0</v>
      </c>
      <c r="V186" s="124">
        <v>0</v>
      </c>
      <c r="W186" s="123">
        <v>71.599999999999994</v>
      </c>
      <c r="X186" s="123">
        <v>0</v>
      </c>
      <c r="Y186" s="123">
        <v>7.05</v>
      </c>
      <c r="Z186" s="122">
        <v>1197</v>
      </c>
      <c r="AA186" s="122">
        <v>211.08129200000002</v>
      </c>
      <c r="AB186" s="122">
        <v>169.78723404255319</v>
      </c>
      <c r="AC186" s="122">
        <v>29.940608794326245</v>
      </c>
    </row>
    <row r="187" spans="1:29" x14ac:dyDescent="0.35">
      <c r="A187" s="120">
        <v>45339</v>
      </c>
      <c r="B187" s="124">
        <v>0</v>
      </c>
      <c r="C187" s="124">
        <v>0</v>
      </c>
      <c r="D187" s="124">
        <v>0</v>
      </c>
      <c r="E187" s="124">
        <v>0</v>
      </c>
      <c r="F187" s="124">
        <v>0</v>
      </c>
      <c r="G187" s="124">
        <v>0</v>
      </c>
      <c r="H187" s="124">
        <v>1</v>
      </c>
      <c r="I187" s="124">
        <v>0</v>
      </c>
      <c r="J187" s="124">
        <v>1</v>
      </c>
      <c r="K187" s="124">
        <v>0</v>
      </c>
      <c r="L187" s="124">
        <v>0</v>
      </c>
      <c r="M187" s="124">
        <v>0</v>
      </c>
      <c r="N187" s="124">
        <v>0</v>
      </c>
      <c r="O187" s="124">
        <v>0</v>
      </c>
      <c r="P187" s="124">
        <v>0</v>
      </c>
      <c r="Q187" s="124">
        <v>0</v>
      </c>
      <c r="R187" s="124">
        <v>0</v>
      </c>
      <c r="S187" s="124">
        <v>0</v>
      </c>
      <c r="T187" s="124">
        <v>1</v>
      </c>
      <c r="U187" s="124">
        <v>0</v>
      </c>
      <c r="V187" s="124">
        <v>0</v>
      </c>
      <c r="W187" s="123">
        <v>62.6</v>
      </c>
      <c r="X187" s="123">
        <v>0</v>
      </c>
      <c r="Y187" s="123">
        <v>5.2666666666666666</v>
      </c>
      <c r="Z187" s="122">
        <v>1085</v>
      </c>
      <c r="AA187" s="122">
        <v>163.45064799999997</v>
      </c>
      <c r="AB187" s="122">
        <v>206.01265822784811</v>
      </c>
      <c r="AC187" s="122">
        <v>31.034933164556957</v>
      </c>
    </row>
    <row r="188" spans="1:29" x14ac:dyDescent="0.35">
      <c r="A188" s="120">
        <v>45339</v>
      </c>
      <c r="B188" s="124">
        <v>1</v>
      </c>
      <c r="C188" s="124">
        <v>0</v>
      </c>
      <c r="D188" s="124">
        <v>0</v>
      </c>
      <c r="E188" s="124">
        <v>0</v>
      </c>
      <c r="F188" s="124">
        <v>0</v>
      </c>
      <c r="G188" s="124">
        <v>0</v>
      </c>
      <c r="H188" s="124">
        <v>1</v>
      </c>
      <c r="I188" s="124">
        <v>0</v>
      </c>
      <c r="J188" s="124">
        <v>1</v>
      </c>
      <c r="K188" s="124">
        <v>0</v>
      </c>
      <c r="L188" s="124">
        <v>0</v>
      </c>
      <c r="M188" s="124">
        <v>0</v>
      </c>
      <c r="N188" s="124">
        <v>0</v>
      </c>
      <c r="O188" s="124">
        <v>0</v>
      </c>
      <c r="P188" s="124">
        <v>0</v>
      </c>
      <c r="Q188" s="124">
        <v>0</v>
      </c>
      <c r="R188" s="124">
        <v>0</v>
      </c>
      <c r="S188" s="124">
        <v>0</v>
      </c>
      <c r="T188" s="124">
        <v>1</v>
      </c>
      <c r="U188" s="124">
        <v>0</v>
      </c>
      <c r="V188" s="124">
        <v>0</v>
      </c>
      <c r="W188" s="123">
        <v>62.6</v>
      </c>
      <c r="X188" s="123">
        <v>0</v>
      </c>
      <c r="Y188" s="123">
        <v>5.0999999999999996</v>
      </c>
      <c r="Z188" s="122">
        <v>1526.5</v>
      </c>
      <c r="AA188" s="122">
        <v>238.391864</v>
      </c>
      <c r="AB188" s="122">
        <v>299.31372549019608</v>
      </c>
      <c r="AC188" s="122">
        <v>46.743502745098041</v>
      </c>
    </row>
    <row r="189" spans="1:29" x14ac:dyDescent="0.35">
      <c r="A189" s="120">
        <v>45340</v>
      </c>
      <c r="B189" s="124">
        <v>0</v>
      </c>
      <c r="C189" s="124">
        <v>1</v>
      </c>
      <c r="D189" s="124">
        <v>0</v>
      </c>
      <c r="E189" s="124">
        <v>0</v>
      </c>
      <c r="F189" s="124">
        <v>0</v>
      </c>
      <c r="G189" s="124">
        <v>0</v>
      </c>
      <c r="H189" s="124">
        <v>0</v>
      </c>
      <c r="I189" s="124">
        <v>0</v>
      </c>
      <c r="J189" s="124">
        <v>1</v>
      </c>
      <c r="K189" s="124">
        <v>0</v>
      </c>
      <c r="L189" s="124">
        <v>0</v>
      </c>
      <c r="M189" s="124">
        <v>0</v>
      </c>
      <c r="N189" s="124">
        <v>0</v>
      </c>
      <c r="O189" s="124">
        <v>0</v>
      </c>
      <c r="P189" s="124">
        <v>0</v>
      </c>
      <c r="Q189" s="124">
        <v>0</v>
      </c>
      <c r="R189" s="124">
        <v>0</v>
      </c>
      <c r="S189" s="124">
        <v>0</v>
      </c>
      <c r="T189" s="124">
        <v>1</v>
      </c>
      <c r="U189" s="124">
        <v>0</v>
      </c>
      <c r="V189" s="124">
        <v>0</v>
      </c>
      <c r="W189" s="123">
        <v>55.5</v>
      </c>
      <c r="X189" s="123">
        <v>0</v>
      </c>
      <c r="Y189" s="123">
        <v>4.666666666666667</v>
      </c>
      <c r="Z189" s="122">
        <v>779</v>
      </c>
      <c r="AA189" s="122">
        <v>134.12731199999999</v>
      </c>
      <c r="AB189" s="122">
        <v>166.92857142857142</v>
      </c>
      <c r="AC189" s="122">
        <v>28.741566857142853</v>
      </c>
    </row>
    <row r="190" spans="1:29" x14ac:dyDescent="0.35">
      <c r="A190" s="120">
        <v>45340</v>
      </c>
      <c r="B190" s="124">
        <v>1</v>
      </c>
      <c r="C190" s="124">
        <v>1</v>
      </c>
      <c r="D190" s="124">
        <v>0</v>
      </c>
      <c r="E190" s="124">
        <v>0</v>
      </c>
      <c r="F190" s="124">
        <v>0</v>
      </c>
      <c r="G190" s="124">
        <v>0</v>
      </c>
      <c r="H190" s="124">
        <v>0</v>
      </c>
      <c r="I190" s="124">
        <v>0</v>
      </c>
      <c r="J190" s="124">
        <v>1</v>
      </c>
      <c r="K190" s="124">
        <v>0</v>
      </c>
      <c r="L190" s="124">
        <v>0</v>
      </c>
      <c r="M190" s="124">
        <v>0</v>
      </c>
      <c r="N190" s="124">
        <v>0</v>
      </c>
      <c r="O190" s="124">
        <v>0</v>
      </c>
      <c r="P190" s="124">
        <v>0</v>
      </c>
      <c r="Q190" s="124">
        <v>0</v>
      </c>
      <c r="R190" s="124">
        <v>0</v>
      </c>
      <c r="S190" s="124">
        <v>0</v>
      </c>
      <c r="T190" s="124">
        <v>1</v>
      </c>
      <c r="U190" s="124">
        <v>0</v>
      </c>
      <c r="V190" s="124">
        <v>0</v>
      </c>
      <c r="W190" s="123">
        <v>55.5</v>
      </c>
      <c r="X190" s="123">
        <v>0</v>
      </c>
      <c r="Y190" s="123">
        <v>4.583333333333333</v>
      </c>
      <c r="Z190" s="122">
        <v>1245</v>
      </c>
      <c r="AA190" s="122">
        <v>235.05908399999998</v>
      </c>
      <c r="AB190" s="122">
        <v>271.63636363636363</v>
      </c>
      <c r="AC190" s="122">
        <v>51.285618327272729</v>
      </c>
    </row>
    <row r="191" spans="1:29" x14ac:dyDescent="0.35">
      <c r="A191" s="120">
        <v>45341</v>
      </c>
      <c r="B191" s="124">
        <v>0</v>
      </c>
      <c r="C191" s="124">
        <v>0</v>
      </c>
      <c r="D191" s="124">
        <v>1</v>
      </c>
      <c r="E191" s="124">
        <v>0</v>
      </c>
      <c r="F191" s="124">
        <v>0</v>
      </c>
      <c r="G191" s="124">
        <v>0</v>
      </c>
      <c r="H191" s="124">
        <v>0</v>
      </c>
      <c r="I191" s="124">
        <v>0</v>
      </c>
      <c r="J191" s="124">
        <v>1</v>
      </c>
      <c r="K191" s="124">
        <v>0</v>
      </c>
      <c r="L191" s="124">
        <v>0</v>
      </c>
      <c r="M191" s="124">
        <v>0</v>
      </c>
      <c r="N191" s="124">
        <v>0</v>
      </c>
      <c r="O191" s="124">
        <v>0</v>
      </c>
      <c r="P191" s="124">
        <v>0</v>
      </c>
      <c r="Q191" s="124">
        <v>0</v>
      </c>
      <c r="R191" s="124">
        <v>0</v>
      </c>
      <c r="S191" s="124">
        <v>0</v>
      </c>
      <c r="T191" s="124">
        <v>0</v>
      </c>
      <c r="U191" s="124">
        <v>0</v>
      </c>
      <c r="V191" s="124">
        <v>0</v>
      </c>
      <c r="W191" s="123">
        <v>64.400000000000006</v>
      </c>
      <c r="X191" s="123">
        <v>0</v>
      </c>
      <c r="Y191" s="123">
        <v>4</v>
      </c>
      <c r="Z191" s="122">
        <v>566</v>
      </c>
      <c r="AA191" s="122">
        <v>88.340215999999984</v>
      </c>
      <c r="AB191" s="122">
        <v>141.5</v>
      </c>
      <c r="AC191" s="122">
        <v>22.085053999999996</v>
      </c>
    </row>
    <row r="192" spans="1:29" x14ac:dyDescent="0.35">
      <c r="A192" s="120">
        <v>45341</v>
      </c>
      <c r="B192" s="124">
        <v>1</v>
      </c>
      <c r="C192" s="124">
        <v>0</v>
      </c>
      <c r="D192" s="124">
        <v>1</v>
      </c>
      <c r="E192" s="124">
        <v>0</v>
      </c>
      <c r="F192" s="124">
        <v>0</v>
      </c>
      <c r="G192" s="124">
        <v>0</v>
      </c>
      <c r="H192" s="124">
        <v>0</v>
      </c>
      <c r="I192" s="124">
        <v>0</v>
      </c>
      <c r="J192" s="124">
        <v>1</v>
      </c>
      <c r="K192" s="124">
        <v>0</v>
      </c>
      <c r="L192" s="124">
        <v>0</v>
      </c>
      <c r="M192" s="124">
        <v>0</v>
      </c>
      <c r="N192" s="124">
        <v>0</v>
      </c>
      <c r="O192" s="124">
        <v>0</v>
      </c>
      <c r="P192" s="124">
        <v>0</v>
      </c>
      <c r="Q192" s="124">
        <v>0</v>
      </c>
      <c r="R192" s="124">
        <v>0</v>
      </c>
      <c r="S192" s="124">
        <v>0</v>
      </c>
      <c r="T192" s="124">
        <v>0</v>
      </c>
      <c r="U192" s="124">
        <v>0</v>
      </c>
      <c r="V192" s="124">
        <v>0</v>
      </c>
      <c r="W192" s="123">
        <v>64.400000000000006</v>
      </c>
      <c r="X192" s="123">
        <v>0</v>
      </c>
      <c r="Y192" s="123">
        <v>4.9666666666666668</v>
      </c>
      <c r="Z192" s="122">
        <v>1027.5</v>
      </c>
      <c r="AA192" s="122">
        <v>178.746624</v>
      </c>
      <c r="AB192" s="122">
        <v>206.87919463087249</v>
      </c>
      <c r="AC192" s="122">
        <v>35.989253154362416</v>
      </c>
    </row>
    <row r="193" spans="1:29" x14ac:dyDescent="0.35">
      <c r="A193" s="120">
        <v>45346</v>
      </c>
      <c r="B193" s="124">
        <v>1</v>
      </c>
      <c r="C193" s="124">
        <v>0</v>
      </c>
      <c r="D193" s="124">
        <v>0</v>
      </c>
      <c r="E193" s="124">
        <v>0</v>
      </c>
      <c r="F193" s="124">
        <v>0</v>
      </c>
      <c r="G193" s="124">
        <v>0</v>
      </c>
      <c r="H193" s="124">
        <v>1</v>
      </c>
      <c r="I193" s="124">
        <v>0</v>
      </c>
      <c r="J193" s="124">
        <v>1</v>
      </c>
      <c r="K193" s="124">
        <v>0</v>
      </c>
      <c r="L193" s="124">
        <v>0</v>
      </c>
      <c r="M193" s="124">
        <v>0</v>
      </c>
      <c r="N193" s="124">
        <v>0</v>
      </c>
      <c r="O193" s="124">
        <v>0</v>
      </c>
      <c r="P193" s="124">
        <v>0</v>
      </c>
      <c r="Q193" s="124">
        <v>0</v>
      </c>
      <c r="R193" s="124">
        <v>0</v>
      </c>
      <c r="S193" s="124">
        <v>0</v>
      </c>
      <c r="T193" s="124">
        <v>1</v>
      </c>
      <c r="U193" s="124">
        <v>0</v>
      </c>
      <c r="V193" s="124">
        <v>0</v>
      </c>
      <c r="W193" s="123">
        <v>78.8</v>
      </c>
      <c r="X193" s="123">
        <v>0</v>
      </c>
      <c r="Y193" s="123">
        <v>5.75</v>
      </c>
      <c r="Z193" s="122">
        <v>1762</v>
      </c>
      <c r="AA193" s="122">
        <v>289.77713199999999</v>
      </c>
      <c r="AB193" s="122">
        <v>306.43478260869563</v>
      </c>
      <c r="AC193" s="122">
        <v>50.39602295652174</v>
      </c>
    </row>
    <row r="194" spans="1:29" x14ac:dyDescent="0.35">
      <c r="A194" s="120">
        <v>45347</v>
      </c>
      <c r="B194" s="124">
        <v>1</v>
      </c>
      <c r="C194" s="124">
        <v>1</v>
      </c>
      <c r="D194" s="124">
        <v>0</v>
      </c>
      <c r="E194" s="124">
        <v>0</v>
      </c>
      <c r="F194" s="124">
        <v>0</v>
      </c>
      <c r="G194" s="124">
        <v>0</v>
      </c>
      <c r="H194" s="124">
        <v>0</v>
      </c>
      <c r="I194" s="124">
        <v>0</v>
      </c>
      <c r="J194" s="124">
        <v>1</v>
      </c>
      <c r="K194" s="124">
        <v>0</v>
      </c>
      <c r="L194" s="124">
        <v>0</v>
      </c>
      <c r="M194" s="124">
        <v>0</v>
      </c>
      <c r="N194" s="124">
        <v>0</v>
      </c>
      <c r="O194" s="124">
        <v>0</v>
      </c>
      <c r="P194" s="124">
        <v>0</v>
      </c>
      <c r="Q194" s="124">
        <v>0</v>
      </c>
      <c r="R194" s="124">
        <v>0</v>
      </c>
      <c r="S194" s="124">
        <v>0</v>
      </c>
      <c r="T194" s="124">
        <v>1</v>
      </c>
      <c r="U194" s="124">
        <v>0</v>
      </c>
      <c r="V194" s="124">
        <v>0</v>
      </c>
      <c r="W194" s="123">
        <v>77.099999999999994</v>
      </c>
      <c r="X194" s="123">
        <v>0</v>
      </c>
      <c r="Y194" s="123">
        <v>5.2333333333333334</v>
      </c>
      <c r="Z194" s="122">
        <v>1062</v>
      </c>
      <c r="AA194" s="122">
        <v>169.05556000000001</v>
      </c>
      <c r="AB194" s="122">
        <v>202.92993630573247</v>
      </c>
      <c r="AC194" s="122">
        <v>32.303610191082804</v>
      </c>
    </row>
    <row r="195" spans="1:29" x14ac:dyDescent="0.35">
      <c r="A195" s="120">
        <v>45348</v>
      </c>
      <c r="B195" s="124">
        <v>0</v>
      </c>
      <c r="C195" s="124">
        <v>0</v>
      </c>
      <c r="D195" s="124">
        <v>1</v>
      </c>
      <c r="E195" s="124">
        <v>0</v>
      </c>
      <c r="F195" s="124">
        <v>0</v>
      </c>
      <c r="G195" s="124">
        <v>0</v>
      </c>
      <c r="H195" s="124">
        <v>0</v>
      </c>
      <c r="I195" s="124">
        <v>0</v>
      </c>
      <c r="J195" s="124">
        <v>1</v>
      </c>
      <c r="K195" s="124">
        <v>0</v>
      </c>
      <c r="L195" s="124">
        <v>0</v>
      </c>
      <c r="M195" s="124">
        <v>0</v>
      </c>
      <c r="N195" s="124">
        <v>0</v>
      </c>
      <c r="O195" s="124">
        <v>0</v>
      </c>
      <c r="P195" s="124">
        <v>0</v>
      </c>
      <c r="Q195" s="124">
        <v>0</v>
      </c>
      <c r="R195" s="124">
        <v>0</v>
      </c>
      <c r="S195" s="124">
        <v>0</v>
      </c>
      <c r="T195" s="124">
        <v>0</v>
      </c>
      <c r="U195" s="124">
        <v>0</v>
      </c>
      <c r="V195" s="124">
        <v>0</v>
      </c>
      <c r="W195" s="123">
        <v>77.099999999999994</v>
      </c>
      <c r="X195" s="123">
        <v>0</v>
      </c>
      <c r="Y195" s="123">
        <v>3.0166666666666666</v>
      </c>
      <c r="Z195" s="122">
        <v>451.5</v>
      </c>
      <c r="AA195" s="122">
        <v>68.663443999999998</v>
      </c>
      <c r="AB195" s="122">
        <v>149.66850828729281</v>
      </c>
      <c r="AC195" s="122">
        <v>22.761362651933702</v>
      </c>
    </row>
    <row r="196" spans="1:29" x14ac:dyDescent="0.35">
      <c r="A196" s="120">
        <v>45348</v>
      </c>
      <c r="B196" s="124">
        <v>1</v>
      </c>
      <c r="C196" s="124">
        <v>0</v>
      </c>
      <c r="D196" s="124">
        <v>1</v>
      </c>
      <c r="E196" s="124">
        <v>0</v>
      </c>
      <c r="F196" s="124">
        <v>0</v>
      </c>
      <c r="G196" s="124">
        <v>0</v>
      </c>
      <c r="H196" s="124">
        <v>0</v>
      </c>
      <c r="I196" s="124">
        <v>0</v>
      </c>
      <c r="J196" s="124">
        <v>1</v>
      </c>
      <c r="K196" s="124">
        <v>0</v>
      </c>
      <c r="L196" s="124">
        <v>0</v>
      </c>
      <c r="M196" s="124">
        <v>0</v>
      </c>
      <c r="N196" s="124">
        <v>0</v>
      </c>
      <c r="O196" s="124">
        <v>0</v>
      </c>
      <c r="P196" s="124">
        <v>0</v>
      </c>
      <c r="Q196" s="124">
        <v>0</v>
      </c>
      <c r="R196" s="124">
        <v>0</v>
      </c>
      <c r="S196" s="124">
        <v>0</v>
      </c>
      <c r="T196" s="124">
        <v>0</v>
      </c>
      <c r="U196" s="124">
        <v>0</v>
      </c>
      <c r="V196" s="124">
        <v>0</v>
      </c>
      <c r="W196" s="123">
        <v>77.099999999999994</v>
      </c>
      <c r="X196" s="123">
        <v>0</v>
      </c>
      <c r="Y196" s="123">
        <v>5.4333333333333336</v>
      </c>
      <c r="Z196" s="122">
        <v>975</v>
      </c>
      <c r="AA196" s="122">
        <v>181.67976800000002</v>
      </c>
      <c r="AB196" s="122">
        <v>179.4478527607362</v>
      </c>
      <c r="AC196" s="122">
        <v>33.43799411042945</v>
      </c>
    </row>
    <row r="197" spans="1:29" x14ac:dyDescent="0.35">
      <c r="A197" s="120">
        <v>45350</v>
      </c>
      <c r="B197" s="124">
        <v>1</v>
      </c>
      <c r="C197" s="124">
        <v>0</v>
      </c>
      <c r="D197" s="124">
        <v>0</v>
      </c>
      <c r="E197" s="124">
        <v>1</v>
      </c>
      <c r="F197" s="124">
        <v>0</v>
      </c>
      <c r="G197" s="124">
        <v>0</v>
      </c>
      <c r="H197" s="124">
        <v>0</v>
      </c>
      <c r="I197" s="124">
        <v>0</v>
      </c>
      <c r="J197" s="124">
        <v>1</v>
      </c>
      <c r="K197" s="124">
        <v>0</v>
      </c>
      <c r="L197" s="124">
        <v>0</v>
      </c>
      <c r="M197" s="124">
        <v>0</v>
      </c>
      <c r="N197" s="124">
        <v>0</v>
      </c>
      <c r="O197" s="124">
        <v>0</v>
      </c>
      <c r="P197" s="124">
        <v>0</v>
      </c>
      <c r="Q197" s="124">
        <v>0</v>
      </c>
      <c r="R197" s="124">
        <v>0</v>
      </c>
      <c r="S197" s="124">
        <v>0</v>
      </c>
      <c r="T197" s="124">
        <v>0</v>
      </c>
      <c r="U197" s="124">
        <v>1</v>
      </c>
      <c r="V197" s="124">
        <v>0</v>
      </c>
      <c r="W197" s="123">
        <v>71.599999999999994</v>
      </c>
      <c r="X197" s="123">
        <v>0</v>
      </c>
      <c r="Y197" s="123">
        <v>6</v>
      </c>
      <c r="Z197" s="122">
        <v>992</v>
      </c>
      <c r="AA197" s="122">
        <v>165.27627200000001</v>
      </c>
      <c r="AB197" s="122">
        <v>165.33333333333334</v>
      </c>
      <c r="AC197" s="122">
        <v>27.546045333333335</v>
      </c>
    </row>
    <row r="198" spans="1:29" x14ac:dyDescent="0.35">
      <c r="A198" s="120">
        <v>45352</v>
      </c>
      <c r="B198" s="124">
        <v>0</v>
      </c>
      <c r="C198" s="124">
        <v>0</v>
      </c>
      <c r="D198" s="124">
        <v>0</v>
      </c>
      <c r="E198" s="124">
        <v>0</v>
      </c>
      <c r="F198" s="124">
        <v>0</v>
      </c>
      <c r="G198" s="124">
        <v>1</v>
      </c>
      <c r="H198" s="124">
        <v>0</v>
      </c>
      <c r="I198" s="124">
        <v>0</v>
      </c>
      <c r="J198" s="124">
        <v>0</v>
      </c>
      <c r="K198" s="124">
        <v>1</v>
      </c>
      <c r="L198" s="124">
        <v>0</v>
      </c>
      <c r="M198" s="124">
        <v>0</v>
      </c>
      <c r="N198" s="124">
        <v>0</v>
      </c>
      <c r="O198" s="124">
        <v>0</v>
      </c>
      <c r="P198" s="124">
        <v>0</v>
      </c>
      <c r="Q198" s="124">
        <v>0</v>
      </c>
      <c r="R198" s="124">
        <v>0</v>
      </c>
      <c r="S198" s="124">
        <v>0</v>
      </c>
      <c r="T198" s="124">
        <v>0</v>
      </c>
      <c r="U198" s="124">
        <v>1</v>
      </c>
      <c r="V198" s="124">
        <v>0</v>
      </c>
      <c r="W198" s="123">
        <v>71.599999999999994</v>
      </c>
      <c r="X198" s="123">
        <v>0</v>
      </c>
      <c r="Y198" s="123">
        <v>5.25</v>
      </c>
      <c r="Z198" s="122">
        <v>1078</v>
      </c>
      <c r="AA198" s="122">
        <v>121.807196</v>
      </c>
      <c r="AB198" s="122">
        <v>205.33333333333334</v>
      </c>
      <c r="AC198" s="122">
        <v>23.201370666666669</v>
      </c>
    </row>
    <row r="199" spans="1:29" x14ac:dyDescent="0.35">
      <c r="A199" s="120">
        <v>45353</v>
      </c>
      <c r="B199" s="124">
        <v>1</v>
      </c>
      <c r="C199" s="124">
        <v>0</v>
      </c>
      <c r="D199" s="124">
        <v>0</v>
      </c>
      <c r="E199" s="124">
        <v>0</v>
      </c>
      <c r="F199" s="124">
        <v>0</v>
      </c>
      <c r="G199" s="124">
        <v>0</v>
      </c>
      <c r="H199" s="124">
        <v>1</v>
      </c>
      <c r="I199" s="124">
        <v>0</v>
      </c>
      <c r="J199" s="124">
        <v>0</v>
      </c>
      <c r="K199" s="124">
        <v>1</v>
      </c>
      <c r="L199" s="124">
        <v>0</v>
      </c>
      <c r="M199" s="124">
        <v>0</v>
      </c>
      <c r="N199" s="124">
        <v>0</v>
      </c>
      <c r="O199" s="124">
        <v>0</v>
      </c>
      <c r="P199" s="124">
        <v>0</v>
      </c>
      <c r="Q199" s="124">
        <v>0</v>
      </c>
      <c r="R199" s="124">
        <v>0</v>
      </c>
      <c r="S199" s="124">
        <v>0</v>
      </c>
      <c r="T199" s="124">
        <v>1</v>
      </c>
      <c r="U199" s="124">
        <v>1</v>
      </c>
      <c r="V199" s="124">
        <v>0</v>
      </c>
      <c r="W199" s="123">
        <v>71.599999999999994</v>
      </c>
      <c r="X199" s="123">
        <v>0</v>
      </c>
      <c r="Y199" s="123">
        <v>5.5333333333333332</v>
      </c>
      <c r="Z199" s="122">
        <v>1060</v>
      </c>
      <c r="AA199" s="122">
        <v>162.63203999999999</v>
      </c>
      <c r="AB199" s="122">
        <v>191.56626506024097</v>
      </c>
      <c r="AC199" s="122">
        <v>29.391332530120479</v>
      </c>
    </row>
    <row r="200" spans="1:29" x14ac:dyDescent="0.35">
      <c r="A200" s="120">
        <v>45354</v>
      </c>
      <c r="B200" s="124">
        <v>0</v>
      </c>
      <c r="C200" s="124">
        <v>1</v>
      </c>
      <c r="D200" s="124">
        <v>0</v>
      </c>
      <c r="E200" s="124">
        <v>0</v>
      </c>
      <c r="F200" s="124">
        <v>0</v>
      </c>
      <c r="G200" s="124">
        <v>0</v>
      </c>
      <c r="H200" s="124">
        <v>0</v>
      </c>
      <c r="I200" s="124">
        <v>0</v>
      </c>
      <c r="J200" s="124">
        <v>0</v>
      </c>
      <c r="K200" s="124">
        <v>1</v>
      </c>
      <c r="L200" s="124">
        <v>0</v>
      </c>
      <c r="M200" s="124">
        <v>0</v>
      </c>
      <c r="N200" s="124">
        <v>0</v>
      </c>
      <c r="O200" s="124">
        <v>0</v>
      </c>
      <c r="P200" s="124">
        <v>0</v>
      </c>
      <c r="Q200" s="124">
        <v>0</v>
      </c>
      <c r="R200" s="124">
        <v>0</v>
      </c>
      <c r="S200" s="124">
        <v>0</v>
      </c>
      <c r="T200" s="124">
        <v>1</v>
      </c>
      <c r="U200" s="124">
        <v>1</v>
      </c>
      <c r="V200" s="124">
        <v>0</v>
      </c>
      <c r="W200" s="123">
        <v>77</v>
      </c>
      <c r="X200" s="123">
        <v>0</v>
      </c>
      <c r="Y200" s="123">
        <v>4</v>
      </c>
      <c r="Z200" s="122">
        <v>600</v>
      </c>
      <c r="AA200" s="122">
        <v>82.839999999999989</v>
      </c>
      <c r="AB200" s="122">
        <v>150</v>
      </c>
      <c r="AC200" s="122">
        <v>20.709999999999997</v>
      </c>
    </row>
    <row r="201" spans="1:29" x14ac:dyDescent="0.35">
      <c r="A201" s="120">
        <v>45354</v>
      </c>
      <c r="B201" s="124">
        <v>1</v>
      </c>
      <c r="C201" s="124">
        <v>1</v>
      </c>
      <c r="D201" s="124">
        <v>0</v>
      </c>
      <c r="E201" s="124">
        <v>0</v>
      </c>
      <c r="F201" s="124">
        <v>0</v>
      </c>
      <c r="G201" s="124">
        <v>0</v>
      </c>
      <c r="H201" s="124">
        <v>0</v>
      </c>
      <c r="I201" s="124">
        <v>0</v>
      </c>
      <c r="J201" s="124">
        <v>0</v>
      </c>
      <c r="K201" s="124">
        <v>1</v>
      </c>
      <c r="L201" s="124">
        <v>0</v>
      </c>
      <c r="M201" s="124">
        <v>0</v>
      </c>
      <c r="N201" s="124">
        <v>0</v>
      </c>
      <c r="O201" s="124">
        <v>0</v>
      </c>
      <c r="P201" s="124">
        <v>0</v>
      </c>
      <c r="Q201" s="124">
        <v>0</v>
      </c>
      <c r="R201" s="124">
        <v>0</v>
      </c>
      <c r="S201" s="124">
        <v>0</v>
      </c>
      <c r="T201" s="124">
        <v>1</v>
      </c>
      <c r="U201" s="124">
        <v>1</v>
      </c>
      <c r="V201" s="124">
        <v>0</v>
      </c>
      <c r="W201" s="123">
        <v>77</v>
      </c>
      <c r="X201" s="123">
        <v>0</v>
      </c>
      <c r="Y201" s="123">
        <v>5.5666666666666664</v>
      </c>
      <c r="Z201" s="122">
        <v>2022</v>
      </c>
      <c r="AA201" s="122">
        <v>283.06921599999998</v>
      </c>
      <c r="AB201" s="122">
        <v>363.23353293413174</v>
      </c>
      <c r="AC201" s="122">
        <v>50.850757365269459</v>
      </c>
    </row>
    <row r="202" spans="1:29" x14ac:dyDescent="0.35">
      <c r="A202" s="120">
        <v>45355</v>
      </c>
      <c r="B202" s="124">
        <v>0</v>
      </c>
      <c r="C202" s="124">
        <v>0</v>
      </c>
      <c r="D202" s="124">
        <v>1</v>
      </c>
      <c r="E202" s="124">
        <v>0</v>
      </c>
      <c r="F202" s="124">
        <v>0</v>
      </c>
      <c r="G202" s="124">
        <v>0</v>
      </c>
      <c r="H202" s="124">
        <v>0</v>
      </c>
      <c r="I202" s="124">
        <v>0</v>
      </c>
      <c r="J202" s="124">
        <v>0</v>
      </c>
      <c r="K202" s="124">
        <v>1</v>
      </c>
      <c r="L202" s="124">
        <v>0</v>
      </c>
      <c r="M202" s="124">
        <v>0</v>
      </c>
      <c r="N202" s="124">
        <v>0</v>
      </c>
      <c r="O202" s="124">
        <v>0</v>
      </c>
      <c r="P202" s="124">
        <v>0</v>
      </c>
      <c r="Q202" s="124">
        <v>0</v>
      </c>
      <c r="R202" s="124">
        <v>0</v>
      </c>
      <c r="S202" s="124">
        <v>0</v>
      </c>
      <c r="T202" s="124">
        <v>0</v>
      </c>
      <c r="U202" s="124">
        <v>1</v>
      </c>
      <c r="V202" s="124">
        <v>0</v>
      </c>
      <c r="W202" s="123">
        <v>78.900000000000006</v>
      </c>
      <c r="X202" s="123">
        <v>0</v>
      </c>
      <c r="Y202" s="123">
        <v>2.75</v>
      </c>
      <c r="Z202" s="122">
        <v>562</v>
      </c>
      <c r="AA202" s="122">
        <v>89.287804000000008</v>
      </c>
      <c r="AB202" s="122">
        <v>204.36363636363637</v>
      </c>
      <c r="AC202" s="122">
        <v>32.468292363636365</v>
      </c>
    </row>
    <row r="203" spans="1:29" x14ac:dyDescent="0.35">
      <c r="A203" s="120">
        <v>45355</v>
      </c>
      <c r="B203" s="124">
        <v>1</v>
      </c>
      <c r="C203" s="124">
        <v>0</v>
      </c>
      <c r="D203" s="124">
        <v>1</v>
      </c>
      <c r="E203" s="124">
        <v>0</v>
      </c>
      <c r="F203" s="124">
        <v>0</v>
      </c>
      <c r="G203" s="124">
        <v>0</v>
      </c>
      <c r="H203" s="124">
        <v>0</v>
      </c>
      <c r="I203" s="124">
        <v>0</v>
      </c>
      <c r="J203" s="124">
        <v>0</v>
      </c>
      <c r="K203" s="124">
        <v>1</v>
      </c>
      <c r="L203" s="124">
        <v>0</v>
      </c>
      <c r="M203" s="124">
        <v>0</v>
      </c>
      <c r="N203" s="124">
        <v>0</v>
      </c>
      <c r="O203" s="124">
        <v>0</v>
      </c>
      <c r="P203" s="124">
        <v>0</v>
      </c>
      <c r="Q203" s="124">
        <v>0</v>
      </c>
      <c r="R203" s="124">
        <v>0</v>
      </c>
      <c r="S203" s="124">
        <v>0</v>
      </c>
      <c r="T203" s="124">
        <v>0</v>
      </c>
      <c r="U203" s="124">
        <v>1</v>
      </c>
      <c r="V203" s="124">
        <v>0</v>
      </c>
      <c r="W203" s="123">
        <v>78.900000000000006</v>
      </c>
      <c r="X203" s="123">
        <v>0</v>
      </c>
      <c r="Y203" s="123">
        <v>5.4</v>
      </c>
      <c r="Z203" s="122">
        <v>1687</v>
      </c>
      <c r="AA203" s="122">
        <v>311.89962400000002</v>
      </c>
      <c r="AB203" s="122">
        <v>312.40740740740739</v>
      </c>
      <c r="AC203" s="122">
        <v>57.759189629629631</v>
      </c>
    </row>
    <row r="204" spans="1:29" x14ac:dyDescent="0.35">
      <c r="A204" s="120">
        <v>45357</v>
      </c>
      <c r="B204" s="124">
        <v>1</v>
      </c>
      <c r="C204" s="124">
        <v>0</v>
      </c>
      <c r="D204" s="124">
        <v>0</v>
      </c>
      <c r="E204" s="124">
        <v>1</v>
      </c>
      <c r="F204" s="124">
        <v>0</v>
      </c>
      <c r="G204" s="124">
        <v>0</v>
      </c>
      <c r="H204" s="124">
        <v>0</v>
      </c>
      <c r="I204" s="124">
        <v>0</v>
      </c>
      <c r="J204" s="124">
        <v>0</v>
      </c>
      <c r="K204" s="124">
        <v>1</v>
      </c>
      <c r="L204" s="124">
        <v>0</v>
      </c>
      <c r="M204" s="124">
        <v>0</v>
      </c>
      <c r="N204" s="124">
        <v>0</v>
      </c>
      <c r="O204" s="124">
        <v>0</v>
      </c>
      <c r="P204" s="124">
        <v>0</v>
      </c>
      <c r="Q204" s="124">
        <v>0</v>
      </c>
      <c r="R204" s="124">
        <v>0</v>
      </c>
      <c r="S204" s="124">
        <v>0</v>
      </c>
      <c r="T204" s="124">
        <v>0</v>
      </c>
      <c r="U204" s="124">
        <v>1</v>
      </c>
      <c r="V204" s="124">
        <v>0</v>
      </c>
      <c r="W204" s="123">
        <v>78.900000000000006</v>
      </c>
      <c r="X204" s="123">
        <v>0</v>
      </c>
      <c r="Y204" s="123">
        <v>6.5</v>
      </c>
      <c r="Z204" s="122">
        <v>1484</v>
      </c>
      <c r="AA204" s="122">
        <v>248.45899199999999</v>
      </c>
      <c r="AB204" s="122">
        <v>228.30769230769232</v>
      </c>
      <c r="AC204" s="122">
        <v>38.224460307692304</v>
      </c>
    </row>
    <row r="205" spans="1:29" x14ac:dyDescent="0.35">
      <c r="A205" s="120">
        <v>45359</v>
      </c>
      <c r="B205" s="124">
        <v>1</v>
      </c>
      <c r="C205" s="124">
        <v>0</v>
      </c>
      <c r="D205" s="124">
        <v>0</v>
      </c>
      <c r="E205" s="124">
        <v>0</v>
      </c>
      <c r="F205" s="124">
        <v>0</v>
      </c>
      <c r="G205" s="124">
        <v>1</v>
      </c>
      <c r="H205" s="124">
        <v>0</v>
      </c>
      <c r="I205" s="124">
        <v>0</v>
      </c>
      <c r="J205" s="124">
        <v>0</v>
      </c>
      <c r="K205" s="124">
        <v>1</v>
      </c>
      <c r="L205" s="124">
        <v>0</v>
      </c>
      <c r="M205" s="124">
        <v>0</v>
      </c>
      <c r="N205" s="124">
        <v>0</v>
      </c>
      <c r="O205" s="124">
        <v>0</v>
      </c>
      <c r="P205" s="124">
        <v>0</v>
      </c>
      <c r="Q205" s="124">
        <v>0</v>
      </c>
      <c r="R205" s="124">
        <v>0</v>
      </c>
      <c r="S205" s="124">
        <v>0</v>
      </c>
      <c r="T205" s="124">
        <v>1</v>
      </c>
      <c r="U205" s="124">
        <v>1</v>
      </c>
      <c r="V205" s="124">
        <v>0</v>
      </c>
      <c r="W205" s="123">
        <v>80.7</v>
      </c>
      <c r="X205" s="123">
        <v>0.10100000000000001</v>
      </c>
      <c r="Y205" s="123">
        <v>6.8166666666666664</v>
      </c>
      <c r="Z205" s="122">
        <v>1644</v>
      </c>
      <c r="AA205" s="122">
        <v>225.74660400000002</v>
      </c>
      <c r="AB205" s="122">
        <v>241.17359413202934</v>
      </c>
      <c r="AC205" s="122">
        <v>33.116861222493888</v>
      </c>
    </row>
    <row r="206" spans="1:29" x14ac:dyDescent="0.35">
      <c r="A206" s="120">
        <v>45360</v>
      </c>
      <c r="B206" s="124">
        <v>0</v>
      </c>
      <c r="C206" s="124">
        <v>0</v>
      </c>
      <c r="D206" s="124">
        <v>0</v>
      </c>
      <c r="E206" s="124">
        <v>0</v>
      </c>
      <c r="F206" s="124">
        <v>0</v>
      </c>
      <c r="G206" s="124">
        <v>0</v>
      </c>
      <c r="H206" s="124">
        <v>1</v>
      </c>
      <c r="I206" s="124">
        <v>0</v>
      </c>
      <c r="J206" s="124">
        <v>0</v>
      </c>
      <c r="K206" s="124">
        <v>1</v>
      </c>
      <c r="L206" s="124">
        <v>0</v>
      </c>
      <c r="M206" s="124">
        <v>0</v>
      </c>
      <c r="N206" s="124">
        <v>0</v>
      </c>
      <c r="O206" s="124">
        <v>0</v>
      </c>
      <c r="P206" s="124">
        <v>0</v>
      </c>
      <c r="Q206" s="124">
        <v>0</v>
      </c>
      <c r="R206" s="124">
        <v>0</v>
      </c>
      <c r="S206" s="124">
        <v>0</v>
      </c>
      <c r="T206" s="124">
        <v>1</v>
      </c>
      <c r="U206" s="124">
        <v>1</v>
      </c>
      <c r="V206" s="124">
        <v>0</v>
      </c>
      <c r="W206" s="123">
        <v>66.3</v>
      </c>
      <c r="X206" s="123">
        <v>0</v>
      </c>
      <c r="Y206" s="123">
        <v>3.2333333333333334</v>
      </c>
      <c r="Z206" s="122">
        <v>410</v>
      </c>
      <c r="AA206" s="122">
        <v>76.934904000000003</v>
      </c>
      <c r="AB206" s="122">
        <v>126.80412371134021</v>
      </c>
      <c r="AC206" s="122">
        <v>23.794300206185568</v>
      </c>
    </row>
    <row r="207" spans="1:29" x14ac:dyDescent="0.35">
      <c r="A207" s="120">
        <v>45360</v>
      </c>
      <c r="B207" s="124">
        <v>1</v>
      </c>
      <c r="C207" s="124">
        <v>0</v>
      </c>
      <c r="D207" s="124">
        <v>0</v>
      </c>
      <c r="E207" s="124">
        <v>0</v>
      </c>
      <c r="F207" s="124">
        <v>0</v>
      </c>
      <c r="G207" s="124">
        <v>0</v>
      </c>
      <c r="H207" s="124">
        <v>1</v>
      </c>
      <c r="I207" s="124">
        <v>0</v>
      </c>
      <c r="J207" s="124">
        <v>0</v>
      </c>
      <c r="K207" s="124">
        <v>1</v>
      </c>
      <c r="L207" s="124">
        <v>0</v>
      </c>
      <c r="M207" s="124">
        <v>0</v>
      </c>
      <c r="N207" s="124">
        <v>0</v>
      </c>
      <c r="O207" s="124">
        <v>0</v>
      </c>
      <c r="P207" s="124">
        <v>0</v>
      </c>
      <c r="Q207" s="124">
        <v>0</v>
      </c>
      <c r="R207" s="124">
        <v>0</v>
      </c>
      <c r="S207" s="124">
        <v>0</v>
      </c>
      <c r="T207" s="124">
        <v>1</v>
      </c>
      <c r="U207" s="124">
        <v>1</v>
      </c>
      <c r="V207" s="124">
        <v>0</v>
      </c>
      <c r="W207" s="123">
        <v>66.3</v>
      </c>
      <c r="X207" s="123">
        <v>0</v>
      </c>
      <c r="Y207" s="123">
        <v>5.5666666666666664</v>
      </c>
      <c r="Z207" s="122">
        <v>2225.5</v>
      </c>
      <c r="AA207" s="122">
        <v>344.84610399999997</v>
      </c>
      <c r="AB207" s="122">
        <v>399.79041916167665</v>
      </c>
      <c r="AC207" s="122">
        <v>61.948401916167661</v>
      </c>
    </row>
    <row r="208" spans="1:29" x14ac:dyDescent="0.35">
      <c r="A208" s="120">
        <v>45361</v>
      </c>
      <c r="B208" s="124">
        <v>0</v>
      </c>
      <c r="C208" s="124">
        <v>1</v>
      </c>
      <c r="D208" s="124">
        <v>0</v>
      </c>
      <c r="E208" s="124">
        <v>0</v>
      </c>
      <c r="F208" s="124">
        <v>0</v>
      </c>
      <c r="G208" s="124">
        <v>0</v>
      </c>
      <c r="H208" s="124">
        <v>0</v>
      </c>
      <c r="I208" s="124">
        <v>0</v>
      </c>
      <c r="J208" s="124">
        <v>0</v>
      </c>
      <c r="K208" s="124">
        <v>1</v>
      </c>
      <c r="L208" s="124">
        <v>0</v>
      </c>
      <c r="M208" s="124">
        <v>0</v>
      </c>
      <c r="N208" s="124">
        <v>0</v>
      </c>
      <c r="O208" s="124">
        <v>0</v>
      </c>
      <c r="P208" s="124">
        <v>0</v>
      </c>
      <c r="Q208" s="124">
        <v>0</v>
      </c>
      <c r="R208" s="124">
        <v>0</v>
      </c>
      <c r="S208" s="124">
        <v>0</v>
      </c>
      <c r="T208" s="124">
        <v>1</v>
      </c>
      <c r="U208" s="124">
        <v>1</v>
      </c>
      <c r="V208" s="124">
        <v>0</v>
      </c>
      <c r="W208" s="123">
        <v>66.3</v>
      </c>
      <c r="X208" s="123">
        <v>0</v>
      </c>
      <c r="Y208" s="123">
        <v>4.2166666666666668</v>
      </c>
      <c r="Z208" s="122">
        <v>481</v>
      </c>
      <c r="AA208" s="122">
        <v>78.937404000000001</v>
      </c>
      <c r="AB208" s="122">
        <v>114.07114624505928</v>
      </c>
      <c r="AC208" s="122">
        <v>18.720332964426877</v>
      </c>
    </row>
    <row r="209" spans="1:29" x14ac:dyDescent="0.35">
      <c r="A209" s="120">
        <v>45361</v>
      </c>
      <c r="B209" s="124">
        <v>1</v>
      </c>
      <c r="C209" s="124">
        <v>1</v>
      </c>
      <c r="D209" s="124">
        <v>0</v>
      </c>
      <c r="E209" s="124">
        <v>0</v>
      </c>
      <c r="F209" s="124">
        <v>0</v>
      </c>
      <c r="G209" s="124">
        <v>0</v>
      </c>
      <c r="H209" s="124">
        <v>0</v>
      </c>
      <c r="I209" s="124">
        <v>0</v>
      </c>
      <c r="J209" s="124">
        <v>0</v>
      </c>
      <c r="K209" s="124">
        <v>1</v>
      </c>
      <c r="L209" s="124">
        <v>0</v>
      </c>
      <c r="M209" s="124">
        <v>0</v>
      </c>
      <c r="N209" s="124">
        <v>0</v>
      </c>
      <c r="O209" s="124">
        <v>0</v>
      </c>
      <c r="P209" s="124">
        <v>0</v>
      </c>
      <c r="Q209" s="124">
        <v>0</v>
      </c>
      <c r="R209" s="124">
        <v>0</v>
      </c>
      <c r="S209" s="124">
        <v>0</v>
      </c>
      <c r="T209" s="124">
        <v>1</v>
      </c>
      <c r="U209" s="124">
        <v>1</v>
      </c>
      <c r="V209" s="124">
        <v>0</v>
      </c>
      <c r="W209" s="123">
        <v>66.3</v>
      </c>
      <c r="X209" s="123">
        <v>0</v>
      </c>
      <c r="Y209" s="123">
        <v>4.5999999999999996</v>
      </c>
      <c r="Z209" s="122">
        <v>1184</v>
      </c>
      <c r="AA209" s="122">
        <v>172.90884799999998</v>
      </c>
      <c r="AB209" s="122">
        <v>257.39130434782612</v>
      </c>
      <c r="AC209" s="122">
        <v>37.588879999999996</v>
      </c>
    </row>
    <row r="210" spans="1:29" x14ac:dyDescent="0.35">
      <c r="A210" s="120">
        <v>45362</v>
      </c>
      <c r="B210" s="124">
        <v>1</v>
      </c>
      <c r="C210" s="124">
        <v>0</v>
      </c>
      <c r="D210" s="124">
        <v>1</v>
      </c>
      <c r="E210" s="124">
        <v>0</v>
      </c>
      <c r="F210" s="124">
        <v>0</v>
      </c>
      <c r="G210" s="124">
        <v>0</v>
      </c>
      <c r="H210" s="124">
        <v>0</v>
      </c>
      <c r="I210" s="124">
        <v>0</v>
      </c>
      <c r="J210" s="124">
        <v>0</v>
      </c>
      <c r="K210" s="124">
        <v>1</v>
      </c>
      <c r="L210" s="124">
        <v>0</v>
      </c>
      <c r="M210" s="124">
        <v>0</v>
      </c>
      <c r="N210" s="124">
        <v>0</v>
      </c>
      <c r="O210" s="124">
        <v>0</v>
      </c>
      <c r="P210" s="124">
        <v>0</v>
      </c>
      <c r="Q210" s="124">
        <v>0</v>
      </c>
      <c r="R210" s="124">
        <v>0</v>
      </c>
      <c r="S210" s="124">
        <v>0</v>
      </c>
      <c r="T210" s="124">
        <v>0</v>
      </c>
      <c r="U210" s="124">
        <v>1</v>
      </c>
      <c r="V210" s="124">
        <v>0</v>
      </c>
      <c r="W210" s="123">
        <v>69.8</v>
      </c>
      <c r="X210" s="123">
        <v>0</v>
      </c>
      <c r="Y210" s="123">
        <v>6.3833333333333337</v>
      </c>
      <c r="Z210" s="122">
        <v>2178.5</v>
      </c>
      <c r="AA210" s="122">
        <v>347.55293999999998</v>
      </c>
      <c r="AB210" s="122">
        <v>341.2793733681462</v>
      </c>
      <c r="AC210" s="122">
        <v>54.44693577023498</v>
      </c>
    </row>
    <row r="211" spans="1:29" x14ac:dyDescent="0.35">
      <c r="A211" s="120">
        <v>45364</v>
      </c>
      <c r="B211" s="124">
        <v>1</v>
      </c>
      <c r="C211" s="124">
        <v>0</v>
      </c>
      <c r="D211" s="124">
        <v>0</v>
      </c>
      <c r="E211" s="124">
        <v>1</v>
      </c>
      <c r="F211" s="124">
        <v>0</v>
      </c>
      <c r="G211" s="124">
        <v>0</v>
      </c>
      <c r="H211" s="124">
        <v>0</v>
      </c>
      <c r="I211" s="124">
        <v>0</v>
      </c>
      <c r="J211" s="124">
        <v>0</v>
      </c>
      <c r="K211" s="124">
        <v>1</v>
      </c>
      <c r="L211" s="124">
        <v>0</v>
      </c>
      <c r="M211" s="124">
        <v>0</v>
      </c>
      <c r="N211" s="124">
        <v>0</v>
      </c>
      <c r="O211" s="124">
        <v>0</v>
      </c>
      <c r="P211" s="124">
        <v>0</v>
      </c>
      <c r="Q211" s="124">
        <v>0</v>
      </c>
      <c r="R211" s="124">
        <v>0</v>
      </c>
      <c r="S211" s="124">
        <v>0</v>
      </c>
      <c r="T211" s="124">
        <v>0</v>
      </c>
      <c r="U211" s="124">
        <v>1</v>
      </c>
      <c r="V211" s="124">
        <v>0</v>
      </c>
      <c r="W211" s="123">
        <v>77.099999999999994</v>
      </c>
      <c r="X211" s="123">
        <v>1.0999999999999999E-2</v>
      </c>
      <c r="Y211" s="123">
        <v>6.6333333333333337</v>
      </c>
      <c r="Z211" s="122">
        <v>1915</v>
      </c>
      <c r="AA211" s="122">
        <v>326.54312000000004</v>
      </c>
      <c r="AB211" s="122">
        <v>288.6934673366834</v>
      </c>
      <c r="AC211" s="122">
        <v>49.22760603015076</v>
      </c>
    </row>
    <row r="212" spans="1:29" x14ac:dyDescent="0.35">
      <c r="A212" s="120">
        <v>45366</v>
      </c>
      <c r="B212" s="124">
        <v>1</v>
      </c>
      <c r="C212" s="124">
        <v>0</v>
      </c>
      <c r="D212" s="124">
        <v>0</v>
      </c>
      <c r="E212" s="124">
        <v>0</v>
      </c>
      <c r="F212" s="124">
        <v>0</v>
      </c>
      <c r="G212" s="124">
        <v>1</v>
      </c>
      <c r="H212" s="124">
        <v>0</v>
      </c>
      <c r="I212" s="124">
        <v>0</v>
      </c>
      <c r="J212" s="124">
        <v>0</v>
      </c>
      <c r="K212" s="124">
        <v>1</v>
      </c>
      <c r="L212" s="124">
        <v>0</v>
      </c>
      <c r="M212" s="124">
        <v>0</v>
      </c>
      <c r="N212" s="124">
        <v>0</v>
      </c>
      <c r="O212" s="124">
        <v>0</v>
      </c>
      <c r="P212" s="124">
        <v>0</v>
      </c>
      <c r="Q212" s="124">
        <v>0</v>
      </c>
      <c r="R212" s="124">
        <v>0</v>
      </c>
      <c r="S212" s="124">
        <v>0</v>
      </c>
      <c r="T212" s="124">
        <v>1</v>
      </c>
      <c r="U212" s="124">
        <v>1</v>
      </c>
      <c r="V212" s="124">
        <v>0</v>
      </c>
      <c r="W212" s="123">
        <v>82.4</v>
      </c>
      <c r="X212" s="123">
        <v>1.532</v>
      </c>
      <c r="Y212" s="123">
        <v>8.2166666666666668</v>
      </c>
      <c r="Z212" s="122">
        <v>1924.5</v>
      </c>
      <c r="AA212" s="122">
        <v>298.03705200000002</v>
      </c>
      <c r="AB212" s="122">
        <v>234.21906693711966</v>
      </c>
      <c r="AC212" s="122">
        <v>36.27225784989858</v>
      </c>
    </row>
    <row r="213" spans="1:29" x14ac:dyDescent="0.35">
      <c r="A213" s="120">
        <v>45367</v>
      </c>
      <c r="B213" s="124">
        <v>0</v>
      </c>
      <c r="C213" s="124">
        <v>0</v>
      </c>
      <c r="D213" s="124">
        <v>0</v>
      </c>
      <c r="E213" s="124">
        <v>0</v>
      </c>
      <c r="F213" s="124">
        <v>0</v>
      </c>
      <c r="G213" s="124">
        <v>0</v>
      </c>
      <c r="H213" s="124">
        <v>1</v>
      </c>
      <c r="I213" s="124">
        <v>0</v>
      </c>
      <c r="J213" s="124">
        <v>0</v>
      </c>
      <c r="K213" s="124">
        <v>1</v>
      </c>
      <c r="L213" s="124">
        <v>0</v>
      </c>
      <c r="M213" s="124">
        <v>0</v>
      </c>
      <c r="N213" s="124">
        <v>0</v>
      </c>
      <c r="O213" s="124">
        <v>0</v>
      </c>
      <c r="P213" s="124">
        <v>0</v>
      </c>
      <c r="Q213" s="124">
        <v>0</v>
      </c>
      <c r="R213" s="124">
        <v>0</v>
      </c>
      <c r="S213" s="124">
        <v>0</v>
      </c>
      <c r="T213" s="124">
        <v>1</v>
      </c>
      <c r="U213" s="124">
        <v>1</v>
      </c>
      <c r="V213" s="124">
        <v>0</v>
      </c>
      <c r="W213" s="123">
        <v>69.900000000000006</v>
      </c>
      <c r="X213" s="123">
        <v>4.2999999999999997E-2</v>
      </c>
      <c r="Y213" s="123">
        <v>4.1500000000000004</v>
      </c>
      <c r="Z213" s="122">
        <v>567</v>
      </c>
      <c r="AA213" s="122">
        <v>95.098060000000004</v>
      </c>
      <c r="AB213" s="122">
        <v>136.62650602409639</v>
      </c>
      <c r="AC213" s="122">
        <v>22.91519518072289</v>
      </c>
    </row>
    <row r="214" spans="1:29" x14ac:dyDescent="0.35">
      <c r="A214" s="120">
        <v>45367</v>
      </c>
      <c r="B214" s="124">
        <v>1</v>
      </c>
      <c r="C214" s="124">
        <v>0</v>
      </c>
      <c r="D214" s="124">
        <v>0</v>
      </c>
      <c r="E214" s="124">
        <v>0</v>
      </c>
      <c r="F214" s="124">
        <v>0</v>
      </c>
      <c r="G214" s="124">
        <v>0</v>
      </c>
      <c r="H214" s="124">
        <v>1</v>
      </c>
      <c r="I214" s="124">
        <v>0</v>
      </c>
      <c r="J214" s="124">
        <v>0</v>
      </c>
      <c r="K214" s="124">
        <v>1</v>
      </c>
      <c r="L214" s="124">
        <v>0</v>
      </c>
      <c r="M214" s="124">
        <v>0</v>
      </c>
      <c r="N214" s="124">
        <v>0</v>
      </c>
      <c r="O214" s="124">
        <v>0</v>
      </c>
      <c r="P214" s="124">
        <v>0</v>
      </c>
      <c r="Q214" s="124">
        <v>0</v>
      </c>
      <c r="R214" s="124">
        <v>0</v>
      </c>
      <c r="S214" s="124">
        <v>0</v>
      </c>
      <c r="T214" s="124">
        <v>1</v>
      </c>
      <c r="U214" s="124">
        <v>1</v>
      </c>
      <c r="V214" s="124">
        <v>0</v>
      </c>
      <c r="W214" s="123">
        <v>69.900000000000006</v>
      </c>
      <c r="X214" s="123">
        <v>4.2999999999999997E-2</v>
      </c>
      <c r="Y214" s="123">
        <v>4.2</v>
      </c>
      <c r="Z214" s="122">
        <v>1429</v>
      </c>
      <c r="AA214" s="122">
        <v>219.94739200000001</v>
      </c>
      <c r="AB214" s="122">
        <v>340.23809523809524</v>
      </c>
      <c r="AC214" s="122">
        <v>52.368426666666664</v>
      </c>
    </row>
    <row r="215" spans="1:29" x14ac:dyDescent="0.35">
      <c r="A215" s="120">
        <v>45368</v>
      </c>
      <c r="B215" s="124">
        <v>0</v>
      </c>
      <c r="C215" s="124">
        <v>1</v>
      </c>
      <c r="D215" s="124">
        <v>0</v>
      </c>
      <c r="E215" s="124">
        <v>0</v>
      </c>
      <c r="F215" s="124">
        <v>0</v>
      </c>
      <c r="G215" s="124">
        <v>0</v>
      </c>
      <c r="H215" s="124">
        <v>0</v>
      </c>
      <c r="I215" s="124">
        <v>0</v>
      </c>
      <c r="J215" s="124">
        <v>0</v>
      </c>
      <c r="K215" s="124">
        <v>1</v>
      </c>
      <c r="L215" s="124">
        <v>0</v>
      </c>
      <c r="M215" s="124">
        <v>0</v>
      </c>
      <c r="N215" s="124">
        <v>0</v>
      </c>
      <c r="O215" s="124">
        <v>0</v>
      </c>
      <c r="P215" s="124">
        <v>0</v>
      </c>
      <c r="Q215" s="124">
        <v>0</v>
      </c>
      <c r="R215" s="124">
        <v>0</v>
      </c>
      <c r="S215" s="124">
        <v>0</v>
      </c>
      <c r="T215" s="124">
        <v>1</v>
      </c>
      <c r="U215" s="124">
        <v>1</v>
      </c>
      <c r="V215" s="124">
        <v>0</v>
      </c>
      <c r="W215" s="123">
        <v>75.099999999999994</v>
      </c>
      <c r="X215" s="123">
        <v>0.55600000000000005</v>
      </c>
      <c r="Y215" s="123">
        <v>4.7</v>
      </c>
      <c r="Z215" s="122">
        <v>357.5</v>
      </c>
      <c r="AA215" s="122">
        <v>66.363367999999994</v>
      </c>
      <c r="AB215" s="122">
        <v>76.063829787234042</v>
      </c>
      <c r="AC215" s="122">
        <v>14.119865531914892</v>
      </c>
    </row>
    <row r="216" spans="1:29" x14ac:dyDescent="0.35">
      <c r="A216" s="120">
        <v>45369</v>
      </c>
      <c r="B216" s="124">
        <v>0</v>
      </c>
      <c r="C216" s="124">
        <v>0</v>
      </c>
      <c r="D216" s="124">
        <v>1</v>
      </c>
      <c r="E216" s="124">
        <v>0</v>
      </c>
      <c r="F216" s="124">
        <v>0</v>
      </c>
      <c r="G216" s="124">
        <v>0</v>
      </c>
      <c r="H216" s="124">
        <v>0</v>
      </c>
      <c r="I216" s="124">
        <v>0</v>
      </c>
      <c r="J216" s="124">
        <v>0</v>
      </c>
      <c r="K216" s="124">
        <v>1</v>
      </c>
      <c r="L216" s="124">
        <v>0</v>
      </c>
      <c r="M216" s="124">
        <v>0</v>
      </c>
      <c r="N216" s="124">
        <v>0</v>
      </c>
      <c r="O216" s="124">
        <v>0</v>
      </c>
      <c r="P216" s="124">
        <v>0</v>
      </c>
      <c r="Q216" s="124">
        <v>0</v>
      </c>
      <c r="R216" s="124">
        <v>0</v>
      </c>
      <c r="S216" s="124">
        <v>0</v>
      </c>
      <c r="T216" s="124">
        <v>0</v>
      </c>
      <c r="U216" s="124">
        <v>0</v>
      </c>
      <c r="V216" s="124">
        <v>0</v>
      </c>
      <c r="W216" s="123">
        <v>68.099999999999994</v>
      </c>
      <c r="X216" s="123">
        <v>0</v>
      </c>
      <c r="Y216" s="123">
        <v>3.45</v>
      </c>
      <c r="Z216" s="122">
        <v>578.58000000000004</v>
      </c>
      <c r="AA216" s="122">
        <v>90.931659999999994</v>
      </c>
      <c r="AB216" s="122">
        <v>167.70434782608697</v>
      </c>
      <c r="AC216" s="122">
        <v>26.357002898550721</v>
      </c>
    </row>
    <row r="217" spans="1:29" x14ac:dyDescent="0.35">
      <c r="A217" s="120">
        <v>45369</v>
      </c>
      <c r="B217" s="124">
        <v>1</v>
      </c>
      <c r="C217" s="124">
        <v>0</v>
      </c>
      <c r="D217" s="124">
        <v>1</v>
      </c>
      <c r="E217" s="124">
        <v>0</v>
      </c>
      <c r="F217" s="124">
        <v>0</v>
      </c>
      <c r="G217" s="124">
        <v>0</v>
      </c>
      <c r="H217" s="124">
        <v>0</v>
      </c>
      <c r="I217" s="124">
        <v>0</v>
      </c>
      <c r="J217" s="124">
        <v>0</v>
      </c>
      <c r="K217" s="124">
        <v>1</v>
      </c>
      <c r="L217" s="124">
        <v>0</v>
      </c>
      <c r="M217" s="124">
        <v>0</v>
      </c>
      <c r="N217" s="124">
        <v>0</v>
      </c>
      <c r="O217" s="124">
        <v>0</v>
      </c>
      <c r="P217" s="124">
        <v>0</v>
      </c>
      <c r="Q217" s="124">
        <v>0</v>
      </c>
      <c r="R217" s="124">
        <v>0</v>
      </c>
      <c r="S217" s="124">
        <v>0</v>
      </c>
      <c r="T217" s="124">
        <v>0</v>
      </c>
      <c r="U217" s="124">
        <v>0</v>
      </c>
      <c r="V217" s="124">
        <v>0</v>
      </c>
      <c r="W217" s="123">
        <v>68.099999999999994</v>
      </c>
      <c r="X217" s="123">
        <v>0</v>
      </c>
      <c r="Y217" s="123">
        <v>4.5166666666666666</v>
      </c>
      <c r="Z217" s="122">
        <v>1089</v>
      </c>
      <c r="AA217" s="122">
        <v>173.95813999999999</v>
      </c>
      <c r="AB217" s="122">
        <v>241.1070110701107</v>
      </c>
      <c r="AC217" s="122">
        <v>38.51471734317343</v>
      </c>
    </row>
    <row r="218" spans="1:29" x14ac:dyDescent="0.35">
      <c r="A218" s="120">
        <v>45371</v>
      </c>
      <c r="B218" s="124">
        <v>1</v>
      </c>
      <c r="C218" s="124">
        <v>0</v>
      </c>
      <c r="D218" s="124">
        <v>0</v>
      </c>
      <c r="E218" s="124">
        <v>1</v>
      </c>
      <c r="F218" s="124">
        <v>0</v>
      </c>
      <c r="G218" s="124">
        <v>0</v>
      </c>
      <c r="H218" s="124">
        <v>0</v>
      </c>
      <c r="I218" s="124">
        <v>0</v>
      </c>
      <c r="J218" s="124">
        <v>0</v>
      </c>
      <c r="K218" s="124">
        <v>1</v>
      </c>
      <c r="L218" s="124">
        <v>0</v>
      </c>
      <c r="M218" s="124">
        <v>0</v>
      </c>
      <c r="N218" s="124">
        <v>0</v>
      </c>
      <c r="O218" s="124">
        <v>0</v>
      </c>
      <c r="P218" s="124">
        <v>0</v>
      </c>
      <c r="Q218" s="124">
        <v>0</v>
      </c>
      <c r="R218" s="124">
        <v>0</v>
      </c>
      <c r="S218" s="124">
        <v>0</v>
      </c>
      <c r="T218" s="124">
        <v>0</v>
      </c>
      <c r="U218" s="124">
        <v>0</v>
      </c>
      <c r="V218" s="124">
        <v>0</v>
      </c>
      <c r="W218" s="123">
        <v>68.400000000000006</v>
      </c>
      <c r="X218" s="123">
        <v>1.2999999999999999E-2</v>
      </c>
      <c r="Y218" s="123">
        <v>4.2333333333333334</v>
      </c>
      <c r="Z218" s="122">
        <v>365</v>
      </c>
      <c r="AA218" s="122">
        <v>53.015720000000002</v>
      </c>
      <c r="AB218" s="122">
        <v>86.220472440944874</v>
      </c>
      <c r="AC218" s="122">
        <v>12.52339842519685</v>
      </c>
    </row>
    <row r="219" spans="1:29" x14ac:dyDescent="0.35">
      <c r="A219" s="120">
        <v>45374</v>
      </c>
      <c r="B219" s="124">
        <v>1</v>
      </c>
      <c r="C219" s="124">
        <v>0</v>
      </c>
      <c r="D219" s="124">
        <v>0</v>
      </c>
      <c r="E219" s="124">
        <v>0</v>
      </c>
      <c r="F219" s="124">
        <v>0</v>
      </c>
      <c r="G219" s="124">
        <v>0</v>
      </c>
      <c r="H219" s="124">
        <v>1</v>
      </c>
      <c r="I219" s="124">
        <v>0</v>
      </c>
      <c r="J219" s="124">
        <v>0</v>
      </c>
      <c r="K219" s="124">
        <v>1</v>
      </c>
      <c r="L219" s="124">
        <v>0</v>
      </c>
      <c r="M219" s="124">
        <v>0</v>
      </c>
      <c r="N219" s="124">
        <v>0</v>
      </c>
      <c r="O219" s="124">
        <v>0</v>
      </c>
      <c r="P219" s="124">
        <v>0</v>
      </c>
      <c r="Q219" s="124">
        <v>0</v>
      </c>
      <c r="R219" s="124">
        <v>0</v>
      </c>
      <c r="S219" s="124">
        <v>0</v>
      </c>
      <c r="T219" s="124">
        <v>1</v>
      </c>
      <c r="U219" s="124">
        <v>0</v>
      </c>
      <c r="V219" s="124">
        <v>0</v>
      </c>
      <c r="W219" s="123">
        <v>77</v>
      </c>
      <c r="X219" s="123">
        <v>0</v>
      </c>
      <c r="Y219" s="123">
        <v>6.75</v>
      </c>
      <c r="Z219" s="122">
        <v>1565.5</v>
      </c>
      <c r="AA219" s="122">
        <v>230.48858799999996</v>
      </c>
      <c r="AB219" s="122">
        <v>231.92592592592592</v>
      </c>
      <c r="AC219" s="122">
        <v>34.146457481481477</v>
      </c>
    </row>
    <row r="220" spans="1:29" x14ac:dyDescent="0.35">
      <c r="A220" s="120">
        <v>45375</v>
      </c>
      <c r="B220" s="124">
        <v>0</v>
      </c>
      <c r="C220" s="124">
        <v>1</v>
      </c>
      <c r="D220" s="124">
        <v>0</v>
      </c>
      <c r="E220" s="124">
        <v>0</v>
      </c>
      <c r="F220" s="124">
        <v>0</v>
      </c>
      <c r="G220" s="124">
        <v>0</v>
      </c>
      <c r="H220" s="124">
        <v>0</v>
      </c>
      <c r="I220" s="124">
        <v>0</v>
      </c>
      <c r="J220" s="124">
        <v>0</v>
      </c>
      <c r="K220" s="124">
        <v>1</v>
      </c>
      <c r="L220" s="124">
        <v>0</v>
      </c>
      <c r="M220" s="124">
        <v>0</v>
      </c>
      <c r="N220" s="124">
        <v>0</v>
      </c>
      <c r="O220" s="124">
        <v>0</v>
      </c>
      <c r="P220" s="124">
        <v>0</v>
      </c>
      <c r="Q220" s="124">
        <v>0</v>
      </c>
      <c r="R220" s="124">
        <v>0</v>
      </c>
      <c r="S220" s="124">
        <v>0</v>
      </c>
      <c r="T220" s="124">
        <v>1</v>
      </c>
      <c r="U220" s="124">
        <v>0</v>
      </c>
      <c r="V220" s="124">
        <v>0</v>
      </c>
      <c r="W220" s="123">
        <v>69.900000000000006</v>
      </c>
      <c r="X220" s="123">
        <v>0</v>
      </c>
      <c r="Y220" s="123">
        <v>5</v>
      </c>
      <c r="Z220" s="122">
        <v>913</v>
      </c>
      <c r="AA220" s="122">
        <v>155.60628</v>
      </c>
      <c r="AB220" s="122">
        <v>182.6</v>
      </c>
      <c r="AC220" s="122">
        <v>31.121255999999999</v>
      </c>
    </row>
    <row r="221" spans="1:29" x14ac:dyDescent="0.35">
      <c r="A221" s="120">
        <v>45376</v>
      </c>
      <c r="B221" s="124">
        <v>0</v>
      </c>
      <c r="C221" s="124">
        <v>0</v>
      </c>
      <c r="D221" s="124">
        <v>1</v>
      </c>
      <c r="E221" s="124">
        <v>0</v>
      </c>
      <c r="F221" s="124">
        <v>0</v>
      </c>
      <c r="G221" s="124">
        <v>0</v>
      </c>
      <c r="H221" s="124">
        <v>0</v>
      </c>
      <c r="I221" s="124">
        <v>0</v>
      </c>
      <c r="J221" s="124">
        <v>0</v>
      </c>
      <c r="K221" s="124">
        <v>1</v>
      </c>
      <c r="L221" s="124">
        <v>0</v>
      </c>
      <c r="M221" s="124">
        <v>0</v>
      </c>
      <c r="N221" s="124">
        <v>0</v>
      </c>
      <c r="O221" s="124">
        <v>0</v>
      </c>
      <c r="P221" s="124">
        <v>0</v>
      </c>
      <c r="Q221" s="124">
        <v>0</v>
      </c>
      <c r="R221" s="124">
        <v>0</v>
      </c>
      <c r="S221" s="124">
        <v>0</v>
      </c>
      <c r="T221" s="124">
        <v>0</v>
      </c>
      <c r="U221" s="124">
        <v>0</v>
      </c>
      <c r="V221" s="124">
        <v>0</v>
      </c>
      <c r="W221" s="123">
        <v>75.3</v>
      </c>
      <c r="X221" s="123">
        <v>7.8E-2</v>
      </c>
      <c r="Y221" s="123">
        <v>3.4166666666666665</v>
      </c>
      <c r="Z221" s="122">
        <v>341.5</v>
      </c>
      <c r="AA221" s="122">
        <v>55.795068000000001</v>
      </c>
      <c r="AB221" s="122">
        <v>99.951219512195124</v>
      </c>
      <c r="AC221" s="122">
        <v>16.330263804878051</v>
      </c>
    </row>
    <row r="222" spans="1:29" x14ac:dyDescent="0.35">
      <c r="A222" s="120">
        <v>45376</v>
      </c>
      <c r="B222" s="124">
        <v>1</v>
      </c>
      <c r="C222" s="124">
        <v>0</v>
      </c>
      <c r="D222" s="124">
        <v>1</v>
      </c>
      <c r="E222" s="124">
        <v>0</v>
      </c>
      <c r="F222" s="124">
        <v>0</v>
      </c>
      <c r="G222" s="124">
        <v>0</v>
      </c>
      <c r="H222" s="124">
        <v>0</v>
      </c>
      <c r="I222" s="124">
        <v>0</v>
      </c>
      <c r="J222" s="124">
        <v>0</v>
      </c>
      <c r="K222" s="124">
        <v>1</v>
      </c>
      <c r="L222" s="124">
        <v>0</v>
      </c>
      <c r="M222" s="124">
        <v>0</v>
      </c>
      <c r="N222" s="124">
        <v>0</v>
      </c>
      <c r="O222" s="124">
        <v>0</v>
      </c>
      <c r="P222" s="124">
        <v>0</v>
      </c>
      <c r="Q222" s="124">
        <v>0</v>
      </c>
      <c r="R222" s="124">
        <v>0</v>
      </c>
      <c r="S222" s="124">
        <v>0</v>
      </c>
      <c r="T222" s="124">
        <v>0</v>
      </c>
      <c r="U222" s="124">
        <v>0</v>
      </c>
      <c r="V222" s="124">
        <v>0</v>
      </c>
      <c r="W222" s="123">
        <v>75.3</v>
      </c>
      <c r="X222" s="123">
        <v>7.8E-2</v>
      </c>
      <c r="Y222" s="123">
        <v>5.95</v>
      </c>
      <c r="Z222" s="122">
        <v>1253.5</v>
      </c>
      <c r="AA222" s="122">
        <v>212.710452</v>
      </c>
      <c r="AB222" s="122">
        <v>210.67226890756302</v>
      </c>
      <c r="AC222" s="122">
        <v>35.749655798319324</v>
      </c>
    </row>
    <row r="223" spans="1:29" x14ac:dyDescent="0.35">
      <c r="A223" s="120">
        <v>45380</v>
      </c>
      <c r="B223" s="124">
        <v>1</v>
      </c>
      <c r="C223" s="124">
        <v>0</v>
      </c>
      <c r="D223" s="124">
        <v>0</v>
      </c>
      <c r="E223" s="124">
        <v>0</v>
      </c>
      <c r="F223" s="124">
        <v>0</v>
      </c>
      <c r="G223" s="124">
        <v>1</v>
      </c>
      <c r="H223" s="124">
        <v>0</v>
      </c>
      <c r="I223" s="124">
        <v>0</v>
      </c>
      <c r="J223" s="124">
        <v>0</v>
      </c>
      <c r="K223" s="124">
        <v>1</v>
      </c>
      <c r="L223" s="124">
        <v>0</v>
      </c>
      <c r="M223" s="124">
        <v>0</v>
      </c>
      <c r="N223" s="124">
        <v>0</v>
      </c>
      <c r="O223" s="124">
        <v>0</v>
      </c>
      <c r="P223" s="124">
        <v>0</v>
      </c>
      <c r="Q223" s="124">
        <v>0</v>
      </c>
      <c r="R223" s="124">
        <v>0</v>
      </c>
      <c r="S223" s="124">
        <v>0</v>
      </c>
      <c r="T223" s="124">
        <v>1</v>
      </c>
      <c r="U223" s="124">
        <v>0</v>
      </c>
      <c r="V223" s="124">
        <v>1</v>
      </c>
      <c r="W223" s="123">
        <v>73.599999999999994</v>
      </c>
      <c r="X223" s="123">
        <v>0</v>
      </c>
      <c r="Y223" s="123">
        <v>7.8166666666666664</v>
      </c>
      <c r="Z223" s="122">
        <v>2191.5</v>
      </c>
      <c r="AA223" s="122">
        <v>345.4649</v>
      </c>
      <c r="AB223" s="122">
        <v>280.36247334754796</v>
      </c>
      <c r="AC223" s="122">
        <v>44.195936034115142</v>
      </c>
    </row>
    <row r="224" spans="1:29" x14ac:dyDescent="0.35">
      <c r="A224" s="120">
        <v>45381</v>
      </c>
      <c r="B224" s="124">
        <v>1</v>
      </c>
      <c r="C224" s="124">
        <v>0</v>
      </c>
      <c r="D224" s="124">
        <v>0</v>
      </c>
      <c r="E224" s="124">
        <v>0</v>
      </c>
      <c r="F224" s="124">
        <v>0</v>
      </c>
      <c r="G224" s="124">
        <v>0</v>
      </c>
      <c r="H224" s="124">
        <v>1</v>
      </c>
      <c r="I224" s="124">
        <v>0</v>
      </c>
      <c r="J224" s="124">
        <v>0</v>
      </c>
      <c r="K224" s="124">
        <v>1</v>
      </c>
      <c r="L224" s="124">
        <v>0</v>
      </c>
      <c r="M224" s="124">
        <v>0</v>
      </c>
      <c r="N224" s="124">
        <v>0</v>
      </c>
      <c r="O224" s="124">
        <v>0</v>
      </c>
      <c r="P224" s="124">
        <v>0</v>
      </c>
      <c r="Q224" s="124">
        <v>0</v>
      </c>
      <c r="R224" s="124">
        <v>0</v>
      </c>
      <c r="S224" s="124">
        <v>0</v>
      </c>
      <c r="T224" s="124">
        <v>1</v>
      </c>
      <c r="U224" s="124">
        <v>0</v>
      </c>
      <c r="V224" s="124">
        <v>1</v>
      </c>
      <c r="W224" s="123">
        <v>75.3</v>
      </c>
      <c r="X224" s="123">
        <v>0</v>
      </c>
      <c r="Y224" s="123">
        <v>5.1333333333333337</v>
      </c>
      <c r="Z224" s="122">
        <v>953.5</v>
      </c>
      <c r="AA224" s="122">
        <v>155.63970399999999</v>
      </c>
      <c r="AB224" s="122">
        <v>185.74675324675323</v>
      </c>
      <c r="AC224" s="122">
        <v>30.319422857142854</v>
      </c>
    </row>
    <row r="225" spans="1:29" x14ac:dyDescent="0.35">
      <c r="A225" s="120">
        <v>45382</v>
      </c>
      <c r="B225" s="124">
        <v>0</v>
      </c>
      <c r="C225" s="124">
        <v>1</v>
      </c>
      <c r="D225" s="124">
        <v>0</v>
      </c>
      <c r="E225" s="124">
        <v>0</v>
      </c>
      <c r="F225" s="124">
        <v>0</v>
      </c>
      <c r="G225" s="124">
        <v>0</v>
      </c>
      <c r="H225" s="124">
        <v>0</v>
      </c>
      <c r="I225" s="124">
        <v>0</v>
      </c>
      <c r="J225" s="124">
        <v>0</v>
      </c>
      <c r="K225" s="124">
        <v>1</v>
      </c>
      <c r="L225" s="124">
        <v>0</v>
      </c>
      <c r="M225" s="124">
        <v>0</v>
      </c>
      <c r="N225" s="124">
        <v>0</v>
      </c>
      <c r="O225" s="124">
        <v>0</v>
      </c>
      <c r="P225" s="124">
        <v>0</v>
      </c>
      <c r="Q225" s="124">
        <v>0</v>
      </c>
      <c r="R225" s="124">
        <v>0</v>
      </c>
      <c r="S225" s="124">
        <v>0</v>
      </c>
      <c r="T225" s="124">
        <v>1</v>
      </c>
      <c r="U225" s="124">
        <v>0</v>
      </c>
      <c r="V225" s="124">
        <v>1</v>
      </c>
      <c r="W225" s="123">
        <v>78.900000000000006</v>
      </c>
      <c r="X225" s="123">
        <v>0</v>
      </c>
      <c r="Y225" s="123">
        <v>3.95</v>
      </c>
      <c r="Z225" s="122">
        <v>815.5</v>
      </c>
      <c r="AA225" s="122">
        <v>103.476812</v>
      </c>
      <c r="AB225" s="122">
        <v>206.45569620253164</v>
      </c>
      <c r="AC225" s="122">
        <v>26.196661265822783</v>
      </c>
    </row>
    <row r="226" spans="1:29" x14ac:dyDescent="0.35">
      <c r="A226" s="120">
        <v>45382</v>
      </c>
      <c r="B226" s="124">
        <v>1</v>
      </c>
      <c r="C226" s="124">
        <v>1</v>
      </c>
      <c r="D226" s="124">
        <v>0</v>
      </c>
      <c r="E226" s="124">
        <v>0</v>
      </c>
      <c r="F226" s="124">
        <v>0</v>
      </c>
      <c r="G226" s="124">
        <v>0</v>
      </c>
      <c r="H226" s="124">
        <v>0</v>
      </c>
      <c r="I226" s="124">
        <v>0</v>
      </c>
      <c r="J226" s="124">
        <v>0</v>
      </c>
      <c r="K226" s="124">
        <v>1</v>
      </c>
      <c r="L226" s="124">
        <v>0</v>
      </c>
      <c r="M226" s="124">
        <v>0</v>
      </c>
      <c r="N226" s="124">
        <v>0</v>
      </c>
      <c r="O226" s="124">
        <v>0</v>
      </c>
      <c r="P226" s="124">
        <v>0</v>
      </c>
      <c r="Q226" s="124">
        <v>0</v>
      </c>
      <c r="R226" s="124">
        <v>0</v>
      </c>
      <c r="S226" s="124">
        <v>0</v>
      </c>
      <c r="T226" s="124">
        <v>1</v>
      </c>
      <c r="U226" s="124">
        <v>0</v>
      </c>
      <c r="V226" s="124">
        <v>1</v>
      </c>
      <c r="W226" s="123">
        <v>78.900000000000006</v>
      </c>
      <c r="X226" s="123">
        <v>0</v>
      </c>
      <c r="Y226" s="123">
        <v>5.0333333333333332</v>
      </c>
      <c r="Z226" s="122">
        <v>1087</v>
      </c>
      <c r="AA226" s="122">
        <v>166.80110400000001</v>
      </c>
      <c r="AB226" s="122">
        <v>215.96026490066225</v>
      </c>
      <c r="AC226" s="122">
        <v>33.139292185430463</v>
      </c>
    </row>
    <row r="227" spans="1:29" x14ac:dyDescent="0.35">
      <c r="A227" s="120">
        <v>45383</v>
      </c>
      <c r="B227" s="124">
        <v>0</v>
      </c>
      <c r="C227" s="124">
        <v>0</v>
      </c>
      <c r="D227" s="124">
        <v>1</v>
      </c>
      <c r="E227" s="124">
        <v>0</v>
      </c>
      <c r="F227" s="124">
        <v>0</v>
      </c>
      <c r="G227" s="124">
        <v>0</v>
      </c>
      <c r="H227" s="124">
        <v>0</v>
      </c>
      <c r="I227" s="124">
        <v>0</v>
      </c>
      <c r="J227" s="124">
        <v>0</v>
      </c>
      <c r="K227" s="124">
        <v>0</v>
      </c>
      <c r="L227" s="124">
        <v>1</v>
      </c>
      <c r="M227" s="124">
        <v>0</v>
      </c>
      <c r="N227" s="124">
        <v>0</v>
      </c>
      <c r="O227" s="124">
        <v>0</v>
      </c>
      <c r="P227" s="124">
        <v>0</v>
      </c>
      <c r="Q227" s="124">
        <v>0</v>
      </c>
      <c r="R227" s="124">
        <v>0</v>
      </c>
      <c r="S227" s="124">
        <v>0</v>
      </c>
      <c r="T227" s="124">
        <v>0</v>
      </c>
      <c r="U227" s="124">
        <v>0</v>
      </c>
      <c r="V227" s="124">
        <v>1</v>
      </c>
      <c r="W227" s="123">
        <v>78.900000000000006</v>
      </c>
      <c r="X227" s="123">
        <v>0</v>
      </c>
      <c r="Y227" s="123">
        <v>4.1166666666666663</v>
      </c>
      <c r="Z227" s="122">
        <v>770.5</v>
      </c>
      <c r="AA227" s="122">
        <v>147.19654799999998</v>
      </c>
      <c r="AB227" s="122">
        <v>187.16599190283404</v>
      </c>
      <c r="AC227" s="122">
        <v>35.756246477732795</v>
      </c>
    </row>
    <row r="228" spans="1:29" x14ac:dyDescent="0.35">
      <c r="A228" s="120">
        <v>45383</v>
      </c>
      <c r="B228" s="124">
        <v>1</v>
      </c>
      <c r="C228" s="124">
        <v>0</v>
      </c>
      <c r="D228" s="124">
        <v>1</v>
      </c>
      <c r="E228" s="124">
        <v>0</v>
      </c>
      <c r="F228" s="124">
        <v>0</v>
      </c>
      <c r="G228" s="124">
        <v>0</v>
      </c>
      <c r="H228" s="124">
        <v>0</v>
      </c>
      <c r="I228" s="124">
        <v>0</v>
      </c>
      <c r="J228" s="124">
        <v>0</v>
      </c>
      <c r="K228" s="124">
        <v>0</v>
      </c>
      <c r="L228" s="124">
        <v>1</v>
      </c>
      <c r="M228" s="124">
        <v>0</v>
      </c>
      <c r="N228" s="124">
        <v>0</v>
      </c>
      <c r="O228" s="124">
        <v>0</v>
      </c>
      <c r="P228" s="124">
        <v>0</v>
      </c>
      <c r="Q228" s="124">
        <v>0</v>
      </c>
      <c r="R228" s="124">
        <v>0</v>
      </c>
      <c r="S228" s="124">
        <v>0</v>
      </c>
      <c r="T228" s="124">
        <v>0</v>
      </c>
      <c r="U228" s="124">
        <v>0</v>
      </c>
      <c r="V228" s="124">
        <v>1</v>
      </c>
      <c r="W228" s="123">
        <v>78.900000000000006</v>
      </c>
      <c r="X228" s="123">
        <v>0</v>
      </c>
      <c r="Y228" s="123">
        <v>4.2333333333333334</v>
      </c>
      <c r="Z228" s="122">
        <v>858</v>
      </c>
      <c r="AA228" s="122">
        <v>167.286216</v>
      </c>
      <c r="AB228" s="122">
        <v>202.6771653543307</v>
      </c>
      <c r="AC228" s="122">
        <v>39.516428976377952</v>
      </c>
    </row>
    <row r="229" spans="1:29" x14ac:dyDescent="0.35">
      <c r="A229" s="120">
        <v>45384</v>
      </c>
      <c r="B229" s="124">
        <v>1</v>
      </c>
      <c r="C229" s="124">
        <v>0</v>
      </c>
      <c r="D229" s="124">
        <v>0</v>
      </c>
      <c r="E229" s="124">
        <v>0</v>
      </c>
      <c r="F229" s="124">
        <v>0</v>
      </c>
      <c r="G229" s="124">
        <v>0</v>
      </c>
      <c r="H229" s="124">
        <v>0</v>
      </c>
      <c r="I229" s="124">
        <v>0</v>
      </c>
      <c r="J229" s="124">
        <v>0</v>
      </c>
      <c r="K229" s="124">
        <v>0</v>
      </c>
      <c r="L229" s="124">
        <v>1</v>
      </c>
      <c r="M229" s="124">
        <v>0</v>
      </c>
      <c r="N229" s="124">
        <v>0</v>
      </c>
      <c r="O229" s="124">
        <v>0</v>
      </c>
      <c r="P229" s="124">
        <v>0</v>
      </c>
      <c r="Q229" s="124">
        <v>0</v>
      </c>
      <c r="R229" s="124">
        <v>0</v>
      </c>
      <c r="S229" s="124">
        <v>0</v>
      </c>
      <c r="T229" s="124">
        <v>0</v>
      </c>
      <c r="U229" s="124">
        <v>0</v>
      </c>
      <c r="V229" s="124">
        <v>1</v>
      </c>
      <c r="W229" s="123">
        <v>82.5</v>
      </c>
      <c r="X229" s="123">
        <v>0</v>
      </c>
      <c r="Y229" s="123">
        <v>6.166666666666667</v>
      </c>
      <c r="Z229" s="122">
        <v>1193.5</v>
      </c>
      <c r="AA229" s="122">
        <v>212.50799999999998</v>
      </c>
      <c r="AB229" s="122">
        <v>193.54054054054052</v>
      </c>
      <c r="AC229" s="122">
        <v>34.460756756756751</v>
      </c>
    </row>
    <row r="230" spans="1:29" x14ac:dyDescent="0.35">
      <c r="A230" s="120">
        <v>45385</v>
      </c>
      <c r="B230" s="124">
        <v>0</v>
      </c>
      <c r="C230" s="124">
        <v>0</v>
      </c>
      <c r="D230" s="124">
        <v>0</v>
      </c>
      <c r="E230" s="124">
        <v>1</v>
      </c>
      <c r="F230" s="124">
        <v>0</v>
      </c>
      <c r="G230" s="124">
        <v>0</v>
      </c>
      <c r="H230" s="124">
        <v>0</v>
      </c>
      <c r="I230" s="124">
        <v>0</v>
      </c>
      <c r="J230" s="124">
        <v>0</v>
      </c>
      <c r="K230" s="124">
        <v>0</v>
      </c>
      <c r="L230" s="124">
        <v>1</v>
      </c>
      <c r="M230" s="124">
        <v>0</v>
      </c>
      <c r="N230" s="124">
        <v>0</v>
      </c>
      <c r="O230" s="124">
        <v>0</v>
      </c>
      <c r="P230" s="124">
        <v>0</v>
      </c>
      <c r="Q230" s="124">
        <v>0</v>
      </c>
      <c r="R230" s="124">
        <v>0</v>
      </c>
      <c r="S230" s="124">
        <v>0</v>
      </c>
      <c r="T230" s="124">
        <v>0</v>
      </c>
      <c r="U230" s="124">
        <v>0</v>
      </c>
      <c r="V230" s="124">
        <v>1</v>
      </c>
      <c r="W230" s="123">
        <v>75.3</v>
      </c>
      <c r="X230" s="123">
        <v>0</v>
      </c>
      <c r="Y230" s="123">
        <v>3.75</v>
      </c>
      <c r="Z230" s="122">
        <v>591</v>
      </c>
      <c r="AA230" s="122">
        <v>90.533100000000005</v>
      </c>
      <c r="AB230" s="122">
        <v>157.6</v>
      </c>
      <c r="AC230" s="122">
        <v>24.142160000000001</v>
      </c>
    </row>
    <row r="231" spans="1:29" x14ac:dyDescent="0.35">
      <c r="A231" s="120">
        <v>45385</v>
      </c>
      <c r="B231" s="124">
        <v>1</v>
      </c>
      <c r="C231" s="124">
        <v>0</v>
      </c>
      <c r="D231" s="124">
        <v>0</v>
      </c>
      <c r="E231" s="124">
        <v>1</v>
      </c>
      <c r="F231" s="124">
        <v>0</v>
      </c>
      <c r="G231" s="124">
        <v>0</v>
      </c>
      <c r="H231" s="124">
        <v>0</v>
      </c>
      <c r="I231" s="124">
        <v>0</v>
      </c>
      <c r="J231" s="124">
        <v>0</v>
      </c>
      <c r="K231" s="124">
        <v>0</v>
      </c>
      <c r="L231" s="124">
        <v>1</v>
      </c>
      <c r="M231" s="124">
        <v>0</v>
      </c>
      <c r="N231" s="124">
        <v>0</v>
      </c>
      <c r="O231" s="124">
        <v>0</v>
      </c>
      <c r="P231" s="124">
        <v>0</v>
      </c>
      <c r="Q231" s="124">
        <v>0</v>
      </c>
      <c r="R231" s="124">
        <v>0</v>
      </c>
      <c r="S231" s="124">
        <v>0</v>
      </c>
      <c r="T231" s="124">
        <v>0</v>
      </c>
      <c r="U231" s="124">
        <v>0</v>
      </c>
      <c r="V231" s="124">
        <v>1</v>
      </c>
      <c r="W231" s="123">
        <v>75.3</v>
      </c>
      <c r="X231" s="123">
        <v>0</v>
      </c>
      <c r="Y231" s="123">
        <v>3.25</v>
      </c>
      <c r="Z231" s="122">
        <v>368</v>
      </c>
      <c r="AA231" s="122">
        <v>63.631980000000006</v>
      </c>
      <c r="AB231" s="122">
        <v>113.23076923076923</v>
      </c>
      <c r="AC231" s="122">
        <v>19.579070769230771</v>
      </c>
    </row>
    <row r="232" spans="1:29" x14ac:dyDescent="0.35">
      <c r="A232" s="120">
        <v>45387</v>
      </c>
      <c r="B232" s="124">
        <v>1</v>
      </c>
      <c r="C232" s="124">
        <v>0</v>
      </c>
      <c r="D232" s="124">
        <v>0</v>
      </c>
      <c r="E232" s="124">
        <v>0</v>
      </c>
      <c r="F232" s="124">
        <v>0</v>
      </c>
      <c r="G232" s="124">
        <v>1</v>
      </c>
      <c r="H232" s="124">
        <v>0</v>
      </c>
      <c r="I232" s="124">
        <v>0</v>
      </c>
      <c r="J232" s="124">
        <v>0</v>
      </c>
      <c r="K232" s="124">
        <v>0</v>
      </c>
      <c r="L232" s="124">
        <v>1</v>
      </c>
      <c r="M232" s="124">
        <v>0</v>
      </c>
      <c r="N232" s="124">
        <v>0</v>
      </c>
      <c r="O232" s="124">
        <v>0</v>
      </c>
      <c r="P232" s="124">
        <v>0</v>
      </c>
      <c r="Q232" s="124">
        <v>0</v>
      </c>
      <c r="R232" s="124">
        <v>0</v>
      </c>
      <c r="S232" s="124">
        <v>0</v>
      </c>
      <c r="T232" s="124">
        <v>1</v>
      </c>
      <c r="U232" s="124">
        <v>0</v>
      </c>
      <c r="V232" s="124">
        <v>0</v>
      </c>
      <c r="W232" s="123">
        <v>82.5</v>
      </c>
      <c r="X232" s="123">
        <v>0</v>
      </c>
      <c r="Y232" s="123">
        <v>6.583333333333333</v>
      </c>
      <c r="Z232" s="122">
        <v>1198</v>
      </c>
      <c r="AA232" s="122">
        <v>198.61344399999999</v>
      </c>
      <c r="AB232" s="122">
        <v>181.97468354430382</v>
      </c>
      <c r="AC232" s="122">
        <v>30.169130734177216</v>
      </c>
    </row>
    <row r="233" spans="1:29" x14ac:dyDescent="0.35">
      <c r="A233" s="120">
        <v>45389</v>
      </c>
      <c r="B233" s="124">
        <v>1</v>
      </c>
      <c r="C233" s="124">
        <v>1</v>
      </c>
      <c r="D233" s="124">
        <v>0</v>
      </c>
      <c r="E233" s="124">
        <v>0</v>
      </c>
      <c r="F233" s="124">
        <v>0</v>
      </c>
      <c r="G233" s="124">
        <v>0</v>
      </c>
      <c r="H233" s="124">
        <v>0</v>
      </c>
      <c r="I233" s="124">
        <v>0</v>
      </c>
      <c r="J233" s="124">
        <v>0</v>
      </c>
      <c r="K233" s="124">
        <v>0</v>
      </c>
      <c r="L233" s="124">
        <v>1</v>
      </c>
      <c r="M233" s="124">
        <v>0</v>
      </c>
      <c r="N233" s="124">
        <v>0</v>
      </c>
      <c r="O233" s="124">
        <v>0</v>
      </c>
      <c r="P233" s="124">
        <v>0</v>
      </c>
      <c r="Q233" s="124">
        <v>0</v>
      </c>
      <c r="R233" s="124">
        <v>0</v>
      </c>
      <c r="S233" s="124">
        <v>0</v>
      </c>
      <c r="T233" s="124">
        <v>1</v>
      </c>
      <c r="U233" s="124">
        <v>0</v>
      </c>
      <c r="V233" s="124">
        <v>0</v>
      </c>
      <c r="W233" s="123">
        <v>84.1</v>
      </c>
      <c r="X233" s="123">
        <v>0</v>
      </c>
      <c r="Y233" s="123">
        <v>5.8666666666666663</v>
      </c>
      <c r="Z233" s="122">
        <v>975</v>
      </c>
      <c r="AA233" s="122">
        <v>147.77316000000002</v>
      </c>
      <c r="AB233" s="122">
        <v>166.19318181818184</v>
      </c>
      <c r="AC233" s="122">
        <v>25.188606818181825</v>
      </c>
    </row>
    <row r="234" spans="1:29" x14ac:dyDescent="0.35">
      <c r="A234" s="120">
        <v>45390</v>
      </c>
      <c r="B234" s="124">
        <v>0</v>
      </c>
      <c r="C234" s="124">
        <v>0</v>
      </c>
      <c r="D234" s="124">
        <v>1</v>
      </c>
      <c r="E234" s="124">
        <v>0</v>
      </c>
      <c r="F234" s="124">
        <v>0</v>
      </c>
      <c r="G234" s="124">
        <v>0</v>
      </c>
      <c r="H234" s="124">
        <v>0</v>
      </c>
      <c r="I234" s="124">
        <v>0</v>
      </c>
      <c r="J234" s="124">
        <v>0</v>
      </c>
      <c r="K234" s="124">
        <v>0</v>
      </c>
      <c r="L234" s="124">
        <v>1</v>
      </c>
      <c r="M234" s="124">
        <v>0</v>
      </c>
      <c r="N234" s="124">
        <v>0</v>
      </c>
      <c r="O234" s="124">
        <v>0</v>
      </c>
      <c r="P234" s="124">
        <v>0</v>
      </c>
      <c r="Q234" s="124">
        <v>0</v>
      </c>
      <c r="R234" s="124">
        <v>0</v>
      </c>
      <c r="S234" s="124">
        <v>0</v>
      </c>
      <c r="T234" s="124">
        <v>0</v>
      </c>
      <c r="U234" s="124">
        <v>0</v>
      </c>
      <c r="V234" s="124">
        <v>0</v>
      </c>
      <c r="W234" s="123">
        <v>77.099999999999994</v>
      </c>
      <c r="X234" s="123">
        <v>1.2E-2</v>
      </c>
      <c r="Y234" s="123">
        <v>1.5166666666666666</v>
      </c>
      <c r="Z234" s="122">
        <v>99</v>
      </c>
      <c r="AA234" s="122">
        <v>17.499027999999999</v>
      </c>
      <c r="AB234" s="122">
        <v>65.27472527472527</v>
      </c>
      <c r="AC234" s="122">
        <v>11.537820659340658</v>
      </c>
    </row>
    <row r="235" spans="1:29" x14ac:dyDescent="0.35">
      <c r="A235" s="120">
        <v>45390</v>
      </c>
      <c r="B235" s="124">
        <v>1</v>
      </c>
      <c r="C235" s="124">
        <v>0</v>
      </c>
      <c r="D235" s="124">
        <v>1</v>
      </c>
      <c r="E235" s="124">
        <v>0</v>
      </c>
      <c r="F235" s="124">
        <v>0</v>
      </c>
      <c r="G235" s="124">
        <v>0</v>
      </c>
      <c r="H235" s="124">
        <v>0</v>
      </c>
      <c r="I235" s="124">
        <v>0</v>
      </c>
      <c r="J235" s="124">
        <v>0</v>
      </c>
      <c r="K235" s="124">
        <v>0</v>
      </c>
      <c r="L235" s="124">
        <v>1</v>
      </c>
      <c r="M235" s="124">
        <v>0</v>
      </c>
      <c r="N235" s="124">
        <v>0</v>
      </c>
      <c r="O235" s="124">
        <v>0</v>
      </c>
      <c r="P235" s="124">
        <v>0</v>
      </c>
      <c r="Q235" s="124">
        <v>0</v>
      </c>
      <c r="R235" s="124">
        <v>0</v>
      </c>
      <c r="S235" s="124">
        <v>0</v>
      </c>
      <c r="T235" s="124">
        <v>0</v>
      </c>
      <c r="U235" s="124">
        <v>0</v>
      </c>
      <c r="V235" s="124">
        <v>0</v>
      </c>
      <c r="W235" s="123">
        <v>77.099999999999994</v>
      </c>
      <c r="X235" s="123">
        <v>1.2E-2</v>
      </c>
      <c r="Y235" s="123">
        <v>3.8166666666666669</v>
      </c>
      <c r="Z235" s="122">
        <v>594</v>
      </c>
      <c r="AA235" s="122">
        <v>106.895884</v>
      </c>
      <c r="AB235" s="122">
        <v>155.63318777292577</v>
      </c>
      <c r="AC235" s="122">
        <v>28.007655196506548</v>
      </c>
    </row>
    <row r="236" spans="1:29" x14ac:dyDescent="0.35">
      <c r="A236" s="120">
        <v>45392</v>
      </c>
      <c r="B236" s="124">
        <v>0</v>
      </c>
      <c r="C236" s="124">
        <v>0</v>
      </c>
      <c r="D236" s="124">
        <v>0</v>
      </c>
      <c r="E236" s="124">
        <v>1</v>
      </c>
      <c r="F236" s="124">
        <v>0</v>
      </c>
      <c r="G236" s="124">
        <v>0</v>
      </c>
      <c r="H236" s="124">
        <v>0</v>
      </c>
      <c r="I236" s="124">
        <v>0</v>
      </c>
      <c r="J236" s="124">
        <v>0</v>
      </c>
      <c r="K236" s="124">
        <v>0</v>
      </c>
      <c r="L236" s="124">
        <v>1</v>
      </c>
      <c r="M236" s="124">
        <v>0</v>
      </c>
      <c r="N236" s="124">
        <v>0</v>
      </c>
      <c r="O236" s="124">
        <v>0</v>
      </c>
      <c r="P236" s="124">
        <v>0</v>
      </c>
      <c r="Q236" s="124">
        <v>0</v>
      </c>
      <c r="R236" s="124">
        <v>0</v>
      </c>
      <c r="S236" s="124">
        <v>0</v>
      </c>
      <c r="T236" s="124">
        <v>0</v>
      </c>
      <c r="U236" s="124">
        <v>0</v>
      </c>
      <c r="V236" s="124">
        <v>0</v>
      </c>
      <c r="W236" s="123">
        <v>73.400000000000006</v>
      </c>
      <c r="X236" s="123">
        <v>0.78400000000000003</v>
      </c>
      <c r="Y236" s="123">
        <v>3.0833333333333335</v>
      </c>
      <c r="Z236" s="122">
        <v>319</v>
      </c>
      <c r="AA236" s="122">
        <v>56.53566</v>
      </c>
      <c r="AB236" s="122">
        <v>103.45945945945945</v>
      </c>
      <c r="AC236" s="122">
        <v>18.335889729729729</v>
      </c>
    </row>
    <row r="237" spans="1:29" x14ac:dyDescent="0.35">
      <c r="A237" s="120">
        <v>45392</v>
      </c>
      <c r="B237" s="124">
        <v>1</v>
      </c>
      <c r="C237" s="124">
        <v>0</v>
      </c>
      <c r="D237" s="124">
        <v>0</v>
      </c>
      <c r="E237" s="124">
        <v>1</v>
      </c>
      <c r="F237" s="124">
        <v>0</v>
      </c>
      <c r="G237" s="124">
        <v>0</v>
      </c>
      <c r="H237" s="124">
        <v>0</v>
      </c>
      <c r="I237" s="124">
        <v>0</v>
      </c>
      <c r="J237" s="124">
        <v>0</v>
      </c>
      <c r="K237" s="124">
        <v>0</v>
      </c>
      <c r="L237" s="124">
        <v>1</v>
      </c>
      <c r="M237" s="124">
        <v>0</v>
      </c>
      <c r="N237" s="124">
        <v>0</v>
      </c>
      <c r="O237" s="124">
        <v>0</v>
      </c>
      <c r="P237" s="124">
        <v>0</v>
      </c>
      <c r="Q237" s="124">
        <v>0</v>
      </c>
      <c r="R237" s="124">
        <v>0</v>
      </c>
      <c r="S237" s="124">
        <v>0</v>
      </c>
      <c r="T237" s="124">
        <v>0</v>
      </c>
      <c r="U237" s="124">
        <v>0</v>
      </c>
      <c r="V237" s="124">
        <v>0</v>
      </c>
      <c r="W237" s="123">
        <v>73.400000000000006</v>
      </c>
      <c r="X237" s="123">
        <v>0.78400000000000003</v>
      </c>
      <c r="Y237" s="123">
        <v>4.3499999999999996</v>
      </c>
      <c r="Z237" s="122">
        <v>856</v>
      </c>
      <c r="AA237" s="122">
        <v>189.01321999999999</v>
      </c>
      <c r="AB237" s="122">
        <v>196.78160919540232</v>
      </c>
      <c r="AC237" s="122">
        <v>43.451314942528739</v>
      </c>
    </row>
    <row r="238" spans="1:29" x14ac:dyDescent="0.35">
      <c r="A238" s="120">
        <v>45394</v>
      </c>
      <c r="B238" s="124">
        <v>0</v>
      </c>
      <c r="C238" s="124">
        <v>0</v>
      </c>
      <c r="D238" s="124">
        <v>0</v>
      </c>
      <c r="E238" s="124">
        <v>0</v>
      </c>
      <c r="F238" s="124">
        <v>0</v>
      </c>
      <c r="G238" s="124">
        <v>1</v>
      </c>
      <c r="H238" s="124">
        <v>0</v>
      </c>
      <c r="I238" s="124">
        <v>0</v>
      </c>
      <c r="J238" s="124">
        <v>0</v>
      </c>
      <c r="K238" s="124">
        <v>0</v>
      </c>
      <c r="L238" s="124">
        <v>1</v>
      </c>
      <c r="M238" s="124">
        <v>0</v>
      </c>
      <c r="N238" s="124">
        <v>0</v>
      </c>
      <c r="O238" s="124">
        <v>0</v>
      </c>
      <c r="P238" s="124">
        <v>0</v>
      </c>
      <c r="Q238" s="124">
        <v>0</v>
      </c>
      <c r="R238" s="124">
        <v>0</v>
      </c>
      <c r="S238" s="124">
        <v>0</v>
      </c>
      <c r="T238" s="124">
        <v>0</v>
      </c>
      <c r="U238" s="124">
        <v>0</v>
      </c>
      <c r="V238" s="124">
        <v>1</v>
      </c>
      <c r="W238" s="123">
        <v>80.599999999999994</v>
      </c>
      <c r="X238" s="123">
        <v>0</v>
      </c>
      <c r="Y238" s="123">
        <v>3.15</v>
      </c>
      <c r="Z238" s="122">
        <v>369.5</v>
      </c>
      <c r="AA238" s="122">
        <v>72.763332000000005</v>
      </c>
      <c r="AB238" s="122">
        <v>117.3015873015873</v>
      </c>
      <c r="AC238" s="122">
        <v>23.099470476190479</v>
      </c>
    </row>
    <row r="239" spans="1:29" x14ac:dyDescent="0.35">
      <c r="A239" s="120">
        <v>45394</v>
      </c>
      <c r="B239" s="124">
        <v>1</v>
      </c>
      <c r="C239" s="124">
        <v>0</v>
      </c>
      <c r="D239" s="124">
        <v>0</v>
      </c>
      <c r="E239" s="124">
        <v>0</v>
      </c>
      <c r="F239" s="124">
        <v>0</v>
      </c>
      <c r="G239" s="124">
        <v>1</v>
      </c>
      <c r="H239" s="124">
        <v>0</v>
      </c>
      <c r="I239" s="124">
        <v>0</v>
      </c>
      <c r="J239" s="124">
        <v>0</v>
      </c>
      <c r="K239" s="124">
        <v>0</v>
      </c>
      <c r="L239" s="124">
        <v>1</v>
      </c>
      <c r="M239" s="124">
        <v>0</v>
      </c>
      <c r="N239" s="124">
        <v>0</v>
      </c>
      <c r="O239" s="124">
        <v>0</v>
      </c>
      <c r="P239" s="124">
        <v>0</v>
      </c>
      <c r="Q239" s="124">
        <v>0</v>
      </c>
      <c r="R239" s="124">
        <v>0</v>
      </c>
      <c r="S239" s="124">
        <v>0</v>
      </c>
      <c r="T239" s="124">
        <v>1</v>
      </c>
      <c r="U239" s="124">
        <v>0</v>
      </c>
      <c r="V239" s="124">
        <v>1</v>
      </c>
      <c r="W239" s="123">
        <v>80.599999999999994</v>
      </c>
      <c r="X239" s="123">
        <v>0</v>
      </c>
      <c r="Y239" s="123">
        <v>5.2333333333333334</v>
      </c>
      <c r="Z239" s="122">
        <v>1566.5</v>
      </c>
      <c r="AA239" s="122">
        <v>251.99614399999996</v>
      </c>
      <c r="AB239" s="122">
        <v>299.33121019108279</v>
      </c>
      <c r="AC239" s="122">
        <v>48.152129426751586</v>
      </c>
    </row>
    <row r="240" spans="1:29" x14ac:dyDescent="0.35">
      <c r="A240" s="120">
        <v>45395</v>
      </c>
      <c r="B240" s="124">
        <v>0</v>
      </c>
      <c r="C240" s="124">
        <v>0</v>
      </c>
      <c r="D240" s="124">
        <v>0</v>
      </c>
      <c r="E240" s="124">
        <v>0</v>
      </c>
      <c r="F240" s="124">
        <v>0</v>
      </c>
      <c r="G240" s="124">
        <v>0</v>
      </c>
      <c r="H240" s="124">
        <v>1</v>
      </c>
      <c r="I240" s="124">
        <v>0</v>
      </c>
      <c r="J240" s="124">
        <v>0</v>
      </c>
      <c r="K240" s="124">
        <v>0</v>
      </c>
      <c r="L240" s="124">
        <v>1</v>
      </c>
      <c r="M240" s="124">
        <v>0</v>
      </c>
      <c r="N240" s="124">
        <v>0</v>
      </c>
      <c r="O240" s="124">
        <v>0</v>
      </c>
      <c r="P240" s="124">
        <v>0</v>
      </c>
      <c r="Q240" s="124">
        <v>0</v>
      </c>
      <c r="R240" s="124">
        <v>0</v>
      </c>
      <c r="S240" s="124">
        <v>0</v>
      </c>
      <c r="T240" s="124">
        <v>1</v>
      </c>
      <c r="U240" s="124">
        <v>0</v>
      </c>
      <c r="V240" s="124">
        <v>1</v>
      </c>
      <c r="W240" s="123">
        <v>78.900000000000006</v>
      </c>
      <c r="X240" s="123">
        <v>0</v>
      </c>
      <c r="Y240" s="123">
        <v>5</v>
      </c>
      <c r="Z240" s="122">
        <v>1278.25</v>
      </c>
      <c r="AA240" s="122">
        <v>219.69695200000001</v>
      </c>
      <c r="AB240" s="122">
        <v>255.65</v>
      </c>
      <c r="AC240" s="122">
        <v>43.939390400000001</v>
      </c>
    </row>
    <row r="241" spans="1:29" x14ac:dyDescent="0.35">
      <c r="A241" s="120">
        <v>45395</v>
      </c>
      <c r="B241" s="124">
        <v>1</v>
      </c>
      <c r="C241" s="124">
        <v>0</v>
      </c>
      <c r="D241" s="124">
        <v>0</v>
      </c>
      <c r="E241" s="124">
        <v>0</v>
      </c>
      <c r="F241" s="124">
        <v>0</v>
      </c>
      <c r="G241" s="124">
        <v>0</v>
      </c>
      <c r="H241" s="124">
        <v>1</v>
      </c>
      <c r="I241" s="124">
        <v>0</v>
      </c>
      <c r="J241" s="124">
        <v>0</v>
      </c>
      <c r="K241" s="124">
        <v>0</v>
      </c>
      <c r="L241" s="124">
        <v>1</v>
      </c>
      <c r="M241" s="124">
        <v>0</v>
      </c>
      <c r="N241" s="124">
        <v>0</v>
      </c>
      <c r="O241" s="124">
        <v>0</v>
      </c>
      <c r="P241" s="124">
        <v>0</v>
      </c>
      <c r="Q241" s="124">
        <v>0</v>
      </c>
      <c r="R241" s="124">
        <v>0</v>
      </c>
      <c r="S241" s="124">
        <v>0</v>
      </c>
      <c r="T241" s="124">
        <v>1</v>
      </c>
      <c r="U241" s="124">
        <v>0</v>
      </c>
      <c r="V241" s="124">
        <v>1</v>
      </c>
      <c r="W241" s="123">
        <v>78.900000000000006</v>
      </c>
      <c r="X241" s="123">
        <v>0</v>
      </c>
      <c r="Y241" s="123">
        <v>5</v>
      </c>
      <c r="Z241" s="122">
        <v>1278.25</v>
      </c>
      <c r="AA241" s="122">
        <v>219.69695200000001</v>
      </c>
      <c r="AB241" s="122">
        <v>255.65</v>
      </c>
      <c r="AC241" s="122">
        <v>43.939390400000001</v>
      </c>
    </row>
    <row r="242" spans="1:29" x14ac:dyDescent="0.35">
      <c r="A242" s="120">
        <v>45396</v>
      </c>
      <c r="B242" s="124">
        <v>1</v>
      </c>
      <c r="C242" s="124">
        <v>1</v>
      </c>
      <c r="D242" s="124">
        <v>0</v>
      </c>
      <c r="E242" s="124">
        <v>0</v>
      </c>
      <c r="F242" s="124">
        <v>0</v>
      </c>
      <c r="G242" s="124">
        <v>0</v>
      </c>
      <c r="H242" s="124">
        <v>0</v>
      </c>
      <c r="I242" s="124">
        <v>0</v>
      </c>
      <c r="J242" s="124">
        <v>0</v>
      </c>
      <c r="K242" s="124">
        <v>0</v>
      </c>
      <c r="L242" s="124">
        <v>1</v>
      </c>
      <c r="M242" s="124">
        <v>0</v>
      </c>
      <c r="N242" s="124">
        <v>0</v>
      </c>
      <c r="O242" s="124">
        <v>0</v>
      </c>
      <c r="P242" s="124">
        <v>0</v>
      </c>
      <c r="Q242" s="124">
        <v>0</v>
      </c>
      <c r="R242" s="124">
        <v>0</v>
      </c>
      <c r="S242" s="124">
        <v>0</v>
      </c>
      <c r="T242" s="124">
        <v>1</v>
      </c>
      <c r="U242" s="124">
        <v>0</v>
      </c>
      <c r="V242" s="124">
        <v>1</v>
      </c>
      <c r="W242" s="123">
        <v>78.900000000000006</v>
      </c>
      <c r="X242" s="123">
        <v>0</v>
      </c>
      <c r="Y242" s="123">
        <v>6.5333333333333332</v>
      </c>
      <c r="Z242" s="122">
        <v>2054.5</v>
      </c>
      <c r="AA242" s="122">
        <v>341.546808</v>
      </c>
      <c r="AB242" s="122">
        <v>314.46428571428572</v>
      </c>
      <c r="AC242" s="122">
        <v>52.277572653061227</v>
      </c>
    </row>
    <row r="243" spans="1:29" x14ac:dyDescent="0.35">
      <c r="A243" s="120">
        <v>45398</v>
      </c>
      <c r="B243" s="124">
        <v>0</v>
      </c>
      <c r="C243" s="124">
        <v>0</v>
      </c>
      <c r="D243" s="124">
        <v>0</v>
      </c>
      <c r="E243" s="124">
        <v>0</v>
      </c>
      <c r="F243" s="124">
        <v>0</v>
      </c>
      <c r="G243" s="124">
        <v>0</v>
      </c>
      <c r="H243" s="124">
        <v>0</v>
      </c>
      <c r="I243" s="124">
        <v>0</v>
      </c>
      <c r="J243" s="124">
        <v>0</v>
      </c>
      <c r="K243" s="124">
        <v>0</v>
      </c>
      <c r="L243" s="124">
        <v>1</v>
      </c>
      <c r="M243" s="124">
        <v>0</v>
      </c>
      <c r="N243" s="124">
        <v>0</v>
      </c>
      <c r="O243" s="124">
        <v>0</v>
      </c>
      <c r="P243" s="124">
        <v>0</v>
      </c>
      <c r="Q243" s="124">
        <v>0</v>
      </c>
      <c r="R243" s="124">
        <v>0</v>
      </c>
      <c r="S243" s="124">
        <v>0</v>
      </c>
      <c r="T243" s="124">
        <v>0</v>
      </c>
      <c r="U243" s="124">
        <v>0</v>
      </c>
      <c r="V243" s="124">
        <v>1</v>
      </c>
      <c r="W243" s="123">
        <v>78.900000000000006</v>
      </c>
      <c r="X243" s="123">
        <v>0</v>
      </c>
      <c r="Y243" s="123">
        <v>5.3083333333333336</v>
      </c>
      <c r="Z243" s="122">
        <v>677</v>
      </c>
      <c r="AA243" s="122">
        <v>131.962042</v>
      </c>
      <c r="AB243" s="122">
        <v>127.53532182103611</v>
      </c>
      <c r="AC243" s="122">
        <v>24.859411365777078</v>
      </c>
    </row>
    <row r="244" spans="1:29" x14ac:dyDescent="0.35">
      <c r="A244" s="120">
        <v>45398</v>
      </c>
      <c r="B244" s="124">
        <v>1</v>
      </c>
      <c r="C244" s="124">
        <v>0</v>
      </c>
      <c r="D244" s="124">
        <v>0</v>
      </c>
      <c r="E244" s="124">
        <v>0</v>
      </c>
      <c r="F244" s="124">
        <v>0</v>
      </c>
      <c r="G244" s="124">
        <v>0</v>
      </c>
      <c r="H244" s="124">
        <v>0</v>
      </c>
      <c r="I244" s="124">
        <v>0</v>
      </c>
      <c r="J244" s="124">
        <v>0</v>
      </c>
      <c r="K244" s="124">
        <v>0</v>
      </c>
      <c r="L244" s="124">
        <v>1</v>
      </c>
      <c r="M244" s="124">
        <v>0</v>
      </c>
      <c r="N244" s="124">
        <v>0</v>
      </c>
      <c r="O244" s="124">
        <v>0</v>
      </c>
      <c r="P244" s="124">
        <v>0</v>
      </c>
      <c r="Q244" s="124">
        <v>0</v>
      </c>
      <c r="R244" s="124">
        <v>0</v>
      </c>
      <c r="S244" s="124">
        <v>0</v>
      </c>
      <c r="T244" s="124">
        <v>0</v>
      </c>
      <c r="U244" s="124">
        <v>0</v>
      </c>
      <c r="V244" s="124">
        <v>1</v>
      </c>
      <c r="W244" s="123">
        <v>78.900000000000006</v>
      </c>
      <c r="X244" s="123">
        <v>0</v>
      </c>
      <c r="Y244" s="123">
        <v>5.3083333333333336</v>
      </c>
      <c r="Z244" s="122">
        <v>677</v>
      </c>
      <c r="AA244" s="122">
        <v>131.962042</v>
      </c>
      <c r="AB244" s="122">
        <v>127.53532182103611</v>
      </c>
      <c r="AC244" s="122">
        <v>24.859411365777078</v>
      </c>
    </row>
    <row r="245" spans="1:29" x14ac:dyDescent="0.35">
      <c r="A245" s="120">
        <v>45399</v>
      </c>
      <c r="B245" s="124">
        <v>0</v>
      </c>
      <c r="C245" s="124">
        <v>0</v>
      </c>
      <c r="D245" s="124">
        <v>0</v>
      </c>
      <c r="E245" s="124">
        <v>1</v>
      </c>
      <c r="F245" s="124">
        <v>0</v>
      </c>
      <c r="G245" s="124">
        <v>0</v>
      </c>
      <c r="H245" s="124">
        <v>0</v>
      </c>
      <c r="I245" s="124">
        <v>0</v>
      </c>
      <c r="J245" s="124">
        <v>0</v>
      </c>
      <c r="K245" s="124">
        <v>0</v>
      </c>
      <c r="L245" s="124">
        <v>1</v>
      </c>
      <c r="M245" s="124">
        <v>0</v>
      </c>
      <c r="N245" s="124">
        <v>0</v>
      </c>
      <c r="O245" s="124">
        <v>0</v>
      </c>
      <c r="P245" s="124">
        <v>0</v>
      </c>
      <c r="Q245" s="124">
        <v>0</v>
      </c>
      <c r="R245" s="124">
        <v>0</v>
      </c>
      <c r="S245" s="124">
        <v>0</v>
      </c>
      <c r="T245" s="124">
        <v>0</v>
      </c>
      <c r="U245" s="124">
        <v>0</v>
      </c>
      <c r="V245" s="124">
        <v>1</v>
      </c>
      <c r="W245" s="123">
        <v>80.599999999999994</v>
      </c>
      <c r="X245" s="123">
        <v>0</v>
      </c>
      <c r="Y245" s="123">
        <v>3.4333333333333331</v>
      </c>
      <c r="Z245" s="122">
        <v>421</v>
      </c>
      <c r="AA245" s="122">
        <v>69.276480000000006</v>
      </c>
      <c r="AB245" s="122">
        <v>122.62135922330098</v>
      </c>
      <c r="AC245" s="122">
        <v>20.177615533980585</v>
      </c>
    </row>
    <row r="246" spans="1:29" x14ac:dyDescent="0.35">
      <c r="A246" s="120">
        <v>45399</v>
      </c>
      <c r="B246" s="124">
        <v>1</v>
      </c>
      <c r="C246" s="124">
        <v>0</v>
      </c>
      <c r="D246" s="124">
        <v>0</v>
      </c>
      <c r="E246" s="124">
        <v>1</v>
      </c>
      <c r="F246" s="124">
        <v>0</v>
      </c>
      <c r="G246" s="124">
        <v>0</v>
      </c>
      <c r="H246" s="124">
        <v>0</v>
      </c>
      <c r="I246" s="124">
        <v>0</v>
      </c>
      <c r="J246" s="124">
        <v>0</v>
      </c>
      <c r="K246" s="124">
        <v>0</v>
      </c>
      <c r="L246" s="124">
        <v>1</v>
      </c>
      <c r="M246" s="124">
        <v>0</v>
      </c>
      <c r="N246" s="124">
        <v>0</v>
      </c>
      <c r="O246" s="124">
        <v>0</v>
      </c>
      <c r="P246" s="124">
        <v>0</v>
      </c>
      <c r="Q246" s="124">
        <v>0</v>
      </c>
      <c r="R246" s="124">
        <v>0</v>
      </c>
      <c r="S246" s="124">
        <v>0</v>
      </c>
      <c r="T246" s="124">
        <v>0</v>
      </c>
      <c r="U246" s="124">
        <v>0</v>
      </c>
      <c r="V246" s="124">
        <v>1</v>
      </c>
      <c r="W246" s="123">
        <v>80.599999999999994</v>
      </c>
      <c r="X246" s="123">
        <v>0</v>
      </c>
      <c r="Y246" s="123">
        <v>3.95</v>
      </c>
      <c r="Z246" s="122">
        <v>801.5</v>
      </c>
      <c r="AA246" s="122">
        <v>145.55123599999999</v>
      </c>
      <c r="AB246" s="122">
        <v>202.91139240506328</v>
      </c>
      <c r="AC246" s="122">
        <v>36.848414177215183</v>
      </c>
    </row>
    <row r="247" spans="1:29" x14ac:dyDescent="0.35">
      <c r="A247" s="120">
        <v>45400</v>
      </c>
      <c r="B247" s="124">
        <v>0</v>
      </c>
      <c r="C247" s="124">
        <v>0</v>
      </c>
      <c r="D247" s="124">
        <v>0</v>
      </c>
      <c r="E247" s="124">
        <v>0</v>
      </c>
      <c r="F247" s="124">
        <v>1</v>
      </c>
      <c r="G247" s="124">
        <v>0</v>
      </c>
      <c r="H247" s="124">
        <v>0</v>
      </c>
      <c r="I247" s="124">
        <v>0</v>
      </c>
      <c r="J247" s="124">
        <v>0</v>
      </c>
      <c r="K247" s="124">
        <v>0</v>
      </c>
      <c r="L247" s="124">
        <v>1</v>
      </c>
      <c r="M247" s="124">
        <v>0</v>
      </c>
      <c r="N247" s="124">
        <v>0</v>
      </c>
      <c r="O247" s="124">
        <v>0</v>
      </c>
      <c r="P247" s="124">
        <v>0</v>
      </c>
      <c r="Q247" s="124">
        <v>0</v>
      </c>
      <c r="R247" s="124">
        <v>0</v>
      </c>
      <c r="S247" s="124">
        <v>0</v>
      </c>
      <c r="T247" s="124">
        <v>0</v>
      </c>
      <c r="U247" s="124">
        <v>0</v>
      </c>
      <c r="V247" s="124">
        <v>0</v>
      </c>
      <c r="W247" s="123">
        <v>82.5</v>
      </c>
      <c r="X247" s="123">
        <v>0</v>
      </c>
      <c r="Y247" s="123">
        <v>4.4083333333333332</v>
      </c>
      <c r="Z247" s="122">
        <v>602.5</v>
      </c>
      <c r="AA247" s="122">
        <v>100.37970200000001</v>
      </c>
      <c r="AB247" s="122">
        <v>136.67296786389414</v>
      </c>
      <c r="AC247" s="122">
        <v>22.770442797731572</v>
      </c>
    </row>
    <row r="248" spans="1:29" x14ac:dyDescent="0.35">
      <c r="A248" s="120">
        <v>45400</v>
      </c>
      <c r="B248" s="124">
        <v>1</v>
      </c>
      <c r="C248" s="124">
        <v>0</v>
      </c>
      <c r="D248" s="124">
        <v>0</v>
      </c>
      <c r="E248" s="124">
        <v>0</v>
      </c>
      <c r="F248" s="124">
        <v>1</v>
      </c>
      <c r="G248" s="124">
        <v>0</v>
      </c>
      <c r="H248" s="124">
        <v>0</v>
      </c>
      <c r="I248" s="124">
        <v>0</v>
      </c>
      <c r="J248" s="124">
        <v>0</v>
      </c>
      <c r="K248" s="124">
        <v>0</v>
      </c>
      <c r="L248" s="124">
        <v>1</v>
      </c>
      <c r="M248" s="124">
        <v>0</v>
      </c>
      <c r="N248" s="124">
        <v>0</v>
      </c>
      <c r="O248" s="124">
        <v>0</v>
      </c>
      <c r="P248" s="124">
        <v>0</v>
      </c>
      <c r="Q248" s="124">
        <v>0</v>
      </c>
      <c r="R248" s="124">
        <v>0</v>
      </c>
      <c r="S248" s="124">
        <v>0</v>
      </c>
      <c r="T248" s="124">
        <v>0</v>
      </c>
      <c r="U248" s="124">
        <v>0</v>
      </c>
      <c r="V248" s="124">
        <v>0</v>
      </c>
      <c r="W248" s="123">
        <v>82.5</v>
      </c>
      <c r="X248" s="123">
        <v>0</v>
      </c>
      <c r="Y248" s="123">
        <v>4.4083333333333332</v>
      </c>
      <c r="Z248" s="122">
        <v>602.5</v>
      </c>
      <c r="AA248" s="122">
        <v>100.37970200000001</v>
      </c>
      <c r="AB248" s="122">
        <v>136.67296786389414</v>
      </c>
      <c r="AC248" s="122">
        <v>22.770442797731572</v>
      </c>
    </row>
    <row r="249" spans="1:29" x14ac:dyDescent="0.35">
      <c r="A249" s="120">
        <v>45401</v>
      </c>
      <c r="B249" s="124">
        <v>1</v>
      </c>
      <c r="C249" s="124">
        <v>0</v>
      </c>
      <c r="D249" s="124">
        <v>0</v>
      </c>
      <c r="E249" s="124">
        <v>0</v>
      </c>
      <c r="F249" s="124">
        <v>0</v>
      </c>
      <c r="G249" s="124">
        <v>1</v>
      </c>
      <c r="H249" s="124">
        <v>0</v>
      </c>
      <c r="I249" s="124">
        <v>0</v>
      </c>
      <c r="J249" s="124">
        <v>0</v>
      </c>
      <c r="K249" s="124">
        <v>0</v>
      </c>
      <c r="L249" s="124">
        <v>1</v>
      </c>
      <c r="M249" s="124">
        <v>0</v>
      </c>
      <c r="N249" s="124">
        <v>0</v>
      </c>
      <c r="O249" s="124">
        <v>0</v>
      </c>
      <c r="P249" s="124">
        <v>0</v>
      </c>
      <c r="Q249" s="124">
        <v>0</v>
      </c>
      <c r="R249" s="124">
        <v>0</v>
      </c>
      <c r="S249" s="124">
        <v>0</v>
      </c>
      <c r="T249" s="124">
        <v>1</v>
      </c>
      <c r="U249" s="124">
        <v>0</v>
      </c>
      <c r="V249" s="124">
        <v>0</v>
      </c>
      <c r="W249" s="123">
        <v>84.2</v>
      </c>
      <c r="X249" s="123">
        <v>0</v>
      </c>
      <c r="Y249" s="123">
        <v>6.4666666666666668</v>
      </c>
      <c r="Z249" s="122">
        <v>1313.5</v>
      </c>
      <c r="AA249" s="122">
        <v>216.12048000000001</v>
      </c>
      <c r="AB249" s="122">
        <v>203.11855670103091</v>
      </c>
      <c r="AC249" s="122">
        <v>33.420692783505153</v>
      </c>
    </row>
    <row r="250" spans="1:29" x14ac:dyDescent="0.35">
      <c r="A250" s="120">
        <v>45402</v>
      </c>
      <c r="B250" s="124">
        <v>0</v>
      </c>
      <c r="C250" s="124">
        <v>0</v>
      </c>
      <c r="D250" s="124">
        <v>0</v>
      </c>
      <c r="E250" s="124">
        <v>0</v>
      </c>
      <c r="F250" s="124">
        <v>0</v>
      </c>
      <c r="G250" s="124">
        <v>0</v>
      </c>
      <c r="H250" s="124">
        <v>1</v>
      </c>
      <c r="I250" s="124">
        <v>0</v>
      </c>
      <c r="J250" s="124">
        <v>0</v>
      </c>
      <c r="K250" s="124">
        <v>0</v>
      </c>
      <c r="L250" s="124">
        <v>1</v>
      </c>
      <c r="M250" s="124">
        <v>0</v>
      </c>
      <c r="N250" s="124">
        <v>0</v>
      </c>
      <c r="O250" s="124">
        <v>0</v>
      </c>
      <c r="P250" s="124">
        <v>0</v>
      </c>
      <c r="Q250" s="124">
        <v>0</v>
      </c>
      <c r="R250" s="124">
        <v>0</v>
      </c>
      <c r="S250" s="124">
        <v>0</v>
      </c>
      <c r="T250" s="124">
        <v>1</v>
      </c>
      <c r="U250" s="124">
        <v>0</v>
      </c>
      <c r="V250" s="124">
        <v>0</v>
      </c>
      <c r="W250" s="123">
        <v>80.7</v>
      </c>
      <c r="X250" s="123">
        <v>0</v>
      </c>
      <c r="Y250" s="123">
        <v>4.3916666666666666</v>
      </c>
      <c r="Z250" s="122">
        <v>1112</v>
      </c>
      <c r="AA250" s="122">
        <v>203.769158</v>
      </c>
      <c r="AB250" s="122">
        <v>253.2068311195446</v>
      </c>
      <c r="AC250" s="122">
        <v>46.399049259962048</v>
      </c>
    </row>
    <row r="251" spans="1:29" x14ac:dyDescent="0.35">
      <c r="A251" s="120">
        <v>45402</v>
      </c>
      <c r="B251" s="124">
        <v>1</v>
      </c>
      <c r="C251" s="124">
        <v>0</v>
      </c>
      <c r="D251" s="124">
        <v>0</v>
      </c>
      <c r="E251" s="124">
        <v>0</v>
      </c>
      <c r="F251" s="124">
        <v>0</v>
      </c>
      <c r="G251" s="124">
        <v>0</v>
      </c>
      <c r="H251" s="124">
        <v>1</v>
      </c>
      <c r="I251" s="124">
        <v>0</v>
      </c>
      <c r="J251" s="124">
        <v>0</v>
      </c>
      <c r="K251" s="124">
        <v>0</v>
      </c>
      <c r="L251" s="124">
        <v>1</v>
      </c>
      <c r="M251" s="124">
        <v>0</v>
      </c>
      <c r="N251" s="124">
        <v>0</v>
      </c>
      <c r="O251" s="124">
        <v>0</v>
      </c>
      <c r="P251" s="124">
        <v>0</v>
      </c>
      <c r="Q251" s="124">
        <v>0</v>
      </c>
      <c r="R251" s="124">
        <v>0</v>
      </c>
      <c r="S251" s="124">
        <v>0</v>
      </c>
      <c r="T251" s="124">
        <v>1</v>
      </c>
      <c r="U251" s="124">
        <v>0</v>
      </c>
      <c r="V251" s="124">
        <v>0</v>
      </c>
      <c r="W251" s="123">
        <v>80.7</v>
      </c>
      <c r="X251" s="123">
        <v>0</v>
      </c>
      <c r="Y251" s="123">
        <v>5.3916666666666666</v>
      </c>
      <c r="Z251" s="122">
        <v>1112</v>
      </c>
      <c r="AA251" s="122">
        <v>205.899158</v>
      </c>
      <c r="AB251" s="122">
        <v>206.24420401854715</v>
      </c>
      <c r="AC251" s="122">
        <v>38.188406429675425</v>
      </c>
    </row>
    <row r="252" spans="1:29" x14ac:dyDescent="0.35">
      <c r="A252" s="120">
        <v>45404</v>
      </c>
      <c r="B252" s="124">
        <v>0</v>
      </c>
      <c r="C252" s="124">
        <v>0</v>
      </c>
      <c r="D252" s="124">
        <v>1</v>
      </c>
      <c r="E252" s="124">
        <v>0</v>
      </c>
      <c r="F252" s="124">
        <v>0</v>
      </c>
      <c r="G252" s="124">
        <v>0</v>
      </c>
      <c r="H252" s="124">
        <v>0</v>
      </c>
      <c r="I252" s="124">
        <v>0</v>
      </c>
      <c r="J252" s="124">
        <v>0</v>
      </c>
      <c r="K252" s="124">
        <v>0</v>
      </c>
      <c r="L252" s="124">
        <v>1</v>
      </c>
      <c r="M252" s="124">
        <v>0</v>
      </c>
      <c r="N252" s="124">
        <v>0</v>
      </c>
      <c r="O252" s="124">
        <v>0</v>
      </c>
      <c r="P252" s="124">
        <v>0</v>
      </c>
      <c r="Q252" s="124">
        <v>0</v>
      </c>
      <c r="R252" s="124">
        <v>0</v>
      </c>
      <c r="S252" s="124">
        <v>0</v>
      </c>
      <c r="T252" s="124">
        <v>0</v>
      </c>
      <c r="U252" s="124">
        <v>0</v>
      </c>
      <c r="V252" s="124">
        <v>0</v>
      </c>
      <c r="W252" s="123">
        <v>69.900000000000006</v>
      </c>
      <c r="X252" s="123">
        <v>0</v>
      </c>
      <c r="Y252" s="123">
        <v>2.1833333333333331</v>
      </c>
      <c r="Z252" s="122">
        <v>240</v>
      </c>
      <c r="AA252" s="122">
        <v>37.632892000000005</v>
      </c>
      <c r="AB252" s="122">
        <v>109.92366412213741</v>
      </c>
      <c r="AC252" s="122">
        <v>17.236439083969469</v>
      </c>
    </row>
    <row r="253" spans="1:29" x14ac:dyDescent="0.35">
      <c r="A253" s="120">
        <v>45408</v>
      </c>
      <c r="B253" s="124">
        <v>1</v>
      </c>
      <c r="C253" s="124">
        <v>0</v>
      </c>
      <c r="D253" s="124">
        <v>0</v>
      </c>
      <c r="E253" s="124">
        <v>0</v>
      </c>
      <c r="F253" s="124">
        <v>0</v>
      </c>
      <c r="G253" s="124">
        <v>1</v>
      </c>
      <c r="H253" s="124">
        <v>0</v>
      </c>
      <c r="I253" s="124">
        <v>0</v>
      </c>
      <c r="J253" s="124">
        <v>0</v>
      </c>
      <c r="K253" s="124">
        <v>0</v>
      </c>
      <c r="L253" s="124">
        <v>1</v>
      </c>
      <c r="M253" s="124">
        <v>0</v>
      </c>
      <c r="N253" s="124">
        <v>0</v>
      </c>
      <c r="O253" s="124">
        <v>0</v>
      </c>
      <c r="P253" s="124">
        <v>0</v>
      </c>
      <c r="Q253" s="124">
        <v>0</v>
      </c>
      <c r="R253" s="124">
        <v>0</v>
      </c>
      <c r="S253" s="124">
        <v>0</v>
      </c>
      <c r="T253" s="124">
        <v>1</v>
      </c>
      <c r="U253" s="124">
        <v>0</v>
      </c>
      <c r="V253" s="124">
        <v>0</v>
      </c>
      <c r="W253" s="123">
        <v>80.599999999999994</v>
      </c>
      <c r="X253" s="123">
        <v>0</v>
      </c>
      <c r="Y253" s="123">
        <v>7.166666666666667</v>
      </c>
      <c r="Z253" s="122">
        <v>1526</v>
      </c>
      <c r="AA253" s="122">
        <v>284.76803999999998</v>
      </c>
      <c r="AB253" s="122">
        <v>212.93023255813952</v>
      </c>
      <c r="AC253" s="122">
        <v>39.735075348837206</v>
      </c>
    </row>
    <row r="254" spans="1:29" x14ac:dyDescent="0.35">
      <c r="A254" s="120">
        <v>45409</v>
      </c>
      <c r="B254" s="124">
        <v>0</v>
      </c>
      <c r="C254" s="124">
        <v>0</v>
      </c>
      <c r="D254" s="124">
        <v>0</v>
      </c>
      <c r="E254" s="124">
        <v>0</v>
      </c>
      <c r="F254" s="124">
        <v>0</v>
      </c>
      <c r="G254" s="124">
        <v>0</v>
      </c>
      <c r="H254" s="124">
        <v>1</v>
      </c>
      <c r="I254" s="124">
        <v>0</v>
      </c>
      <c r="J254" s="124">
        <v>0</v>
      </c>
      <c r="K254" s="124">
        <v>0</v>
      </c>
      <c r="L254" s="124">
        <v>1</v>
      </c>
      <c r="M254" s="124">
        <v>0</v>
      </c>
      <c r="N254" s="124">
        <v>0</v>
      </c>
      <c r="O254" s="124">
        <v>0</v>
      </c>
      <c r="P254" s="124">
        <v>0</v>
      </c>
      <c r="Q254" s="124">
        <v>0</v>
      </c>
      <c r="R254" s="124">
        <v>0</v>
      </c>
      <c r="S254" s="124">
        <v>0</v>
      </c>
      <c r="T254" s="124">
        <v>1</v>
      </c>
      <c r="U254" s="124">
        <v>0</v>
      </c>
      <c r="V254" s="124">
        <v>0</v>
      </c>
      <c r="W254" s="123">
        <v>80.599999999999994</v>
      </c>
      <c r="X254" s="123">
        <v>0</v>
      </c>
      <c r="Y254" s="123">
        <v>5.1166666666666663</v>
      </c>
      <c r="Z254" s="122">
        <v>1427</v>
      </c>
      <c r="AA254" s="122">
        <v>234.53430800000001</v>
      </c>
      <c r="AB254" s="122">
        <v>278.89250814332252</v>
      </c>
      <c r="AC254" s="122">
        <v>45.837324039087953</v>
      </c>
    </row>
    <row r="255" spans="1:29" x14ac:dyDescent="0.35">
      <c r="A255" s="120">
        <v>45409</v>
      </c>
      <c r="B255" s="124">
        <v>1</v>
      </c>
      <c r="C255" s="124">
        <v>0</v>
      </c>
      <c r="D255" s="124">
        <v>0</v>
      </c>
      <c r="E255" s="124">
        <v>0</v>
      </c>
      <c r="F255" s="124">
        <v>0</v>
      </c>
      <c r="G255" s="124">
        <v>0</v>
      </c>
      <c r="H255" s="124">
        <v>1</v>
      </c>
      <c r="I255" s="124">
        <v>0</v>
      </c>
      <c r="J255" s="124">
        <v>0</v>
      </c>
      <c r="K255" s="124">
        <v>0</v>
      </c>
      <c r="L255" s="124">
        <v>1</v>
      </c>
      <c r="M255" s="124">
        <v>0</v>
      </c>
      <c r="N255" s="124">
        <v>0</v>
      </c>
      <c r="O255" s="124">
        <v>0</v>
      </c>
      <c r="P255" s="124">
        <v>0</v>
      </c>
      <c r="Q255" s="124">
        <v>0</v>
      </c>
      <c r="R255" s="124">
        <v>0</v>
      </c>
      <c r="S255" s="124">
        <v>0</v>
      </c>
      <c r="T255" s="124">
        <v>1</v>
      </c>
      <c r="U255" s="124">
        <v>0</v>
      </c>
      <c r="V255" s="124">
        <v>0</v>
      </c>
      <c r="W255" s="123">
        <v>80.599999999999994</v>
      </c>
      <c r="X255" s="123">
        <v>0</v>
      </c>
      <c r="Y255" s="123">
        <v>5.1166666666666663</v>
      </c>
      <c r="Z255" s="122">
        <v>1427</v>
      </c>
      <c r="AA255" s="122">
        <v>234.53430800000001</v>
      </c>
      <c r="AB255" s="122">
        <v>278.89250814332252</v>
      </c>
      <c r="AC255" s="122">
        <v>45.837324039087953</v>
      </c>
    </row>
    <row r="256" spans="1:29" x14ac:dyDescent="0.35">
      <c r="A256" s="120">
        <v>45410</v>
      </c>
      <c r="B256" s="124">
        <v>1</v>
      </c>
      <c r="C256" s="124">
        <v>1</v>
      </c>
      <c r="D256" s="124">
        <v>0</v>
      </c>
      <c r="E256" s="124">
        <v>0</v>
      </c>
      <c r="F256" s="124">
        <v>0</v>
      </c>
      <c r="G256" s="124">
        <v>0</v>
      </c>
      <c r="H256" s="124">
        <v>0</v>
      </c>
      <c r="I256" s="124">
        <v>0</v>
      </c>
      <c r="J256" s="124">
        <v>0</v>
      </c>
      <c r="K256" s="124">
        <v>0</v>
      </c>
      <c r="L256" s="124">
        <v>1</v>
      </c>
      <c r="M256" s="124">
        <v>0</v>
      </c>
      <c r="N256" s="124">
        <v>0</v>
      </c>
      <c r="O256" s="124">
        <v>0</v>
      </c>
      <c r="P256" s="124">
        <v>0</v>
      </c>
      <c r="Q256" s="124">
        <v>0</v>
      </c>
      <c r="R256" s="124">
        <v>0</v>
      </c>
      <c r="S256" s="124">
        <v>0</v>
      </c>
      <c r="T256" s="124">
        <v>1</v>
      </c>
      <c r="U256" s="124">
        <v>0</v>
      </c>
      <c r="V256" s="124">
        <v>0</v>
      </c>
      <c r="W256" s="123">
        <v>80.7</v>
      </c>
      <c r="X256" s="123">
        <v>1E-3</v>
      </c>
      <c r="Y256" s="123">
        <v>5.4666666666666668</v>
      </c>
      <c r="Z256" s="122">
        <v>1798.5</v>
      </c>
      <c r="AA256" s="122">
        <v>309.659424</v>
      </c>
      <c r="AB256" s="122">
        <v>328.9939024390244</v>
      </c>
      <c r="AC256" s="122">
        <v>56.645016585365852</v>
      </c>
    </row>
    <row r="257" spans="1:29" x14ac:dyDescent="0.35">
      <c r="A257" s="120">
        <v>45411</v>
      </c>
      <c r="B257" s="124">
        <v>0</v>
      </c>
      <c r="C257" s="124">
        <v>0</v>
      </c>
      <c r="D257" s="124">
        <v>1</v>
      </c>
      <c r="E257" s="124">
        <v>0</v>
      </c>
      <c r="F257" s="124">
        <v>0</v>
      </c>
      <c r="G257" s="124">
        <v>0</v>
      </c>
      <c r="H257" s="124">
        <v>0</v>
      </c>
      <c r="I257" s="124">
        <v>0</v>
      </c>
      <c r="J257" s="124">
        <v>0</v>
      </c>
      <c r="K257" s="124">
        <v>0</v>
      </c>
      <c r="L257" s="124">
        <v>1</v>
      </c>
      <c r="M257" s="124">
        <v>0</v>
      </c>
      <c r="N257" s="124">
        <v>0</v>
      </c>
      <c r="O257" s="124">
        <v>0</v>
      </c>
      <c r="P257" s="124">
        <v>0</v>
      </c>
      <c r="Q257" s="124">
        <v>0</v>
      </c>
      <c r="R257" s="124">
        <v>0</v>
      </c>
      <c r="S257" s="124">
        <v>0</v>
      </c>
      <c r="T257" s="124">
        <v>0</v>
      </c>
      <c r="U257" s="124">
        <v>0</v>
      </c>
      <c r="V257" s="124">
        <v>0</v>
      </c>
      <c r="W257" s="123">
        <v>78.900000000000006</v>
      </c>
      <c r="X257" s="123">
        <v>4.2999999999999997E-2</v>
      </c>
      <c r="Y257" s="123">
        <v>4.0166666666666666</v>
      </c>
      <c r="Z257" s="122">
        <v>538</v>
      </c>
      <c r="AA257" s="122">
        <v>104.67538</v>
      </c>
      <c r="AB257" s="122">
        <v>133.94190871369295</v>
      </c>
      <c r="AC257" s="122">
        <v>26.060260580912864</v>
      </c>
    </row>
    <row r="258" spans="1:29" x14ac:dyDescent="0.35">
      <c r="A258" s="120">
        <v>45411</v>
      </c>
      <c r="B258" s="124">
        <v>1</v>
      </c>
      <c r="C258" s="124">
        <v>0</v>
      </c>
      <c r="D258" s="124">
        <v>1</v>
      </c>
      <c r="E258" s="124">
        <v>0</v>
      </c>
      <c r="F258" s="124">
        <v>0</v>
      </c>
      <c r="G258" s="124">
        <v>0</v>
      </c>
      <c r="H258" s="124">
        <v>0</v>
      </c>
      <c r="I258" s="124">
        <v>0</v>
      </c>
      <c r="J258" s="124">
        <v>0</v>
      </c>
      <c r="K258" s="124">
        <v>0</v>
      </c>
      <c r="L258" s="124">
        <v>1</v>
      </c>
      <c r="M258" s="124">
        <v>0</v>
      </c>
      <c r="N258" s="124">
        <v>0</v>
      </c>
      <c r="O258" s="124">
        <v>0</v>
      </c>
      <c r="P258" s="124">
        <v>0</v>
      </c>
      <c r="Q258" s="124">
        <v>0</v>
      </c>
      <c r="R258" s="124">
        <v>0</v>
      </c>
      <c r="S258" s="124">
        <v>0</v>
      </c>
      <c r="T258" s="124">
        <v>0</v>
      </c>
      <c r="U258" s="124">
        <v>0</v>
      </c>
      <c r="V258" s="124">
        <v>0</v>
      </c>
      <c r="W258" s="123">
        <v>78.900000000000006</v>
      </c>
      <c r="X258" s="123">
        <v>4.2999999999999997E-2</v>
      </c>
      <c r="Y258" s="123">
        <v>4.166666666666667</v>
      </c>
      <c r="Z258" s="122">
        <v>766.5</v>
      </c>
      <c r="AA258" s="122">
        <v>117.92331999999999</v>
      </c>
      <c r="AB258" s="122">
        <v>183.95999999999998</v>
      </c>
      <c r="AC258" s="122">
        <v>28.301596799999995</v>
      </c>
    </row>
    <row r="259" spans="1:29" x14ac:dyDescent="0.35">
      <c r="A259" s="120">
        <v>45413</v>
      </c>
      <c r="B259" s="124">
        <v>0</v>
      </c>
      <c r="C259" s="124">
        <v>0</v>
      </c>
      <c r="D259" s="124">
        <v>0</v>
      </c>
      <c r="E259" s="124">
        <v>1</v>
      </c>
      <c r="F259" s="124">
        <v>0</v>
      </c>
      <c r="G259" s="124">
        <v>0</v>
      </c>
      <c r="H259" s="124">
        <v>0</v>
      </c>
      <c r="I259" s="124">
        <v>0</v>
      </c>
      <c r="J259" s="124">
        <v>0</v>
      </c>
      <c r="K259" s="124">
        <v>0</v>
      </c>
      <c r="L259" s="124">
        <v>0</v>
      </c>
      <c r="M259" s="124">
        <v>1</v>
      </c>
      <c r="N259" s="124">
        <v>0</v>
      </c>
      <c r="O259" s="124">
        <v>0</v>
      </c>
      <c r="P259" s="124">
        <v>0</v>
      </c>
      <c r="Q259" s="124">
        <v>0</v>
      </c>
      <c r="R259" s="124">
        <v>0</v>
      </c>
      <c r="S259" s="124">
        <v>0</v>
      </c>
      <c r="T259" s="124">
        <v>0</v>
      </c>
      <c r="U259" s="124">
        <v>0</v>
      </c>
      <c r="V259" s="124">
        <v>1</v>
      </c>
      <c r="W259" s="123">
        <v>80.7</v>
      </c>
      <c r="X259" s="123">
        <v>0</v>
      </c>
      <c r="Y259" s="123">
        <v>4.0999999999999996</v>
      </c>
      <c r="Z259" s="122">
        <v>724</v>
      </c>
      <c r="AA259" s="122">
        <v>121.366584</v>
      </c>
      <c r="AB259" s="122">
        <v>176.58536585365854</v>
      </c>
      <c r="AC259" s="122">
        <v>29.60160585365854</v>
      </c>
    </row>
    <row r="260" spans="1:29" x14ac:dyDescent="0.35">
      <c r="A260" s="120">
        <v>45413</v>
      </c>
      <c r="B260" s="124">
        <v>1</v>
      </c>
      <c r="C260" s="124">
        <v>0</v>
      </c>
      <c r="D260" s="124">
        <v>0</v>
      </c>
      <c r="E260" s="124">
        <v>1</v>
      </c>
      <c r="F260" s="124">
        <v>0</v>
      </c>
      <c r="G260" s="124">
        <v>0</v>
      </c>
      <c r="H260" s="124">
        <v>0</v>
      </c>
      <c r="I260" s="124">
        <v>0</v>
      </c>
      <c r="J260" s="124">
        <v>0</v>
      </c>
      <c r="K260" s="124">
        <v>0</v>
      </c>
      <c r="L260" s="124">
        <v>0</v>
      </c>
      <c r="M260" s="124">
        <v>1</v>
      </c>
      <c r="N260" s="124">
        <v>0</v>
      </c>
      <c r="O260" s="124">
        <v>0</v>
      </c>
      <c r="P260" s="124">
        <v>0</v>
      </c>
      <c r="Q260" s="124">
        <v>0</v>
      </c>
      <c r="R260" s="124">
        <v>0</v>
      </c>
      <c r="S260" s="124">
        <v>0</v>
      </c>
      <c r="T260" s="124">
        <v>0</v>
      </c>
      <c r="U260" s="124">
        <v>0</v>
      </c>
      <c r="V260" s="124">
        <v>1</v>
      </c>
      <c r="W260" s="123">
        <v>80.7</v>
      </c>
      <c r="X260" s="123">
        <v>0</v>
      </c>
      <c r="Y260" s="123">
        <v>4.4666666666666668</v>
      </c>
      <c r="Z260" s="122">
        <v>968.5</v>
      </c>
      <c r="AA260" s="122">
        <v>155.88106400000001</v>
      </c>
      <c r="AB260" s="122">
        <v>216.82835820895522</v>
      </c>
      <c r="AC260" s="122">
        <v>34.898745671641791</v>
      </c>
    </row>
    <row r="261" spans="1:29" x14ac:dyDescent="0.35">
      <c r="A261" s="120">
        <v>45415</v>
      </c>
      <c r="B261" s="124">
        <v>1</v>
      </c>
      <c r="C261" s="124">
        <v>0</v>
      </c>
      <c r="D261" s="124">
        <v>0</v>
      </c>
      <c r="E261" s="124">
        <v>0</v>
      </c>
      <c r="F261" s="124">
        <v>0</v>
      </c>
      <c r="G261" s="124">
        <v>1</v>
      </c>
      <c r="H261" s="124">
        <v>0</v>
      </c>
      <c r="I261" s="124">
        <v>0</v>
      </c>
      <c r="J261" s="124">
        <v>0</v>
      </c>
      <c r="K261" s="124">
        <v>0</v>
      </c>
      <c r="L261" s="124">
        <v>0</v>
      </c>
      <c r="M261" s="124">
        <v>1</v>
      </c>
      <c r="N261" s="124">
        <v>0</v>
      </c>
      <c r="O261" s="124">
        <v>0</v>
      </c>
      <c r="P261" s="124">
        <v>0</v>
      </c>
      <c r="Q261" s="124">
        <v>0</v>
      </c>
      <c r="R261" s="124">
        <v>0</v>
      </c>
      <c r="S261" s="124">
        <v>0</v>
      </c>
      <c r="T261" s="124">
        <v>1</v>
      </c>
      <c r="U261" s="124">
        <v>0</v>
      </c>
      <c r="V261" s="124">
        <v>1</v>
      </c>
      <c r="W261" s="123">
        <v>78.900000000000006</v>
      </c>
      <c r="X261" s="123">
        <v>1.2999999999999999E-2</v>
      </c>
      <c r="Y261" s="123">
        <v>7.55</v>
      </c>
      <c r="Z261" s="122">
        <v>1715.5</v>
      </c>
      <c r="AA261" s="122">
        <v>262.33873999999997</v>
      </c>
      <c r="AB261" s="122">
        <v>227.21854304635761</v>
      </c>
      <c r="AC261" s="122">
        <v>34.746852980132445</v>
      </c>
    </row>
    <row r="262" spans="1:29" x14ac:dyDescent="0.35">
      <c r="A262" s="120">
        <v>45416</v>
      </c>
      <c r="B262" s="124">
        <v>0</v>
      </c>
      <c r="C262" s="124">
        <v>0</v>
      </c>
      <c r="D262" s="124">
        <v>0</v>
      </c>
      <c r="E262" s="124">
        <v>0</v>
      </c>
      <c r="F262" s="124">
        <v>0</v>
      </c>
      <c r="G262" s="124">
        <v>0</v>
      </c>
      <c r="H262" s="124">
        <v>1</v>
      </c>
      <c r="I262" s="124">
        <v>0</v>
      </c>
      <c r="J262" s="124">
        <v>0</v>
      </c>
      <c r="K262" s="124">
        <v>0</v>
      </c>
      <c r="L262" s="124">
        <v>0</v>
      </c>
      <c r="M262" s="124">
        <v>1</v>
      </c>
      <c r="N262" s="124">
        <v>0</v>
      </c>
      <c r="O262" s="124">
        <v>0</v>
      </c>
      <c r="P262" s="124">
        <v>0</v>
      </c>
      <c r="Q262" s="124">
        <v>0</v>
      </c>
      <c r="R262" s="124">
        <v>0</v>
      </c>
      <c r="S262" s="124">
        <v>0</v>
      </c>
      <c r="T262" s="124">
        <v>1</v>
      </c>
      <c r="U262" s="124">
        <v>0</v>
      </c>
      <c r="V262" s="124">
        <v>1</v>
      </c>
      <c r="W262" s="123">
        <v>82.5</v>
      </c>
      <c r="X262" s="123">
        <v>0</v>
      </c>
      <c r="Y262" s="123">
        <v>5.1416666666666666</v>
      </c>
      <c r="Z262" s="122">
        <v>1198.335</v>
      </c>
      <c r="AA262" s="122">
        <v>194.77481399999999</v>
      </c>
      <c r="AB262" s="122">
        <v>233.06353322528363</v>
      </c>
      <c r="AC262" s="122">
        <v>37.88164940032415</v>
      </c>
    </row>
    <row r="263" spans="1:29" x14ac:dyDescent="0.35">
      <c r="A263" s="120">
        <v>45416</v>
      </c>
      <c r="B263" s="124">
        <v>1</v>
      </c>
      <c r="C263" s="124">
        <v>0</v>
      </c>
      <c r="D263" s="124">
        <v>0</v>
      </c>
      <c r="E263" s="124">
        <v>0</v>
      </c>
      <c r="F263" s="124">
        <v>0</v>
      </c>
      <c r="G263" s="124">
        <v>0</v>
      </c>
      <c r="H263" s="124">
        <v>1</v>
      </c>
      <c r="I263" s="124">
        <v>0</v>
      </c>
      <c r="J263" s="124">
        <v>0</v>
      </c>
      <c r="K263" s="124">
        <v>0</v>
      </c>
      <c r="L263" s="124">
        <v>0</v>
      </c>
      <c r="M263" s="124">
        <v>1</v>
      </c>
      <c r="N263" s="124">
        <v>0</v>
      </c>
      <c r="O263" s="124">
        <v>0</v>
      </c>
      <c r="P263" s="124">
        <v>0</v>
      </c>
      <c r="Q263" s="124">
        <v>0</v>
      </c>
      <c r="R263" s="124">
        <v>0</v>
      </c>
      <c r="S263" s="124">
        <v>0</v>
      </c>
      <c r="T263" s="124">
        <v>1</v>
      </c>
      <c r="U263" s="124">
        <v>0</v>
      </c>
      <c r="V263" s="124">
        <v>1</v>
      </c>
      <c r="W263" s="123">
        <v>82.5</v>
      </c>
      <c r="X263" s="123">
        <v>0</v>
      </c>
      <c r="Y263" s="123">
        <v>5.1416666666666666</v>
      </c>
      <c r="Z263" s="122">
        <v>1198.335</v>
      </c>
      <c r="AA263" s="122">
        <v>194.77481399999999</v>
      </c>
      <c r="AB263" s="122">
        <v>233.06353322528363</v>
      </c>
      <c r="AC263" s="122">
        <v>37.88164940032415</v>
      </c>
    </row>
    <row r="264" spans="1:29" x14ac:dyDescent="0.35">
      <c r="A264" s="120">
        <v>45417</v>
      </c>
      <c r="B264" s="124">
        <v>1</v>
      </c>
      <c r="C264" s="124">
        <v>1</v>
      </c>
      <c r="D264" s="124">
        <v>0</v>
      </c>
      <c r="E264" s="124">
        <v>0</v>
      </c>
      <c r="F264" s="124">
        <v>0</v>
      </c>
      <c r="G264" s="124">
        <v>0</v>
      </c>
      <c r="H264" s="124">
        <v>0</v>
      </c>
      <c r="I264" s="124">
        <v>0</v>
      </c>
      <c r="J264" s="124">
        <v>0</v>
      </c>
      <c r="K264" s="124">
        <v>0</v>
      </c>
      <c r="L264" s="124">
        <v>0</v>
      </c>
      <c r="M264" s="124">
        <v>1</v>
      </c>
      <c r="N264" s="124">
        <v>0</v>
      </c>
      <c r="O264" s="124">
        <v>0</v>
      </c>
      <c r="P264" s="124">
        <v>0</v>
      </c>
      <c r="Q264" s="124">
        <v>0</v>
      </c>
      <c r="R264" s="124">
        <v>0</v>
      </c>
      <c r="S264" s="124">
        <v>0</v>
      </c>
      <c r="T264" s="124">
        <v>1</v>
      </c>
      <c r="U264" s="124">
        <v>0</v>
      </c>
      <c r="V264" s="124">
        <v>1</v>
      </c>
      <c r="W264" s="123">
        <v>77.099999999999994</v>
      </c>
      <c r="X264" s="123">
        <v>1.2E-2</v>
      </c>
      <c r="Y264" s="123">
        <v>6.166666666666667</v>
      </c>
      <c r="Z264" s="122">
        <v>1314.5</v>
      </c>
      <c r="AA264" s="122">
        <v>330.93636000000004</v>
      </c>
      <c r="AB264" s="122">
        <v>213.16216216216216</v>
      </c>
      <c r="AC264" s="122">
        <v>53.665355675675677</v>
      </c>
    </row>
    <row r="265" spans="1:29" x14ac:dyDescent="0.35">
      <c r="A265" s="120">
        <v>45418</v>
      </c>
      <c r="B265" s="124">
        <v>1</v>
      </c>
      <c r="C265" s="124">
        <v>0</v>
      </c>
      <c r="D265" s="124">
        <v>1</v>
      </c>
      <c r="E265" s="124">
        <v>0</v>
      </c>
      <c r="F265" s="124">
        <v>0</v>
      </c>
      <c r="G265" s="124">
        <v>0</v>
      </c>
      <c r="H265" s="124">
        <v>0</v>
      </c>
      <c r="I265" s="124">
        <v>0</v>
      </c>
      <c r="J265" s="124">
        <v>0</v>
      </c>
      <c r="K265" s="124">
        <v>0</v>
      </c>
      <c r="L265" s="124">
        <v>0</v>
      </c>
      <c r="M265" s="124">
        <v>1</v>
      </c>
      <c r="N265" s="124">
        <v>0</v>
      </c>
      <c r="O265" s="124">
        <v>0</v>
      </c>
      <c r="P265" s="124">
        <v>0</v>
      </c>
      <c r="Q265" s="124">
        <v>0</v>
      </c>
      <c r="R265" s="124">
        <v>0</v>
      </c>
      <c r="S265" s="124">
        <v>0</v>
      </c>
      <c r="T265" s="124">
        <v>0</v>
      </c>
      <c r="U265" s="124">
        <v>0</v>
      </c>
      <c r="V265" s="124">
        <v>0</v>
      </c>
      <c r="W265" s="123">
        <v>82.5</v>
      </c>
      <c r="X265" s="123">
        <v>0</v>
      </c>
      <c r="Y265" s="123">
        <v>4.7833333333333332</v>
      </c>
      <c r="Z265" s="122">
        <v>1397.5</v>
      </c>
      <c r="AA265" s="122">
        <v>219.89998</v>
      </c>
      <c r="AB265" s="122">
        <v>292.16027874564463</v>
      </c>
      <c r="AC265" s="122">
        <v>45.9721212543554</v>
      </c>
    </row>
    <row r="266" spans="1:29" x14ac:dyDescent="0.35">
      <c r="A266" s="120">
        <v>45420</v>
      </c>
      <c r="B266" s="124">
        <v>1</v>
      </c>
      <c r="C266" s="124">
        <v>0</v>
      </c>
      <c r="D266" s="124">
        <v>0</v>
      </c>
      <c r="E266" s="124">
        <v>1</v>
      </c>
      <c r="F266" s="124">
        <v>0</v>
      </c>
      <c r="G266" s="124">
        <v>0</v>
      </c>
      <c r="H266" s="124">
        <v>0</v>
      </c>
      <c r="I266" s="124">
        <v>0</v>
      </c>
      <c r="J266" s="124">
        <v>0</v>
      </c>
      <c r="K266" s="124">
        <v>0</v>
      </c>
      <c r="L266" s="124">
        <v>0</v>
      </c>
      <c r="M266" s="124">
        <v>1</v>
      </c>
      <c r="N266" s="124">
        <v>0</v>
      </c>
      <c r="O266" s="124">
        <v>0</v>
      </c>
      <c r="P266" s="124">
        <v>0</v>
      </c>
      <c r="Q266" s="124">
        <v>0</v>
      </c>
      <c r="R266" s="124">
        <v>0</v>
      </c>
      <c r="S266" s="124">
        <v>0</v>
      </c>
      <c r="T266" s="124">
        <v>0</v>
      </c>
      <c r="U266" s="124">
        <v>0</v>
      </c>
      <c r="V266" s="124">
        <v>0</v>
      </c>
      <c r="W266" s="123">
        <v>86</v>
      </c>
      <c r="X266" s="123">
        <v>0</v>
      </c>
      <c r="Y266" s="123">
        <v>4</v>
      </c>
      <c r="Z266" s="122">
        <v>570.5</v>
      </c>
      <c r="AA266" s="122">
        <v>98.66968</v>
      </c>
      <c r="AB266" s="122">
        <v>142.625</v>
      </c>
      <c r="AC266" s="122">
        <v>24.66742</v>
      </c>
    </row>
    <row r="267" spans="1:29" x14ac:dyDescent="0.35">
      <c r="A267" s="120">
        <v>45422</v>
      </c>
      <c r="B267" s="124">
        <v>1</v>
      </c>
      <c r="C267" s="124">
        <v>0</v>
      </c>
      <c r="D267" s="124">
        <v>0</v>
      </c>
      <c r="E267" s="124">
        <v>0</v>
      </c>
      <c r="F267" s="124">
        <v>0</v>
      </c>
      <c r="G267" s="124">
        <v>1</v>
      </c>
      <c r="H267" s="124">
        <v>0</v>
      </c>
      <c r="I267" s="124">
        <v>0</v>
      </c>
      <c r="J267" s="124">
        <v>0</v>
      </c>
      <c r="K267" s="124">
        <v>0</v>
      </c>
      <c r="L267" s="124">
        <v>0</v>
      </c>
      <c r="M267" s="124">
        <v>1</v>
      </c>
      <c r="N267" s="124">
        <v>0</v>
      </c>
      <c r="O267" s="124">
        <v>0</v>
      </c>
      <c r="P267" s="124">
        <v>0</v>
      </c>
      <c r="Q267" s="124">
        <v>0</v>
      </c>
      <c r="R267" s="124">
        <v>0</v>
      </c>
      <c r="S267" s="124">
        <v>0</v>
      </c>
      <c r="T267" s="124">
        <v>1</v>
      </c>
      <c r="U267" s="124">
        <v>0</v>
      </c>
      <c r="V267" s="124">
        <v>0</v>
      </c>
      <c r="W267" s="123">
        <v>86.1</v>
      </c>
      <c r="X267" s="123">
        <v>0</v>
      </c>
      <c r="Y267" s="123">
        <v>7.333333333333333</v>
      </c>
      <c r="Z267" s="122">
        <v>1527.5</v>
      </c>
      <c r="AA267" s="122">
        <v>220.57392000000004</v>
      </c>
      <c r="AB267" s="122">
        <v>208.29545454545456</v>
      </c>
      <c r="AC267" s="122">
        <v>30.078261818181826</v>
      </c>
    </row>
    <row r="268" spans="1:29" x14ac:dyDescent="0.35">
      <c r="A268" s="120">
        <v>45423</v>
      </c>
      <c r="B268" s="124">
        <v>0</v>
      </c>
      <c r="C268" s="124">
        <v>0</v>
      </c>
      <c r="D268" s="124">
        <v>0</v>
      </c>
      <c r="E268" s="124">
        <v>0</v>
      </c>
      <c r="F268" s="124">
        <v>0</v>
      </c>
      <c r="G268" s="124">
        <v>0</v>
      </c>
      <c r="H268" s="124">
        <v>1</v>
      </c>
      <c r="I268" s="124">
        <v>0</v>
      </c>
      <c r="J268" s="124">
        <v>0</v>
      </c>
      <c r="K268" s="124">
        <v>0</v>
      </c>
      <c r="L268" s="124">
        <v>0</v>
      </c>
      <c r="M268" s="124">
        <v>1</v>
      </c>
      <c r="N268" s="124">
        <v>0</v>
      </c>
      <c r="O268" s="124">
        <v>0</v>
      </c>
      <c r="P268" s="124">
        <v>0</v>
      </c>
      <c r="Q268" s="124">
        <v>0</v>
      </c>
      <c r="R268" s="124">
        <v>0</v>
      </c>
      <c r="S268" s="124">
        <v>0</v>
      </c>
      <c r="T268" s="124">
        <v>1</v>
      </c>
      <c r="U268" s="124">
        <v>0</v>
      </c>
      <c r="V268" s="124">
        <v>0</v>
      </c>
      <c r="W268" s="123">
        <v>78.900000000000006</v>
      </c>
      <c r="X268" s="123">
        <v>0</v>
      </c>
      <c r="Y268" s="123">
        <v>5.4</v>
      </c>
      <c r="Z268" s="122">
        <v>1165</v>
      </c>
      <c r="AA268" s="122">
        <v>180.02605600000001</v>
      </c>
      <c r="AB268" s="122">
        <v>215.74074074074073</v>
      </c>
      <c r="AC268" s="122">
        <v>33.338158518518519</v>
      </c>
    </row>
    <row r="269" spans="1:29" x14ac:dyDescent="0.35">
      <c r="A269" s="120">
        <v>45423</v>
      </c>
      <c r="B269" s="124">
        <v>1</v>
      </c>
      <c r="C269" s="124">
        <v>0</v>
      </c>
      <c r="D269" s="124">
        <v>0</v>
      </c>
      <c r="E269" s="124">
        <v>0</v>
      </c>
      <c r="F269" s="124">
        <v>0</v>
      </c>
      <c r="G269" s="124">
        <v>0</v>
      </c>
      <c r="H269" s="124">
        <v>1</v>
      </c>
      <c r="I269" s="124">
        <v>0</v>
      </c>
      <c r="J269" s="124">
        <v>0</v>
      </c>
      <c r="K269" s="124">
        <v>0</v>
      </c>
      <c r="L269" s="124">
        <v>0</v>
      </c>
      <c r="M269" s="124">
        <v>1</v>
      </c>
      <c r="N269" s="124">
        <v>0</v>
      </c>
      <c r="O269" s="124">
        <v>0</v>
      </c>
      <c r="P269" s="124">
        <v>0</v>
      </c>
      <c r="Q269" s="124">
        <v>0</v>
      </c>
      <c r="R269" s="124">
        <v>0</v>
      </c>
      <c r="S269" s="124">
        <v>0</v>
      </c>
      <c r="T269" s="124">
        <v>1</v>
      </c>
      <c r="U269" s="124">
        <v>0</v>
      </c>
      <c r="V269" s="124">
        <v>0</v>
      </c>
      <c r="W269" s="123">
        <v>78.900000000000006</v>
      </c>
      <c r="X269" s="123">
        <v>0</v>
      </c>
      <c r="Y269" s="123">
        <v>5.4</v>
      </c>
      <c r="Z269" s="122">
        <v>1165</v>
      </c>
      <c r="AA269" s="122">
        <v>180.02605600000001</v>
      </c>
      <c r="AB269" s="122">
        <v>215.74074074074073</v>
      </c>
      <c r="AC269" s="122">
        <v>33.338158518518519</v>
      </c>
    </row>
    <row r="270" spans="1:29" x14ac:dyDescent="0.35">
      <c r="A270" s="120">
        <v>45424</v>
      </c>
      <c r="B270" s="124">
        <v>1</v>
      </c>
      <c r="C270" s="124">
        <v>1</v>
      </c>
      <c r="D270" s="124">
        <v>0</v>
      </c>
      <c r="E270" s="124">
        <v>0</v>
      </c>
      <c r="F270" s="124">
        <v>0</v>
      </c>
      <c r="G270" s="124">
        <v>0</v>
      </c>
      <c r="H270" s="124">
        <v>0</v>
      </c>
      <c r="I270" s="124">
        <v>0</v>
      </c>
      <c r="J270" s="124">
        <v>0</v>
      </c>
      <c r="K270" s="124">
        <v>0</v>
      </c>
      <c r="L270" s="124">
        <v>0</v>
      </c>
      <c r="M270" s="124">
        <v>1</v>
      </c>
      <c r="N270" s="124">
        <v>0</v>
      </c>
      <c r="O270" s="124">
        <v>0</v>
      </c>
      <c r="P270" s="124">
        <v>0</v>
      </c>
      <c r="Q270" s="124">
        <v>0</v>
      </c>
      <c r="R270" s="124">
        <v>0</v>
      </c>
      <c r="S270" s="124">
        <v>0</v>
      </c>
      <c r="T270" s="124">
        <v>1</v>
      </c>
      <c r="U270" s="124">
        <v>0</v>
      </c>
      <c r="V270" s="124">
        <v>0</v>
      </c>
      <c r="W270" s="123">
        <v>82.5</v>
      </c>
      <c r="X270" s="123">
        <v>1.4999999999999999E-2</v>
      </c>
      <c r="Y270" s="123">
        <v>7</v>
      </c>
      <c r="Z270" s="122">
        <v>2631.5</v>
      </c>
      <c r="AA270" s="122">
        <v>441.84240000000005</v>
      </c>
      <c r="AB270" s="122">
        <v>375.92857142857144</v>
      </c>
      <c r="AC270" s="122">
        <v>63.120342857142866</v>
      </c>
    </row>
    <row r="271" spans="1:29" x14ac:dyDescent="0.35">
      <c r="A271" s="120">
        <v>45425</v>
      </c>
      <c r="B271" s="124">
        <v>0</v>
      </c>
      <c r="C271" s="124">
        <v>0</v>
      </c>
      <c r="D271" s="124">
        <v>1</v>
      </c>
      <c r="E271" s="124">
        <v>0</v>
      </c>
      <c r="F271" s="124">
        <v>0</v>
      </c>
      <c r="G271" s="124">
        <v>0</v>
      </c>
      <c r="H271" s="124">
        <v>0</v>
      </c>
      <c r="I271" s="124">
        <v>0</v>
      </c>
      <c r="J271" s="124">
        <v>0</v>
      </c>
      <c r="K271" s="124">
        <v>0</v>
      </c>
      <c r="L271" s="124">
        <v>0</v>
      </c>
      <c r="M271" s="124">
        <v>1</v>
      </c>
      <c r="N271" s="124">
        <v>0</v>
      </c>
      <c r="O271" s="124">
        <v>0</v>
      </c>
      <c r="P271" s="124">
        <v>0</v>
      </c>
      <c r="Q271" s="124">
        <v>0</v>
      </c>
      <c r="R271" s="124">
        <v>0</v>
      </c>
      <c r="S271" s="124">
        <v>0</v>
      </c>
      <c r="T271" s="124">
        <v>0</v>
      </c>
      <c r="U271" s="124">
        <v>0</v>
      </c>
      <c r="V271" s="124">
        <v>1</v>
      </c>
      <c r="W271" s="123">
        <v>87.7</v>
      </c>
      <c r="X271" s="123">
        <v>5.3999999999999999E-2</v>
      </c>
      <c r="Y271" s="123">
        <v>0</v>
      </c>
      <c r="Z271" s="122">
        <v>390.5</v>
      </c>
      <c r="AA271" s="122">
        <v>68.12</v>
      </c>
      <c r="AB271" s="122">
        <v>0</v>
      </c>
      <c r="AC271" s="122">
        <v>0</v>
      </c>
    </row>
    <row r="272" spans="1:29" x14ac:dyDescent="0.35">
      <c r="A272" s="120">
        <v>45427</v>
      </c>
      <c r="B272" s="124">
        <v>1</v>
      </c>
      <c r="C272" s="124">
        <v>0</v>
      </c>
      <c r="D272" s="124">
        <v>0</v>
      </c>
      <c r="E272" s="124">
        <v>1</v>
      </c>
      <c r="F272" s="124">
        <v>0</v>
      </c>
      <c r="G272" s="124">
        <v>0</v>
      </c>
      <c r="H272" s="124">
        <v>0</v>
      </c>
      <c r="I272" s="124">
        <v>0</v>
      </c>
      <c r="J272" s="124">
        <v>0</v>
      </c>
      <c r="K272" s="124">
        <v>0</v>
      </c>
      <c r="L272" s="124">
        <v>0</v>
      </c>
      <c r="M272" s="124">
        <v>1</v>
      </c>
      <c r="N272" s="124">
        <v>0</v>
      </c>
      <c r="O272" s="124">
        <v>0</v>
      </c>
      <c r="P272" s="124">
        <v>0</v>
      </c>
      <c r="Q272" s="124">
        <v>0</v>
      </c>
      <c r="R272" s="124">
        <v>0</v>
      </c>
      <c r="S272" s="124">
        <v>0</v>
      </c>
      <c r="T272" s="124">
        <v>0</v>
      </c>
      <c r="U272" s="124">
        <v>0</v>
      </c>
      <c r="V272" s="124">
        <v>1</v>
      </c>
      <c r="W272" s="123">
        <v>91.4</v>
      </c>
      <c r="X272" s="123">
        <v>0</v>
      </c>
      <c r="Y272" s="123">
        <v>4.3666666666666663</v>
      </c>
      <c r="Z272" s="122">
        <v>904</v>
      </c>
      <c r="AA272" s="122">
        <v>151.49395200000001</v>
      </c>
      <c r="AB272" s="122">
        <v>207.02290076335879</v>
      </c>
      <c r="AC272" s="122">
        <v>34.693271450381687</v>
      </c>
    </row>
    <row r="273" spans="1:29" x14ac:dyDescent="0.35">
      <c r="A273" s="120">
        <v>45428</v>
      </c>
      <c r="B273" s="124">
        <v>1</v>
      </c>
      <c r="C273" s="124">
        <v>0</v>
      </c>
      <c r="D273" s="124">
        <v>0</v>
      </c>
      <c r="E273" s="124">
        <v>0</v>
      </c>
      <c r="F273" s="124">
        <v>1</v>
      </c>
      <c r="G273" s="124">
        <v>0</v>
      </c>
      <c r="H273" s="124">
        <v>0</v>
      </c>
      <c r="I273" s="124">
        <v>0</v>
      </c>
      <c r="J273" s="124">
        <v>0</v>
      </c>
      <c r="K273" s="124">
        <v>0</v>
      </c>
      <c r="L273" s="124">
        <v>0</v>
      </c>
      <c r="M273" s="124">
        <v>1</v>
      </c>
      <c r="N273" s="124">
        <v>0</v>
      </c>
      <c r="O273" s="124">
        <v>0</v>
      </c>
      <c r="P273" s="124">
        <v>0</v>
      </c>
      <c r="Q273" s="124">
        <v>0</v>
      </c>
      <c r="R273" s="124">
        <v>0</v>
      </c>
      <c r="S273" s="124">
        <v>0</v>
      </c>
      <c r="T273" s="124">
        <v>0</v>
      </c>
      <c r="U273" s="124">
        <v>0</v>
      </c>
      <c r="V273" s="124">
        <v>1</v>
      </c>
      <c r="W273" s="123">
        <v>80.7</v>
      </c>
      <c r="X273" s="123">
        <v>4.9000000000000002E-2</v>
      </c>
      <c r="Y273" s="123">
        <v>5</v>
      </c>
      <c r="Z273" s="122">
        <v>1066.5</v>
      </c>
      <c r="AA273" s="122">
        <v>158.003232</v>
      </c>
      <c r="AB273" s="122">
        <v>213.3</v>
      </c>
      <c r="AC273" s="122">
        <v>31.600646399999999</v>
      </c>
    </row>
    <row r="274" spans="1:29" x14ac:dyDescent="0.35">
      <c r="A274" s="120">
        <v>45430</v>
      </c>
      <c r="B274" s="124">
        <v>0</v>
      </c>
      <c r="C274" s="124">
        <v>0</v>
      </c>
      <c r="D274" s="124">
        <v>0</v>
      </c>
      <c r="E274" s="124">
        <v>0</v>
      </c>
      <c r="F274" s="124">
        <v>0</v>
      </c>
      <c r="G274" s="124">
        <v>0</v>
      </c>
      <c r="H274" s="124">
        <v>1</v>
      </c>
      <c r="I274" s="124">
        <v>0</v>
      </c>
      <c r="J274" s="124">
        <v>0</v>
      </c>
      <c r="K274" s="124">
        <v>0</v>
      </c>
      <c r="L274" s="124">
        <v>0</v>
      </c>
      <c r="M274" s="124">
        <v>1</v>
      </c>
      <c r="N274" s="124">
        <v>0</v>
      </c>
      <c r="O274" s="124">
        <v>0</v>
      </c>
      <c r="P274" s="124">
        <v>0</v>
      </c>
      <c r="Q274" s="124">
        <v>0</v>
      </c>
      <c r="R274" s="124">
        <v>0</v>
      </c>
      <c r="S274" s="124">
        <v>0</v>
      </c>
      <c r="T274" s="124">
        <v>0</v>
      </c>
      <c r="U274" s="124">
        <v>0</v>
      </c>
      <c r="V274" s="124">
        <v>1</v>
      </c>
      <c r="W274" s="123">
        <v>89.6</v>
      </c>
      <c r="X274" s="123">
        <v>0</v>
      </c>
      <c r="Y274" s="123">
        <v>0</v>
      </c>
      <c r="Z274" s="122">
        <v>1385.5</v>
      </c>
      <c r="AA274" s="122">
        <v>158.691464</v>
      </c>
      <c r="AB274" s="122">
        <v>0</v>
      </c>
      <c r="AC274" s="122">
        <v>0</v>
      </c>
    </row>
    <row r="275" spans="1:29" x14ac:dyDescent="0.35">
      <c r="A275" s="120">
        <v>45430</v>
      </c>
      <c r="B275" s="124">
        <v>1</v>
      </c>
      <c r="C275" s="124">
        <v>0</v>
      </c>
      <c r="D275" s="124">
        <v>0</v>
      </c>
      <c r="E275" s="124">
        <v>0</v>
      </c>
      <c r="F275" s="124">
        <v>0</v>
      </c>
      <c r="G275" s="124">
        <v>0</v>
      </c>
      <c r="H275" s="124">
        <v>1</v>
      </c>
      <c r="I275" s="124">
        <v>0</v>
      </c>
      <c r="J275" s="124">
        <v>0</v>
      </c>
      <c r="K275" s="124">
        <v>0</v>
      </c>
      <c r="L275" s="124">
        <v>0</v>
      </c>
      <c r="M275" s="124">
        <v>1</v>
      </c>
      <c r="N275" s="124">
        <v>0</v>
      </c>
      <c r="O275" s="124">
        <v>0</v>
      </c>
      <c r="P275" s="124">
        <v>0</v>
      </c>
      <c r="Q275" s="124">
        <v>0</v>
      </c>
      <c r="R275" s="124">
        <v>0</v>
      </c>
      <c r="S275" s="124">
        <v>0</v>
      </c>
      <c r="T275" s="124">
        <v>1</v>
      </c>
      <c r="U275" s="124">
        <v>0</v>
      </c>
      <c r="V275" s="124">
        <v>1</v>
      </c>
      <c r="W275" s="123">
        <v>89.6</v>
      </c>
      <c r="X275" s="123">
        <v>0</v>
      </c>
      <c r="Y275" s="123">
        <v>5.2833333333333332</v>
      </c>
      <c r="Z275" s="122">
        <v>1555</v>
      </c>
      <c r="AA275" s="122">
        <v>280.04757199999995</v>
      </c>
      <c r="AB275" s="122">
        <v>294.32176656151421</v>
      </c>
      <c r="AC275" s="122">
        <v>53.005849589905353</v>
      </c>
    </row>
    <row r="276" spans="1:29" x14ac:dyDescent="0.35">
      <c r="A276" s="120">
        <v>45431</v>
      </c>
      <c r="B276" s="124">
        <v>0</v>
      </c>
      <c r="C276" s="124">
        <v>1</v>
      </c>
      <c r="D276" s="124">
        <v>0</v>
      </c>
      <c r="E276" s="124">
        <v>0</v>
      </c>
      <c r="F276" s="124">
        <v>0</v>
      </c>
      <c r="G276" s="124">
        <v>0</v>
      </c>
      <c r="H276" s="124">
        <v>0</v>
      </c>
      <c r="I276" s="124">
        <v>0</v>
      </c>
      <c r="J276" s="124">
        <v>0</v>
      </c>
      <c r="K276" s="124">
        <v>0</v>
      </c>
      <c r="L276" s="124">
        <v>0</v>
      </c>
      <c r="M276" s="124">
        <v>1</v>
      </c>
      <c r="N276" s="124">
        <v>0</v>
      </c>
      <c r="O276" s="124">
        <v>0</v>
      </c>
      <c r="P276" s="124">
        <v>0</v>
      </c>
      <c r="Q276" s="124">
        <v>0</v>
      </c>
      <c r="R276" s="124">
        <v>0</v>
      </c>
      <c r="S276" s="124">
        <v>0</v>
      </c>
      <c r="T276" s="124">
        <v>1</v>
      </c>
      <c r="U276" s="124">
        <v>0</v>
      </c>
      <c r="V276" s="124">
        <v>1</v>
      </c>
      <c r="W276" s="123">
        <v>89.6</v>
      </c>
      <c r="X276" s="123">
        <v>0</v>
      </c>
      <c r="Y276" s="123">
        <v>4.833333333333333</v>
      </c>
      <c r="Z276" s="122">
        <v>525</v>
      </c>
      <c r="AA276" s="122">
        <v>103.512664</v>
      </c>
      <c r="AB276" s="122">
        <v>108.62068965517243</v>
      </c>
      <c r="AC276" s="122">
        <v>21.416413241379313</v>
      </c>
    </row>
    <row r="277" spans="1:29" x14ac:dyDescent="0.35">
      <c r="A277" s="120">
        <v>45431</v>
      </c>
      <c r="B277" s="124">
        <v>1</v>
      </c>
      <c r="C277" s="124">
        <v>1</v>
      </c>
      <c r="D277" s="124">
        <v>0</v>
      </c>
      <c r="E277" s="124">
        <v>0</v>
      </c>
      <c r="F277" s="124">
        <v>0</v>
      </c>
      <c r="G277" s="124">
        <v>0</v>
      </c>
      <c r="H277" s="124">
        <v>0</v>
      </c>
      <c r="I277" s="124">
        <v>0</v>
      </c>
      <c r="J277" s="124">
        <v>0</v>
      </c>
      <c r="K277" s="124">
        <v>0</v>
      </c>
      <c r="L277" s="124">
        <v>0</v>
      </c>
      <c r="M277" s="124">
        <v>1</v>
      </c>
      <c r="N277" s="124">
        <v>0</v>
      </c>
      <c r="O277" s="124">
        <v>0</v>
      </c>
      <c r="P277" s="124">
        <v>0</v>
      </c>
      <c r="Q277" s="124">
        <v>0</v>
      </c>
      <c r="R277" s="124">
        <v>0</v>
      </c>
      <c r="S277" s="124">
        <v>0</v>
      </c>
      <c r="T277" s="124">
        <v>1</v>
      </c>
      <c r="U277" s="124">
        <v>0</v>
      </c>
      <c r="V277" s="124">
        <v>1</v>
      </c>
      <c r="W277" s="123">
        <v>89.6</v>
      </c>
      <c r="X277" s="123">
        <v>0</v>
      </c>
      <c r="Y277" s="123">
        <v>4.8833333333333337</v>
      </c>
      <c r="Z277" s="122">
        <v>1435</v>
      </c>
      <c r="AA277" s="122">
        <v>213.52000400000003</v>
      </c>
      <c r="AB277" s="122">
        <v>293.85665529010237</v>
      </c>
      <c r="AC277" s="122">
        <v>43.724232901023896</v>
      </c>
    </row>
    <row r="278" spans="1:29" x14ac:dyDescent="0.35">
      <c r="A278" s="120">
        <v>45432</v>
      </c>
      <c r="B278" s="124">
        <v>1</v>
      </c>
      <c r="C278" s="124">
        <v>0</v>
      </c>
      <c r="D278" s="124">
        <v>1</v>
      </c>
      <c r="E278" s="124">
        <v>0</v>
      </c>
      <c r="F278" s="124">
        <v>0</v>
      </c>
      <c r="G278" s="124">
        <v>0</v>
      </c>
      <c r="H278" s="124">
        <v>0</v>
      </c>
      <c r="I278" s="124">
        <v>0</v>
      </c>
      <c r="J278" s="124">
        <v>0</v>
      </c>
      <c r="K278" s="124">
        <v>0</v>
      </c>
      <c r="L278" s="124">
        <v>0</v>
      </c>
      <c r="M278" s="124">
        <v>1</v>
      </c>
      <c r="N278" s="124">
        <v>0</v>
      </c>
      <c r="O278" s="124">
        <v>0</v>
      </c>
      <c r="P278" s="124">
        <v>0</v>
      </c>
      <c r="Q278" s="124">
        <v>0</v>
      </c>
      <c r="R278" s="124">
        <v>0</v>
      </c>
      <c r="S278" s="124">
        <v>0</v>
      </c>
      <c r="T278" s="124">
        <v>0</v>
      </c>
      <c r="U278" s="124">
        <v>0</v>
      </c>
      <c r="V278" s="124">
        <v>1</v>
      </c>
      <c r="W278" s="123">
        <v>89.6</v>
      </c>
      <c r="X278" s="123">
        <v>0</v>
      </c>
      <c r="Y278" s="123">
        <v>3.95</v>
      </c>
      <c r="Z278" s="122">
        <v>57</v>
      </c>
      <c r="AA278" s="122">
        <v>132.661508</v>
      </c>
      <c r="AB278" s="122">
        <v>14.430379746835442</v>
      </c>
      <c r="AC278" s="122">
        <v>33.585191898734173</v>
      </c>
    </row>
    <row r="279" spans="1:29" x14ac:dyDescent="0.35">
      <c r="A279" s="120">
        <v>45434</v>
      </c>
      <c r="B279" s="124">
        <v>1</v>
      </c>
      <c r="C279" s="124">
        <v>0</v>
      </c>
      <c r="D279" s="124">
        <v>0</v>
      </c>
      <c r="E279" s="124">
        <v>1</v>
      </c>
      <c r="F279" s="124">
        <v>0</v>
      </c>
      <c r="G279" s="124">
        <v>0</v>
      </c>
      <c r="H279" s="124">
        <v>0</v>
      </c>
      <c r="I279" s="124">
        <v>0</v>
      </c>
      <c r="J279" s="124">
        <v>0</v>
      </c>
      <c r="K279" s="124">
        <v>0</v>
      </c>
      <c r="L279" s="124">
        <v>0</v>
      </c>
      <c r="M279" s="124">
        <v>1</v>
      </c>
      <c r="N279" s="124">
        <v>0</v>
      </c>
      <c r="O279" s="124">
        <v>0</v>
      </c>
      <c r="P279" s="124">
        <v>0</v>
      </c>
      <c r="Q279" s="124">
        <v>0</v>
      </c>
      <c r="R279" s="124">
        <v>0</v>
      </c>
      <c r="S279" s="124">
        <v>0</v>
      </c>
      <c r="T279" s="124">
        <v>0</v>
      </c>
      <c r="U279" s="124">
        <v>0</v>
      </c>
      <c r="V279" s="124">
        <v>1</v>
      </c>
      <c r="W279" s="123">
        <v>87.8</v>
      </c>
      <c r="X279" s="123">
        <v>0</v>
      </c>
      <c r="Y279" s="123">
        <v>6.0166666666666666</v>
      </c>
      <c r="Z279" s="122">
        <v>1368</v>
      </c>
      <c r="AA279" s="122">
        <v>236.30309999999997</v>
      </c>
      <c r="AB279" s="122">
        <v>227.36842105263159</v>
      </c>
      <c r="AC279" s="122">
        <v>39.274753462603876</v>
      </c>
    </row>
    <row r="280" spans="1:29" x14ac:dyDescent="0.35">
      <c r="A280" s="120">
        <v>45435</v>
      </c>
      <c r="B280" s="124">
        <v>1</v>
      </c>
      <c r="C280" s="124">
        <v>0</v>
      </c>
      <c r="D280" s="124">
        <v>0</v>
      </c>
      <c r="E280" s="124">
        <v>0</v>
      </c>
      <c r="F280" s="124">
        <v>1</v>
      </c>
      <c r="G280" s="124">
        <v>0</v>
      </c>
      <c r="H280" s="124">
        <v>0</v>
      </c>
      <c r="I280" s="124">
        <v>0</v>
      </c>
      <c r="J280" s="124">
        <v>0</v>
      </c>
      <c r="K280" s="124">
        <v>0</v>
      </c>
      <c r="L280" s="124">
        <v>0</v>
      </c>
      <c r="M280" s="124">
        <v>1</v>
      </c>
      <c r="N280" s="124">
        <v>0</v>
      </c>
      <c r="O280" s="124">
        <v>0</v>
      </c>
      <c r="P280" s="124">
        <v>0</v>
      </c>
      <c r="Q280" s="124">
        <v>0</v>
      </c>
      <c r="R280" s="124">
        <v>0</v>
      </c>
      <c r="S280" s="124">
        <v>0</v>
      </c>
      <c r="T280" s="124">
        <v>0</v>
      </c>
      <c r="U280" s="124">
        <v>0</v>
      </c>
      <c r="V280" s="124">
        <v>0</v>
      </c>
      <c r="W280" s="123">
        <v>89.7</v>
      </c>
      <c r="X280" s="123">
        <v>0</v>
      </c>
      <c r="Y280" s="123">
        <v>4.833333333333333</v>
      </c>
      <c r="Z280" s="122">
        <v>1300.5</v>
      </c>
      <c r="AA280" s="122">
        <v>210.908976</v>
      </c>
      <c r="AB280" s="122">
        <v>269.06896551724139</v>
      </c>
      <c r="AC280" s="122">
        <v>43.636339862068965</v>
      </c>
    </row>
    <row r="281" spans="1:29" x14ac:dyDescent="0.35">
      <c r="A281" s="120">
        <v>45436</v>
      </c>
      <c r="B281" s="124">
        <v>0</v>
      </c>
      <c r="C281" s="124">
        <v>0</v>
      </c>
      <c r="D281" s="124">
        <v>0</v>
      </c>
      <c r="E281" s="124">
        <v>0</v>
      </c>
      <c r="F281" s="124">
        <v>0</v>
      </c>
      <c r="G281" s="124">
        <v>1</v>
      </c>
      <c r="H281" s="124">
        <v>0</v>
      </c>
      <c r="I281" s="124">
        <v>0</v>
      </c>
      <c r="J281" s="124">
        <v>0</v>
      </c>
      <c r="K281" s="124">
        <v>0</v>
      </c>
      <c r="L281" s="124">
        <v>0</v>
      </c>
      <c r="M281" s="124">
        <v>1</v>
      </c>
      <c r="N281" s="124">
        <v>0</v>
      </c>
      <c r="O281" s="124">
        <v>0</v>
      </c>
      <c r="P281" s="124">
        <v>0</v>
      </c>
      <c r="Q281" s="124">
        <v>0</v>
      </c>
      <c r="R281" s="124">
        <v>0</v>
      </c>
      <c r="S281" s="124">
        <v>0</v>
      </c>
      <c r="T281" s="124">
        <v>0</v>
      </c>
      <c r="U281" s="124">
        <v>0</v>
      </c>
      <c r="V281" s="124">
        <v>0</v>
      </c>
      <c r="W281" s="123">
        <v>87.9</v>
      </c>
      <c r="X281" s="123">
        <v>0</v>
      </c>
      <c r="Y281" s="123">
        <v>3.5833333333333335</v>
      </c>
      <c r="Z281" s="122">
        <v>571</v>
      </c>
      <c r="AA281" s="122">
        <v>92.010459999999995</v>
      </c>
      <c r="AB281" s="122">
        <v>159.34883720930233</v>
      </c>
      <c r="AC281" s="122">
        <v>25.677337674418602</v>
      </c>
    </row>
    <row r="282" spans="1:29" x14ac:dyDescent="0.35">
      <c r="A282" s="120">
        <v>45436</v>
      </c>
      <c r="B282" s="124">
        <v>1</v>
      </c>
      <c r="C282" s="124">
        <v>0</v>
      </c>
      <c r="D282" s="124">
        <v>0</v>
      </c>
      <c r="E282" s="124">
        <v>0</v>
      </c>
      <c r="F282" s="124">
        <v>0</v>
      </c>
      <c r="G282" s="124">
        <v>1</v>
      </c>
      <c r="H282" s="124">
        <v>0</v>
      </c>
      <c r="I282" s="124">
        <v>0</v>
      </c>
      <c r="J282" s="124">
        <v>0</v>
      </c>
      <c r="K282" s="124">
        <v>0</v>
      </c>
      <c r="L282" s="124">
        <v>0</v>
      </c>
      <c r="M282" s="124">
        <v>1</v>
      </c>
      <c r="N282" s="124">
        <v>0</v>
      </c>
      <c r="O282" s="124">
        <v>0</v>
      </c>
      <c r="P282" s="124">
        <v>0</v>
      </c>
      <c r="Q282" s="124">
        <v>0</v>
      </c>
      <c r="R282" s="124">
        <v>0</v>
      </c>
      <c r="S282" s="124">
        <v>0</v>
      </c>
      <c r="T282" s="124">
        <v>1</v>
      </c>
      <c r="U282" s="124">
        <v>0</v>
      </c>
      <c r="V282" s="124">
        <v>0</v>
      </c>
      <c r="W282" s="123">
        <v>87.9</v>
      </c>
      <c r="X282" s="123">
        <v>0</v>
      </c>
      <c r="Y282" s="123">
        <v>5.1166666666666663</v>
      </c>
      <c r="Z282" s="122">
        <v>1434.5</v>
      </c>
      <c r="AA282" s="122">
        <v>223.43648400000001</v>
      </c>
      <c r="AB282" s="122">
        <v>280.3583061889251</v>
      </c>
      <c r="AC282" s="122">
        <v>43.668368208469062</v>
      </c>
    </row>
    <row r="283" spans="1:29" x14ac:dyDescent="0.35">
      <c r="A283" s="120">
        <v>45437</v>
      </c>
      <c r="B283" s="124">
        <v>0</v>
      </c>
      <c r="C283" s="124">
        <v>0</v>
      </c>
      <c r="D283" s="124">
        <v>0</v>
      </c>
      <c r="E283" s="124">
        <v>0</v>
      </c>
      <c r="F283" s="124">
        <v>0</v>
      </c>
      <c r="G283" s="124">
        <v>0</v>
      </c>
      <c r="H283" s="124">
        <v>1</v>
      </c>
      <c r="I283" s="124">
        <v>0</v>
      </c>
      <c r="J283" s="124">
        <v>0</v>
      </c>
      <c r="K283" s="124">
        <v>0</v>
      </c>
      <c r="L283" s="124">
        <v>0</v>
      </c>
      <c r="M283" s="124">
        <v>1</v>
      </c>
      <c r="N283" s="124">
        <v>0</v>
      </c>
      <c r="O283" s="124">
        <v>0</v>
      </c>
      <c r="P283" s="124">
        <v>0</v>
      </c>
      <c r="Q283" s="124">
        <v>0</v>
      </c>
      <c r="R283" s="124">
        <v>0</v>
      </c>
      <c r="S283" s="124">
        <v>0</v>
      </c>
      <c r="T283" s="124">
        <v>1</v>
      </c>
      <c r="U283" s="124">
        <v>0</v>
      </c>
      <c r="V283" s="124">
        <v>0</v>
      </c>
      <c r="W283" s="123">
        <v>91.5</v>
      </c>
      <c r="X283" s="123">
        <v>0</v>
      </c>
      <c r="Y283" s="123">
        <v>4.0999999999999996</v>
      </c>
      <c r="Z283" s="122">
        <v>943.5</v>
      </c>
      <c r="AA283" s="122">
        <v>138.638608</v>
      </c>
      <c r="AB283" s="122">
        <v>230.12195121951223</v>
      </c>
      <c r="AC283" s="122">
        <v>33.814294634146343</v>
      </c>
    </row>
    <row r="284" spans="1:29" x14ac:dyDescent="0.35">
      <c r="A284" s="120">
        <v>45437</v>
      </c>
      <c r="B284" s="124">
        <v>1</v>
      </c>
      <c r="C284" s="124">
        <v>0</v>
      </c>
      <c r="D284" s="124">
        <v>0</v>
      </c>
      <c r="E284" s="124">
        <v>0</v>
      </c>
      <c r="F284" s="124">
        <v>0</v>
      </c>
      <c r="G284" s="124">
        <v>0</v>
      </c>
      <c r="H284" s="124">
        <v>1</v>
      </c>
      <c r="I284" s="124">
        <v>0</v>
      </c>
      <c r="J284" s="124">
        <v>0</v>
      </c>
      <c r="K284" s="124">
        <v>0</v>
      </c>
      <c r="L284" s="124">
        <v>0</v>
      </c>
      <c r="M284" s="124">
        <v>1</v>
      </c>
      <c r="N284" s="124">
        <v>0</v>
      </c>
      <c r="O284" s="124">
        <v>0</v>
      </c>
      <c r="P284" s="124">
        <v>0</v>
      </c>
      <c r="Q284" s="124">
        <v>0</v>
      </c>
      <c r="R284" s="124">
        <v>0</v>
      </c>
      <c r="S284" s="124">
        <v>0</v>
      </c>
      <c r="T284" s="124">
        <v>1</v>
      </c>
      <c r="U284" s="124">
        <v>0</v>
      </c>
      <c r="V284" s="124">
        <v>0</v>
      </c>
      <c r="W284" s="123">
        <v>91.5</v>
      </c>
      <c r="X284" s="123">
        <v>0</v>
      </c>
      <c r="Y284" s="123">
        <v>4.0999999999999996</v>
      </c>
      <c r="Z284" s="122">
        <v>943.5</v>
      </c>
      <c r="AA284" s="122">
        <v>138.638608</v>
      </c>
      <c r="AB284" s="122">
        <v>230.12195121951223</v>
      </c>
      <c r="AC284" s="122">
        <v>33.814294634146343</v>
      </c>
    </row>
    <row r="285" spans="1:29" x14ac:dyDescent="0.35">
      <c r="A285" s="120">
        <v>45438</v>
      </c>
      <c r="B285" s="124">
        <v>0</v>
      </c>
      <c r="C285" s="124">
        <v>1</v>
      </c>
      <c r="D285" s="124">
        <v>0</v>
      </c>
      <c r="E285" s="124">
        <v>0</v>
      </c>
      <c r="F285" s="124">
        <v>0</v>
      </c>
      <c r="G285" s="124">
        <v>0</v>
      </c>
      <c r="H285" s="124">
        <v>0</v>
      </c>
      <c r="I285" s="124">
        <v>0</v>
      </c>
      <c r="J285" s="124">
        <v>0</v>
      </c>
      <c r="K285" s="124">
        <v>0</v>
      </c>
      <c r="L285" s="124">
        <v>0</v>
      </c>
      <c r="M285" s="124">
        <v>1</v>
      </c>
      <c r="N285" s="124">
        <v>0</v>
      </c>
      <c r="O285" s="124">
        <v>0</v>
      </c>
      <c r="P285" s="124">
        <v>0</v>
      </c>
      <c r="Q285" s="124">
        <v>0</v>
      </c>
      <c r="R285" s="124">
        <v>0</v>
      </c>
      <c r="S285" s="124">
        <v>0</v>
      </c>
      <c r="T285" s="124">
        <v>1</v>
      </c>
      <c r="U285" s="124">
        <v>0</v>
      </c>
      <c r="V285" s="124">
        <v>0</v>
      </c>
      <c r="W285" s="123">
        <v>89.7</v>
      </c>
      <c r="X285" s="123">
        <v>0</v>
      </c>
      <c r="Y285" s="123">
        <v>3.6666666666666665</v>
      </c>
      <c r="Z285" s="122">
        <v>613.5</v>
      </c>
      <c r="AA285" s="122">
        <v>110.51574399999998</v>
      </c>
      <c r="AB285" s="122">
        <v>167.31818181818181</v>
      </c>
      <c r="AC285" s="122">
        <v>30.140657454545451</v>
      </c>
    </row>
    <row r="286" spans="1:29" x14ac:dyDescent="0.35">
      <c r="A286" s="120">
        <v>45444</v>
      </c>
      <c r="B286" s="124">
        <v>0</v>
      </c>
      <c r="C286" s="124">
        <v>0</v>
      </c>
      <c r="D286" s="124">
        <v>0</v>
      </c>
      <c r="E286" s="124">
        <v>0</v>
      </c>
      <c r="F286" s="124">
        <v>0</v>
      </c>
      <c r="G286" s="124">
        <v>0</v>
      </c>
      <c r="H286" s="124">
        <v>1</v>
      </c>
      <c r="I286" s="124">
        <v>0</v>
      </c>
      <c r="J286" s="124">
        <v>0</v>
      </c>
      <c r="K286" s="124">
        <v>0</v>
      </c>
      <c r="L286" s="124">
        <v>0</v>
      </c>
      <c r="M286" s="124">
        <v>0</v>
      </c>
      <c r="N286" s="124">
        <v>1</v>
      </c>
      <c r="O286" s="124">
        <v>0</v>
      </c>
      <c r="P286" s="124">
        <v>0</v>
      </c>
      <c r="Q286" s="124">
        <v>0</v>
      </c>
      <c r="R286" s="124">
        <v>0</v>
      </c>
      <c r="S286" s="124">
        <v>0</v>
      </c>
      <c r="T286" s="124">
        <v>1</v>
      </c>
      <c r="U286" s="124">
        <v>0</v>
      </c>
      <c r="V286" s="124">
        <v>1</v>
      </c>
      <c r="W286" s="123">
        <v>87.8</v>
      </c>
      <c r="X286" s="123">
        <v>6.0000000000000001E-3</v>
      </c>
      <c r="Y286" s="123">
        <v>5.4833333333333334</v>
      </c>
      <c r="Z286" s="122">
        <v>872</v>
      </c>
      <c r="AA286" s="122">
        <v>158.522908</v>
      </c>
      <c r="AB286" s="122">
        <v>159.02735562310031</v>
      </c>
      <c r="AC286" s="122">
        <v>28.90995282674772</v>
      </c>
    </row>
    <row r="287" spans="1:29" x14ac:dyDescent="0.35">
      <c r="A287" s="120">
        <v>45445</v>
      </c>
      <c r="B287" s="124">
        <v>0</v>
      </c>
      <c r="C287" s="124">
        <v>1</v>
      </c>
      <c r="D287" s="124">
        <v>0</v>
      </c>
      <c r="E287" s="124">
        <v>0</v>
      </c>
      <c r="F287" s="124">
        <v>0</v>
      </c>
      <c r="G287" s="124">
        <v>0</v>
      </c>
      <c r="H287" s="124">
        <v>0</v>
      </c>
      <c r="I287" s="124">
        <v>0</v>
      </c>
      <c r="J287" s="124">
        <v>0</v>
      </c>
      <c r="K287" s="124">
        <v>0</v>
      </c>
      <c r="L287" s="124">
        <v>0</v>
      </c>
      <c r="M287" s="124">
        <v>0</v>
      </c>
      <c r="N287" s="124">
        <v>1</v>
      </c>
      <c r="O287" s="124">
        <v>0</v>
      </c>
      <c r="P287" s="124">
        <v>0</v>
      </c>
      <c r="Q287" s="124">
        <v>0</v>
      </c>
      <c r="R287" s="124">
        <v>0</v>
      </c>
      <c r="S287" s="124">
        <v>0</v>
      </c>
      <c r="T287" s="124">
        <v>1</v>
      </c>
      <c r="U287" s="124">
        <v>0</v>
      </c>
      <c r="V287" s="124">
        <v>1</v>
      </c>
      <c r="W287" s="123">
        <v>91.4</v>
      </c>
      <c r="X287" s="123">
        <v>3.0000000000000001E-3</v>
      </c>
      <c r="Y287" s="123">
        <v>5.166666666666667</v>
      </c>
      <c r="Z287" s="122">
        <v>782</v>
      </c>
      <c r="AA287" s="122">
        <v>132.892088</v>
      </c>
      <c r="AB287" s="122">
        <v>151.35483870967741</v>
      </c>
      <c r="AC287" s="122">
        <v>25.721049290322579</v>
      </c>
    </row>
    <row r="288" spans="1:29" x14ac:dyDescent="0.35">
      <c r="A288" s="120">
        <v>45446</v>
      </c>
      <c r="B288" s="124">
        <v>1</v>
      </c>
      <c r="C288" s="124">
        <v>0</v>
      </c>
      <c r="D288" s="124">
        <v>1</v>
      </c>
      <c r="E288" s="124">
        <v>0</v>
      </c>
      <c r="F288" s="124">
        <v>0</v>
      </c>
      <c r="G288" s="124">
        <v>0</v>
      </c>
      <c r="H288" s="124">
        <v>0</v>
      </c>
      <c r="I288" s="124">
        <v>0</v>
      </c>
      <c r="J288" s="124">
        <v>0</v>
      </c>
      <c r="K288" s="124">
        <v>0</v>
      </c>
      <c r="L288" s="124">
        <v>0</v>
      </c>
      <c r="M288" s="124">
        <v>0</v>
      </c>
      <c r="N288" s="124">
        <v>1</v>
      </c>
      <c r="O288" s="124">
        <v>0</v>
      </c>
      <c r="P288" s="124">
        <v>0</v>
      </c>
      <c r="Q288" s="124">
        <v>0</v>
      </c>
      <c r="R288" s="124">
        <v>0</v>
      </c>
      <c r="S288" s="124">
        <v>0</v>
      </c>
      <c r="T288" s="124">
        <v>0</v>
      </c>
      <c r="U288" s="124">
        <v>0</v>
      </c>
      <c r="V288" s="124">
        <v>1</v>
      </c>
      <c r="W288" s="123">
        <v>87.9</v>
      </c>
      <c r="X288" s="123">
        <v>0</v>
      </c>
      <c r="Y288" s="123">
        <v>4.3666666666666663</v>
      </c>
      <c r="Z288" s="122">
        <v>586</v>
      </c>
      <c r="AA288" s="122">
        <v>99.568080000000009</v>
      </c>
      <c r="AB288" s="122">
        <v>134.19847328244276</v>
      </c>
      <c r="AC288" s="122">
        <v>22.801850381679394</v>
      </c>
    </row>
    <row r="289" spans="1:29" x14ac:dyDescent="0.35">
      <c r="A289" s="120">
        <v>45448</v>
      </c>
      <c r="B289" s="124">
        <v>1</v>
      </c>
      <c r="C289" s="124">
        <v>0</v>
      </c>
      <c r="D289" s="124">
        <v>0</v>
      </c>
      <c r="E289" s="124">
        <v>1</v>
      </c>
      <c r="F289" s="124">
        <v>0</v>
      </c>
      <c r="G289" s="124">
        <v>0</v>
      </c>
      <c r="H289" s="124">
        <v>0</v>
      </c>
      <c r="I289" s="124">
        <v>0</v>
      </c>
      <c r="J289" s="124">
        <v>0</v>
      </c>
      <c r="K289" s="124">
        <v>0</v>
      </c>
      <c r="L289" s="124">
        <v>0</v>
      </c>
      <c r="M289" s="124">
        <v>0</v>
      </c>
      <c r="N289" s="124">
        <v>1</v>
      </c>
      <c r="O289" s="124">
        <v>0</v>
      </c>
      <c r="P289" s="124">
        <v>0</v>
      </c>
      <c r="Q289" s="124">
        <v>0</v>
      </c>
      <c r="R289" s="124">
        <v>0</v>
      </c>
      <c r="S289" s="124">
        <v>0</v>
      </c>
      <c r="T289" s="124">
        <v>0</v>
      </c>
      <c r="U289" s="124">
        <v>0</v>
      </c>
      <c r="V289" s="124">
        <v>1</v>
      </c>
      <c r="W289" s="123">
        <v>84.2</v>
      </c>
      <c r="X289" s="123">
        <v>2.5000000000000001E-2</v>
      </c>
      <c r="Y289" s="123">
        <v>5.8166666666666664</v>
      </c>
      <c r="Z289" s="122">
        <v>1027</v>
      </c>
      <c r="AA289" s="122">
        <v>179.55335600000001</v>
      </c>
      <c r="AB289" s="122">
        <v>176.56160458452723</v>
      </c>
      <c r="AC289" s="122">
        <v>30.868771805157596</v>
      </c>
    </row>
    <row r="290" spans="1:29" x14ac:dyDescent="0.35">
      <c r="A290" s="120">
        <v>45449</v>
      </c>
      <c r="B290" s="124">
        <v>1</v>
      </c>
      <c r="C290" s="124">
        <v>0</v>
      </c>
      <c r="D290" s="124">
        <v>0</v>
      </c>
      <c r="E290" s="124">
        <v>0</v>
      </c>
      <c r="F290" s="124">
        <v>1</v>
      </c>
      <c r="G290" s="124">
        <v>0</v>
      </c>
      <c r="H290" s="124">
        <v>0</v>
      </c>
      <c r="I290" s="124">
        <v>0</v>
      </c>
      <c r="J290" s="124">
        <v>0</v>
      </c>
      <c r="K290" s="124">
        <v>0</v>
      </c>
      <c r="L290" s="124">
        <v>0</v>
      </c>
      <c r="M290" s="124">
        <v>0</v>
      </c>
      <c r="N290" s="124">
        <v>1</v>
      </c>
      <c r="O290" s="124">
        <v>0</v>
      </c>
      <c r="P290" s="124">
        <v>0</v>
      </c>
      <c r="Q290" s="124">
        <v>0</v>
      </c>
      <c r="R290" s="124">
        <v>0</v>
      </c>
      <c r="S290" s="124">
        <v>0</v>
      </c>
      <c r="T290" s="124">
        <v>0</v>
      </c>
      <c r="U290" s="124">
        <v>0</v>
      </c>
      <c r="V290" s="124">
        <v>0</v>
      </c>
      <c r="W290" s="123">
        <v>94.9</v>
      </c>
      <c r="X290" s="123">
        <v>0</v>
      </c>
      <c r="Y290" s="123">
        <v>5.2666666666666666</v>
      </c>
      <c r="Z290" s="122">
        <v>1121</v>
      </c>
      <c r="AA290" s="122">
        <v>211.11614399999999</v>
      </c>
      <c r="AB290" s="122">
        <v>212.84810126582278</v>
      </c>
      <c r="AC290" s="122">
        <v>40.085343797468354</v>
      </c>
    </row>
    <row r="291" spans="1:29" x14ac:dyDescent="0.35">
      <c r="A291" s="120">
        <v>45451</v>
      </c>
      <c r="B291" s="124">
        <v>0</v>
      </c>
      <c r="C291" s="124">
        <v>0</v>
      </c>
      <c r="D291" s="124">
        <v>0</v>
      </c>
      <c r="E291" s="124">
        <v>0</v>
      </c>
      <c r="F291" s="124">
        <v>0</v>
      </c>
      <c r="G291" s="124">
        <v>0</v>
      </c>
      <c r="H291" s="124">
        <v>1</v>
      </c>
      <c r="I291" s="124">
        <v>0</v>
      </c>
      <c r="J291" s="124">
        <v>0</v>
      </c>
      <c r="K291" s="124">
        <v>0</v>
      </c>
      <c r="L291" s="124">
        <v>0</v>
      </c>
      <c r="M291" s="124">
        <v>0</v>
      </c>
      <c r="N291" s="124">
        <v>1</v>
      </c>
      <c r="O291" s="124">
        <v>0</v>
      </c>
      <c r="P291" s="124">
        <v>0</v>
      </c>
      <c r="Q291" s="124">
        <v>0</v>
      </c>
      <c r="R291" s="124">
        <v>0</v>
      </c>
      <c r="S291" s="124">
        <v>0</v>
      </c>
      <c r="T291" s="124">
        <v>1</v>
      </c>
      <c r="U291" s="124">
        <v>0</v>
      </c>
      <c r="V291" s="124">
        <v>0</v>
      </c>
      <c r="W291" s="123">
        <v>91.4</v>
      </c>
      <c r="X291" s="123">
        <v>0</v>
      </c>
      <c r="Y291" s="123">
        <v>5.1166666666666663</v>
      </c>
      <c r="Z291" s="122">
        <v>1216</v>
      </c>
      <c r="AA291" s="122">
        <v>222.51209999999998</v>
      </c>
      <c r="AB291" s="122">
        <v>237.65472312703585</v>
      </c>
      <c r="AC291" s="122">
        <v>43.487706840390878</v>
      </c>
    </row>
    <row r="292" spans="1:29" x14ac:dyDescent="0.35">
      <c r="A292" s="120">
        <v>45451</v>
      </c>
      <c r="B292" s="124">
        <v>1</v>
      </c>
      <c r="C292" s="124">
        <v>0</v>
      </c>
      <c r="D292" s="124">
        <v>0</v>
      </c>
      <c r="E292" s="124">
        <v>0</v>
      </c>
      <c r="F292" s="124">
        <v>0</v>
      </c>
      <c r="G292" s="124">
        <v>0</v>
      </c>
      <c r="H292" s="124">
        <v>1</v>
      </c>
      <c r="I292" s="124">
        <v>0</v>
      </c>
      <c r="J292" s="124">
        <v>0</v>
      </c>
      <c r="K292" s="124">
        <v>0</v>
      </c>
      <c r="L292" s="124">
        <v>0</v>
      </c>
      <c r="M292" s="124">
        <v>0</v>
      </c>
      <c r="N292" s="124">
        <v>1</v>
      </c>
      <c r="O292" s="124">
        <v>0</v>
      </c>
      <c r="P292" s="124">
        <v>0</v>
      </c>
      <c r="Q292" s="124">
        <v>0</v>
      </c>
      <c r="R292" s="124">
        <v>0</v>
      </c>
      <c r="S292" s="124">
        <v>0</v>
      </c>
      <c r="T292" s="124">
        <v>1</v>
      </c>
      <c r="U292" s="124">
        <v>0</v>
      </c>
      <c r="V292" s="124">
        <v>0</v>
      </c>
      <c r="W292" s="123">
        <v>91.4</v>
      </c>
      <c r="X292" s="123">
        <v>0</v>
      </c>
      <c r="Y292" s="123">
        <v>4.0333333333333332</v>
      </c>
      <c r="Z292" s="122">
        <v>1351</v>
      </c>
      <c r="AA292" s="122">
        <v>237.050104</v>
      </c>
      <c r="AB292" s="122">
        <v>334.95867768595042</v>
      </c>
      <c r="AC292" s="122">
        <v>58.77275305785124</v>
      </c>
    </row>
    <row r="293" spans="1:29" x14ac:dyDescent="0.35">
      <c r="A293" s="120">
        <v>45452</v>
      </c>
      <c r="B293" s="124">
        <v>0</v>
      </c>
      <c r="C293" s="124">
        <v>1</v>
      </c>
      <c r="D293" s="124">
        <v>0</v>
      </c>
      <c r="E293" s="124">
        <v>0</v>
      </c>
      <c r="F293" s="124">
        <v>0</v>
      </c>
      <c r="G293" s="124">
        <v>0</v>
      </c>
      <c r="H293" s="124">
        <v>0</v>
      </c>
      <c r="I293" s="124">
        <v>0</v>
      </c>
      <c r="J293" s="124">
        <v>0</v>
      </c>
      <c r="K293" s="124">
        <v>0</v>
      </c>
      <c r="L293" s="124">
        <v>0</v>
      </c>
      <c r="M293" s="124">
        <v>0</v>
      </c>
      <c r="N293" s="124">
        <v>1</v>
      </c>
      <c r="O293" s="124">
        <v>0</v>
      </c>
      <c r="P293" s="124">
        <v>0</v>
      </c>
      <c r="Q293" s="124">
        <v>0</v>
      </c>
      <c r="R293" s="124">
        <v>0</v>
      </c>
      <c r="S293" s="124">
        <v>0</v>
      </c>
      <c r="T293" s="124">
        <v>1</v>
      </c>
      <c r="U293" s="124">
        <v>0</v>
      </c>
      <c r="V293" s="124">
        <v>0</v>
      </c>
      <c r="W293" s="123">
        <v>89.5</v>
      </c>
      <c r="X293" s="123">
        <v>0</v>
      </c>
      <c r="Y293" s="123">
        <v>4.0166666666666666</v>
      </c>
      <c r="Z293" s="122">
        <v>615.5</v>
      </c>
      <c r="AA293" s="122">
        <v>111.141576</v>
      </c>
      <c r="AB293" s="122">
        <v>153.23651452282158</v>
      </c>
      <c r="AC293" s="122">
        <v>27.670101908713693</v>
      </c>
    </row>
    <row r="294" spans="1:29" x14ac:dyDescent="0.35">
      <c r="A294" s="120">
        <v>45452</v>
      </c>
      <c r="B294" s="124">
        <v>1</v>
      </c>
      <c r="C294" s="124">
        <v>1</v>
      </c>
      <c r="D294" s="124">
        <v>0</v>
      </c>
      <c r="E294" s="124">
        <v>0</v>
      </c>
      <c r="F294" s="124">
        <v>0</v>
      </c>
      <c r="G294" s="124">
        <v>0</v>
      </c>
      <c r="H294" s="124">
        <v>0</v>
      </c>
      <c r="I294" s="124">
        <v>0</v>
      </c>
      <c r="J294" s="124">
        <v>0</v>
      </c>
      <c r="K294" s="124">
        <v>0</v>
      </c>
      <c r="L294" s="124">
        <v>0</v>
      </c>
      <c r="M294" s="124">
        <v>0</v>
      </c>
      <c r="N294" s="124">
        <v>1</v>
      </c>
      <c r="O294" s="124">
        <v>0</v>
      </c>
      <c r="P294" s="124">
        <v>0</v>
      </c>
      <c r="Q294" s="124">
        <v>0</v>
      </c>
      <c r="R294" s="124">
        <v>0</v>
      </c>
      <c r="S294" s="124">
        <v>0</v>
      </c>
      <c r="T294" s="124">
        <v>1</v>
      </c>
      <c r="U294" s="124">
        <v>0</v>
      </c>
      <c r="V294" s="124">
        <v>0</v>
      </c>
      <c r="W294" s="123">
        <v>89.5</v>
      </c>
      <c r="X294" s="123">
        <v>0</v>
      </c>
      <c r="Y294" s="123">
        <v>4.0166666666666666</v>
      </c>
      <c r="Z294" s="122">
        <v>615.5</v>
      </c>
      <c r="AA294" s="122">
        <v>111.141576</v>
      </c>
      <c r="AB294" s="122">
        <v>153.23651452282158</v>
      </c>
      <c r="AC294" s="122">
        <v>27.670101908713693</v>
      </c>
    </row>
    <row r="295" spans="1:29" x14ac:dyDescent="0.35">
      <c r="A295" s="120">
        <v>45455</v>
      </c>
      <c r="B295" s="124">
        <v>1</v>
      </c>
      <c r="C295" s="124">
        <v>0</v>
      </c>
      <c r="D295" s="124">
        <v>0</v>
      </c>
      <c r="E295" s="124">
        <v>1</v>
      </c>
      <c r="F295" s="124">
        <v>0</v>
      </c>
      <c r="G295" s="124">
        <v>0</v>
      </c>
      <c r="H295" s="124">
        <v>0</v>
      </c>
      <c r="I295" s="124">
        <v>0</v>
      </c>
      <c r="J295" s="124">
        <v>0</v>
      </c>
      <c r="K295" s="124">
        <v>0</v>
      </c>
      <c r="L295" s="124">
        <v>0</v>
      </c>
      <c r="M295" s="124">
        <v>0</v>
      </c>
      <c r="N295" s="124">
        <v>1</v>
      </c>
      <c r="O295" s="124">
        <v>0</v>
      </c>
      <c r="P295" s="124">
        <v>0</v>
      </c>
      <c r="Q295" s="124">
        <v>0</v>
      </c>
      <c r="R295" s="124">
        <v>0</v>
      </c>
      <c r="S295" s="124">
        <v>0</v>
      </c>
      <c r="T295" s="124">
        <v>0</v>
      </c>
      <c r="U295" s="124">
        <v>0</v>
      </c>
      <c r="V295" s="124">
        <v>0</v>
      </c>
      <c r="W295" s="123">
        <v>89.6</v>
      </c>
      <c r="X295" s="123">
        <v>8.0000000000000002E-3</v>
      </c>
      <c r="Y295" s="123">
        <v>6.5</v>
      </c>
      <c r="Z295" s="122">
        <v>966.5</v>
      </c>
      <c r="AA295" s="122">
        <v>214.95384799999997</v>
      </c>
      <c r="AB295" s="122">
        <v>148.69230769230768</v>
      </c>
      <c r="AC295" s="122">
        <v>33.069822769230761</v>
      </c>
    </row>
    <row r="296" spans="1:29" x14ac:dyDescent="0.35">
      <c r="A296" s="120">
        <v>45457</v>
      </c>
      <c r="B296" s="124">
        <v>0</v>
      </c>
      <c r="C296" s="124">
        <v>0</v>
      </c>
      <c r="D296" s="124">
        <v>0</v>
      </c>
      <c r="E296" s="124">
        <v>0</v>
      </c>
      <c r="F296" s="124">
        <v>0</v>
      </c>
      <c r="G296" s="124">
        <v>1</v>
      </c>
      <c r="H296" s="124">
        <v>0</v>
      </c>
      <c r="I296" s="124">
        <v>0</v>
      </c>
      <c r="J296" s="124">
        <v>0</v>
      </c>
      <c r="K296" s="124">
        <v>0</v>
      </c>
      <c r="L296" s="124">
        <v>0</v>
      </c>
      <c r="M296" s="124">
        <v>0</v>
      </c>
      <c r="N296" s="124">
        <v>1</v>
      </c>
      <c r="O296" s="124">
        <v>0</v>
      </c>
      <c r="P296" s="124">
        <v>0</v>
      </c>
      <c r="Q296" s="124">
        <v>0</v>
      </c>
      <c r="R296" s="124">
        <v>0</v>
      </c>
      <c r="S296" s="124">
        <v>0</v>
      </c>
      <c r="T296" s="124">
        <v>0</v>
      </c>
      <c r="U296" s="124">
        <v>0</v>
      </c>
      <c r="V296" s="124">
        <v>1</v>
      </c>
      <c r="W296" s="123">
        <v>94.9</v>
      </c>
      <c r="X296" s="123">
        <v>0</v>
      </c>
      <c r="Y296" s="123">
        <v>4.916666666666667</v>
      </c>
      <c r="Z296" s="122">
        <v>761</v>
      </c>
      <c r="AA296" s="122">
        <v>126.74560399999999</v>
      </c>
      <c r="AB296" s="122">
        <v>154.77966101694915</v>
      </c>
      <c r="AC296" s="122">
        <v>25.778766915254234</v>
      </c>
    </row>
    <row r="297" spans="1:29" x14ac:dyDescent="0.35">
      <c r="A297" s="120">
        <v>45458</v>
      </c>
      <c r="B297" s="124">
        <v>0</v>
      </c>
      <c r="C297" s="124">
        <v>0</v>
      </c>
      <c r="D297" s="124">
        <v>0</v>
      </c>
      <c r="E297" s="124">
        <v>0</v>
      </c>
      <c r="F297" s="124">
        <v>0</v>
      </c>
      <c r="G297" s="124">
        <v>0</v>
      </c>
      <c r="H297" s="124">
        <v>1</v>
      </c>
      <c r="I297" s="124">
        <v>0</v>
      </c>
      <c r="J297" s="124">
        <v>0</v>
      </c>
      <c r="K297" s="124">
        <v>0</v>
      </c>
      <c r="L297" s="124">
        <v>0</v>
      </c>
      <c r="M297" s="124">
        <v>0</v>
      </c>
      <c r="N297" s="124">
        <v>1</v>
      </c>
      <c r="O297" s="124">
        <v>0</v>
      </c>
      <c r="P297" s="124">
        <v>0</v>
      </c>
      <c r="Q297" s="124">
        <v>0</v>
      </c>
      <c r="R297" s="124">
        <v>0</v>
      </c>
      <c r="S297" s="124">
        <v>0</v>
      </c>
      <c r="T297" s="124">
        <v>1</v>
      </c>
      <c r="U297" s="124">
        <v>0</v>
      </c>
      <c r="V297" s="124">
        <v>1</v>
      </c>
      <c r="W297" s="123">
        <v>91.5</v>
      </c>
      <c r="X297" s="123">
        <v>0</v>
      </c>
      <c r="Y297" s="123">
        <v>4.833333333333333</v>
      </c>
      <c r="Z297" s="122">
        <v>460</v>
      </c>
      <c r="AA297" s="122">
        <v>82.762343999999999</v>
      </c>
      <c r="AB297" s="122">
        <v>95.172413793103459</v>
      </c>
      <c r="AC297" s="122">
        <v>17.123243586206897</v>
      </c>
    </row>
    <row r="298" spans="1:29" x14ac:dyDescent="0.35">
      <c r="A298" s="120">
        <v>45458</v>
      </c>
      <c r="B298" s="124">
        <v>1</v>
      </c>
      <c r="C298" s="124">
        <v>0</v>
      </c>
      <c r="D298" s="124">
        <v>0</v>
      </c>
      <c r="E298" s="124">
        <v>0</v>
      </c>
      <c r="F298" s="124">
        <v>0</v>
      </c>
      <c r="G298" s="124">
        <v>0</v>
      </c>
      <c r="H298" s="124">
        <v>1</v>
      </c>
      <c r="I298" s="124">
        <v>0</v>
      </c>
      <c r="J298" s="124">
        <v>0</v>
      </c>
      <c r="K298" s="124">
        <v>0</v>
      </c>
      <c r="L298" s="124">
        <v>0</v>
      </c>
      <c r="M298" s="124">
        <v>0</v>
      </c>
      <c r="N298" s="124">
        <v>1</v>
      </c>
      <c r="O298" s="124">
        <v>0</v>
      </c>
      <c r="P298" s="124">
        <v>0</v>
      </c>
      <c r="Q298" s="124">
        <v>0</v>
      </c>
      <c r="R298" s="124">
        <v>0</v>
      </c>
      <c r="S298" s="124">
        <v>0</v>
      </c>
      <c r="T298" s="124">
        <v>1</v>
      </c>
      <c r="U298" s="124">
        <v>0</v>
      </c>
      <c r="V298" s="124">
        <v>1</v>
      </c>
      <c r="W298" s="123">
        <v>91.5</v>
      </c>
      <c r="X298" s="123">
        <v>0</v>
      </c>
      <c r="Y298" s="123">
        <v>4.95</v>
      </c>
      <c r="Z298" s="122">
        <v>1515</v>
      </c>
      <c r="AA298" s="122">
        <v>237.54638799999998</v>
      </c>
      <c r="AB298" s="122">
        <v>306.06060606060606</v>
      </c>
      <c r="AC298" s="122">
        <v>47.98916929292929</v>
      </c>
    </row>
    <row r="299" spans="1:29" x14ac:dyDescent="0.35">
      <c r="A299" s="120">
        <v>45459</v>
      </c>
      <c r="B299" s="124">
        <v>0</v>
      </c>
      <c r="C299" s="124">
        <v>1</v>
      </c>
      <c r="D299" s="124">
        <v>0</v>
      </c>
      <c r="E299" s="124">
        <v>0</v>
      </c>
      <c r="F299" s="124">
        <v>0</v>
      </c>
      <c r="G299" s="124">
        <v>0</v>
      </c>
      <c r="H299" s="124">
        <v>0</v>
      </c>
      <c r="I299" s="124">
        <v>0</v>
      </c>
      <c r="J299" s="124">
        <v>0</v>
      </c>
      <c r="K299" s="124">
        <v>0</v>
      </c>
      <c r="L299" s="124">
        <v>0</v>
      </c>
      <c r="M299" s="124">
        <v>0</v>
      </c>
      <c r="N299" s="124">
        <v>1</v>
      </c>
      <c r="O299" s="124">
        <v>0</v>
      </c>
      <c r="P299" s="124">
        <v>0</v>
      </c>
      <c r="Q299" s="124">
        <v>0</v>
      </c>
      <c r="R299" s="124">
        <v>0</v>
      </c>
      <c r="S299" s="124">
        <v>0</v>
      </c>
      <c r="T299" s="124">
        <v>1</v>
      </c>
      <c r="U299" s="124">
        <v>0</v>
      </c>
      <c r="V299" s="124">
        <v>1</v>
      </c>
      <c r="W299" s="123">
        <v>93.2</v>
      </c>
      <c r="X299" s="123">
        <v>0</v>
      </c>
      <c r="Y299" s="123">
        <v>4.95</v>
      </c>
      <c r="Z299" s="122">
        <v>1295.25</v>
      </c>
      <c r="AA299" s="122">
        <v>209.43259599999999</v>
      </c>
      <c r="AB299" s="122">
        <v>261.66666666666669</v>
      </c>
      <c r="AC299" s="122">
        <v>42.309615353535349</v>
      </c>
    </row>
    <row r="300" spans="1:29" x14ac:dyDescent="0.35">
      <c r="A300" s="120">
        <v>45459</v>
      </c>
      <c r="B300" s="124">
        <v>1</v>
      </c>
      <c r="C300" s="124">
        <v>1</v>
      </c>
      <c r="D300" s="124">
        <v>0</v>
      </c>
      <c r="E300" s="124">
        <v>0</v>
      </c>
      <c r="F300" s="124">
        <v>0</v>
      </c>
      <c r="G300" s="124">
        <v>0</v>
      </c>
      <c r="H300" s="124">
        <v>0</v>
      </c>
      <c r="I300" s="124">
        <v>0</v>
      </c>
      <c r="J300" s="124">
        <v>0</v>
      </c>
      <c r="K300" s="124">
        <v>0</v>
      </c>
      <c r="L300" s="124">
        <v>0</v>
      </c>
      <c r="M300" s="124">
        <v>0</v>
      </c>
      <c r="N300" s="124">
        <v>1</v>
      </c>
      <c r="O300" s="124">
        <v>0</v>
      </c>
      <c r="P300" s="124">
        <v>0</v>
      </c>
      <c r="Q300" s="124">
        <v>0</v>
      </c>
      <c r="R300" s="124">
        <v>0</v>
      </c>
      <c r="S300" s="124">
        <v>0</v>
      </c>
      <c r="T300" s="124">
        <v>1</v>
      </c>
      <c r="U300" s="124">
        <v>0</v>
      </c>
      <c r="V300" s="124">
        <v>1</v>
      </c>
      <c r="W300" s="123">
        <v>93.2</v>
      </c>
      <c r="X300" s="123">
        <v>0</v>
      </c>
      <c r="Y300" s="123">
        <v>4.95</v>
      </c>
      <c r="Z300" s="122">
        <v>1295.25</v>
      </c>
      <c r="AA300" s="122">
        <v>209.43259599999999</v>
      </c>
      <c r="AB300" s="122">
        <v>261.66666666666669</v>
      </c>
      <c r="AC300" s="122">
        <v>42.309615353535349</v>
      </c>
    </row>
    <row r="301" spans="1:29" x14ac:dyDescent="0.35">
      <c r="A301" s="120">
        <v>45462</v>
      </c>
      <c r="B301" s="124">
        <v>1</v>
      </c>
      <c r="C301" s="124">
        <v>0</v>
      </c>
      <c r="D301" s="124">
        <v>0</v>
      </c>
      <c r="E301" s="124">
        <v>1</v>
      </c>
      <c r="F301" s="124">
        <v>0</v>
      </c>
      <c r="G301" s="124">
        <v>0</v>
      </c>
      <c r="H301" s="124">
        <v>0</v>
      </c>
      <c r="I301" s="124">
        <v>0</v>
      </c>
      <c r="J301" s="124">
        <v>0</v>
      </c>
      <c r="K301" s="124">
        <v>0</v>
      </c>
      <c r="L301" s="124">
        <v>0</v>
      </c>
      <c r="M301" s="124">
        <v>0</v>
      </c>
      <c r="N301" s="124">
        <v>1</v>
      </c>
      <c r="O301" s="124">
        <v>0</v>
      </c>
      <c r="P301" s="124">
        <v>0</v>
      </c>
      <c r="Q301" s="124">
        <v>0</v>
      </c>
      <c r="R301" s="124">
        <v>0</v>
      </c>
      <c r="S301" s="124">
        <v>0</v>
      </c>
      <c r="T301" s="124">
        <v>0</v>
      </c>
      <c r="U301" s="124">
        <v>0</v>
      </c>
      <c r="V301" s="124">
        <v>0</v>
      </c>
      <c r="W301" s="123">
        <v>78.900000000000006</v>
      </c>
      <c r="X301" s="123">
        <v>5.7000000000000002E-2</v>
      </c>
      <c r="Y301" s="123">
        <v>5.4</v>
      </c>
      <c r="Z301" s="122">
        <v>753</v>
      </c>
      <c r="AA301" s="122">
        <v>123.729696</v>
      </c>
      <c r="AB301" s="122">
        <v>139.44444444444443</v>
      </c>
      <c r="AC301" s="122">
        <v>22.912906666666665</v>
      </c>
    </row>
    <row r="302" spans="1:29" x14ac:dyDescent="0.35">
      <c r="A302" s="120">
        <v>45464</v>
      </c>
      <c r="B302" s="124">
        <v>0</v>
      </c>
      <c r="C302" s="124">
        <v>0</v>
      </c>
      <c r="D302" s="124">
        <v>0</v>
      </c>
      <c r="E302" s="124">
        <v>0</v>
      </c>
      <c r="F302" s="124">
        <v>0</v>
      </c>
      <c r="G302" s="124">
        <v>1</v>
      </c>
      <c r="H302" s="124">
        <v>0</v>
      </c>
      <c r="I302" s="124">
        <v>0</v>
      </c>
      <c r="J302" s="124">
        <v>0</v>
      </c>
      <c r="K302" s="124">
        <v>0</v>
      </c>
      <c r="L302" s="124">
        <v>0</v>
      </c>
      <c r="M302" s="124">
        <v>0</v>
      </c>
      <c r="N302" s="124">
        <v>1</v>
      </c>
      <c r="O302" s="124">
        <v>0</v>
      </c>
      <c r="P302" s="124">
        <v>0</v>
      </c>
      <c r="Q302" s="124">
        <v>0</v>
      </c>
      <c r="R302" s="124">
        <v>0</v>
      </c>
      <c r="S302" s="124">
        <v>0</v>
      </c>
      <c r="T302" s="124">
        <v>0</v>
      </c>
      <c r="U302" s="124">
        <v>0</v>
      </c>
      <c r="V302" s="124">
        <v>1</v>
      </c>
      <c r="W302" s="123">
        <v>89.7</v>
      </c>
      <c r="X302" s="123">
        <v>0</v>
      </c>
      <c r="Y302" s="123">
        <v>3.3166666666666669</v>
      </c>
      <c r="Z302" s="122">
        <v>323.5</v>
      </c>
      <c r="AA302" s="122">
        <v>57.147619999999996</v>
      </c>
      <c r="AB302" s="122">
        <v>97.537688442211049</v>
      </c>
      <c r="AC302" s="122">
        <v>17.230438190954771</v>
      </c>
    </row>
    <row r="303" spans="1:29" x14ac:dyDescent="0.35">
      <c r="A303" s="120">
        <v>45465</v>
      </c>
      <c r="B303" s="124">
        <v>0</v>
      </c>
      <c r="C303" s="124">
        <v>0</v>
      </c>
      <c r="D303" s="124">
        <v>0</v>
      </c>
      <c r="E303" s="124">
        <v>0</v>
      </c>
      <c r="F303" s="124">
        <v>0</v>
      </c>
      <c r="G303" s="124">
        <v>0</v>
      </c>
      <c r="H303" s="124">
        <v>1</v>
      </c>
      <c r="I303" s="124">
        <v>0</v>
      </c>
      <c r="J303" s="124">
        <v>0</v>
      </c>
      <c r="K303" s="124">
        <v>0</v>
      </c>
      <c r="L303" s="124">
        <v>0</v>
      </c>
      <c r="M303" s="124">
        <v>0</v>
      </c>
      <c r="N303" s="124">
        <v>1</v>
      </c>
      <c r="O303" s="124">
        <v>0</v>
      </c>
      <c r="P303" s="124">
        <v>0</v>
      </c>
      <c r="Q303" s="124">
        <v>0</v>
      </c>
      <c r="R303" s="124">
        <v>0</v>
      </c>
      <c r="S303" s="124">
        <v>0</v>
      </c>
      <c r="T303" s="124">
        <v>1</v>
      </c>
      <c r="U303" s="124">
        <v>0</v>
      </c>
      <c r="V303" s="124">
        <v>1</v>
      </c>
      <c r="W303" s="123">
        <v>89.7</v>
      </c>
      <c r="X303" s="123">
        <v>0</v>
      </c>
      <c r="Y303" s="123">
        <v>4.3166666666666664</v>
      </c>
      <c r="Z303" s="122">
        <v>1123.5</v>
      </c>
      <c r="AA303" s="122">
        <v>184.09456400000002</v>
      </c>
      <c r="AB303" s="122">
        <v>260.27027027027026</v>
      </c>
      <c r="AC303" s="122">
        <v>42.647389343629349</v>
      </c>
    </row>
    <row r="304" spans="1:29" x14ac:dyDescent="0.35">
      <c r="A304" s="120">
        <v>45466</v>
      </c>
      <c r="B304" s="124">
        <v>0</v>
      </c>
      <c r="C304" s="124">
        <v>1</v>
      </c>
      <c r="D304" s="124">
        <v>0</v>
      </c>
      <c r="E304" s="124">
        <v>0</v>
      </c>
      <c r="F304" s="124">
        <v>0</v>
      </c>
      <c r="G304" s="124">
        <v>0</v>
      </c>
      <c r="H304" s="124">
        <v>0</v>
      </c>
      <c r="I304" s="124">
        <v>0</v>
      </c>
      <c r="J304" s="124">
        <v>0</v>
      </c>
      <c r="K304" s="124">
        <v>0</v>
      </c>
      <c r="L304" s="124">
        <v>0</v>
      </c>
      <c r="M304" s="124">
        <v>0</v>
      </c>
      <c r="N304" s="124">
        <v>1</v>
      </c>
      <c r="O304" s="124">
        <v>0</v>
      </c>
      <c r="P304" s="124">
        <v>0</v>
      </c>
      <c r="Q304" s="124">
        <v>0</v>
      </c>
      <c r="R304" s="124">
        <v>0</v>
      </c>
      <c r="S304" s="124">
        <v>0</v>
      </c>
      <c r="T304" s="124">
        <v>1</v>
      </c>
      <c r="U304" s="124">
        <v>0</v>
      </c>
      <c r="V304" s="124">
        <v>1</v>
      </c>
      <c r="W304" s="123">
        <v>91.4</v>
      </c>
      <c r="X304" s="123">
        <v>0</v>
      </c>
      <c r="Y304" s="123">
        <v>3.7666666666666666</v>
      </c>
      <c r="Z304" s="122">
        <v>621</v>
      </c>
      <c r="AA304" s="122">
        <v>111.53288000000001</v>
      </c>
      <c r="AB304" s="122">
        <v>164.86725663716814</v>
      </c>
      <c r="AC304" s="122">
        <v>29.610499115044249</v>
      </c>
    </row>
    <row r="305" spans="1:29" x14ac:dyDescent="0.35">
      <c r="A305" s="120">
        <v>45466</v>
      </c>
      <c r="B305" s="124">
        <v>1</v>
      </c>
      <c r="C305" s="124">
        <v>1</v>
      </c>
      <c r="D305" s="124">
        <v>0</v>
      </c>
      <c r="E305" s="124">
        <v>0</v>
      </c>
      <c r="F305" s="124">
        <v>0</v>
      </c>
      <c r="G305" s="124">
        <v>0</v>
      </c>
      <c r="H305" s="124">
        <v>0</v>
      </c>
      <c r="I305" s="124">
        <v>0</v>
      </c>
      <c r="J305" s="124">
        <v>0</v>
      </c>
      <c r="K305" s="124">
        <v>0</v>
      </c>
      <c r="L305" s="124">
        <v>0</v>
      </c>
      <c r="M305" s="124">
        <v>0</v>
      </c>
      <c r="N305" s="124">
        <v>1</v>
      </c>
      <c r="O305" s="124">
        <v>0</v>
      </c>
      <c r="P305" s="124">
        <v>0</v>
      </c>
      <c r="Q305" s="124">
        <v>0</v>
      </c>
      <c r="R305" s="124">
        <v>0</v>
      </c>
      <c r="S305" s="124">
        <v>0</v>
      </c>
      <c r="T305" s="124">
        <v>1</v>
      </c>
      <c r="U305" s="124">
        <v>0</v>
      </c>
      <c r="V305" s="124">
        <v>1</v>
      </c>
      <c r="W305" s="123">
        <v>91.4</v>
      </c>
      <c r="X305" s="123">
        <v>0</v>
      </c>
      <c r="Y305" s="123">
        <v>4.083333333333333</v>
      </c>
      <c r="Z305" s="122">
        <v>1017.5</v>
      </c>
      <c r="AA305" s="122">
        <v>182.21433999999999</v>
      </c>
      <c r="AB305" s="122">
        <v>249.18367346938777</v>
      </c>
      <c r="AC305" s="122">
        <v>44.623919999999998</v>
      </c>
    </row>
    <row r="306" spans="1:29" x14ac:dyDescent="0.35">
      <c r="A306" s="120">
        <v>45467</v>
      </c>
      <c r="B306" s="124">
        <v>1</v>
      </c>
      <c r="C306" s="124">
        <v>0</v>
      </c>
      <c r="D306" s="124">
        <v>1</v>
      </c>
      <c r="E306" s="124">
        <v>0</v>
      </c>
      <c r="F306" s="124">
        <v>0</v>
      </c>
      <c r="G306" s="124">
        <v>0</v>
      </c>
      <c r="H306" s="124">
        <v>0</v>
      </c>
      <c r="I306" s="124">
        <v>0</v>
      </c>
      <c r="J306" s="124">
        <v>0</v>
      </c>
      <c r="K306" s="124">
        <v>0</v>
      </c>
      <c r="L306" s="124">
        <v>0</v>
      </c>
      <c r="M306" s="124">
        <v>0</v>
      </c>
      <c r="N306" s="124">
        <v>1</v>
      </c>
      <c r="O306" s="124">
        <v>0</v>
      </c>
      <c r="P306" s="124">
        <v>0</v>
      </c>
      <c r="Q306" s="124">
        <v>0</v>
      </c>
      <c r="R306" s="124">
        <v>0</v>
      </c>
      <c r="S306" s="124">
        <v>0</v>
      </c>
      <c r="T306" s="124">
        <v>0</v>
      </c>
      <c r="U306" s="124">
        <v>0</v>
      </c>
      <c r="V306" s="124">
        <v>0</v>
      </c>
      <c r="W306" s="123">
        <v>91.4</v>
      </c>
      <c r="X306" s="123">
        <v>0</v>
      </c>
      <c r="Y306" s="123">
        <v>4.45</v>
      </c>
      <c r="Z306" s="122">
        <v>508</v>
      </c>
      <c r="AA306" s="122">
        <v>93.586739999999992</v>
      </c>
      <c r="AB306" s="122">
        <v>114.15730337078651</v>
      </c>
      <c r="AC306" s="122">
        <v>21.030728089887639</v>
      </c>
    </row>
    <row r="307" spans="1:29" x14ac:dyDescent="0.35">
      <c r="A307" s="120">
        <v>45469</v>
      </c>
      <c r="B307" s="124">
        <v>1</v>
      </c>
      <c r="C307" s="124">
        <v>0</v>
      </c>
      <c r="D307" s="124">
        <v>0</v>
      </c>
      <c r="E307" s="124">
        <v>1</v>
      </c>
      <c r="F307" s="124">
        <v>0</v>
      </c>
      <c r="G307" s="124">
        <v>0</v>
      </c>
      <c r="H307" s="124">
        <v>0</v>
      </c>
      <c r="I307" s="124">
        <v>0</v>
      </c>
      <c r="J307" s="124">
        <v>0</v>
      </c>
      <c r="K307" s="124">
        <v>0</v>
      </c>
      <c r="L307" s="124">
        <v>0</v>
      </c>
      <c r="M307" s="124">
        <v>0</v>
      </c>
      <c r="N307" s="124">
        <v>1</v>
      </c>
      <c r="O307" s="124">
        <v>0</v>
      </c>
      <c r="P307" s="124">
        <v>0</v>
      </c>
      <c r="Q307" s="124">
        <v>0</v>
      </c>
      <c r="R307" s="124">
        <v>0</v>
      </c>
      <c r="S307" s="124">
        <v>0</v>
      </c>
      <c r="T307" s="124">
        <v>0</v>
      </c>
      <c r="U307" s="124">
        <v>0</v>
      </c>
      <c r="V307" s="124">
        <v>1</v>
      </c>
      <c r="W307" s="123">
        <v>93.2</v>
      </c>
      <c r="X307" s="123">
        <v>2E-3</v>
      </c>
      <c r="Y307" s="123">
        <v>5.7833333333333332</v>
      </c>
      <c r="Z307" s="122">
        <v>997</v>
      </c>
      <c r="AA307" s="122">
        <v>139.57476400000002</v>
      </c>
      <c r="AB307" s="122">
        <v>172.39193083573488</v>
      </c>
      <c r="AC307" s="122">
        <v>24.133964956772338</v>
      </c>
    </row>
    <row r="308" spans="1:29" x14ac:dyDescent="0.35">
      <c r="A308" s="120">
        <v>45471</v>
      </c>
      <c r="B308" s="124">
        <v>0</v>
      </c>
      <c r="C308" s="124">
        <v>0</v>
      </c>
      <c r="D308" s="124">
        <v>0</v>
      </c>
      <c r="E308" s="124">
        <v>0</v>
      </c>
      <c r="F308" s="124">
        <v>0</v>
      </c>
      <c r="G308" s="124">
        <v>1</v>
      </c>
      <c r="H308" s="124">
        <v>0</v>
      </c>
      <c r="I308" s="124">
        <v>0</v>
      </c>
      <c r="J308" s="124">
        <v>0</v>
      </c>
      <c r="K308" s="124">
        <v>0</v>
      </c>
      <c r="L308" s="124">
        <v>0</v>
      </c>
      <c r="M308" s="124">
        <v>0</v>
      </c>
      <c r="N308" s="124">
        <v>1</v>
      </c>
      <c r="O308" s="124">
        <v>0</v>
      </c>
      <c r="P308" s="124">
        <v>0</v>
      </c>
      <c r="Q308" s="124">
        <v>0</v>
      </c>
      <c r="R308" s="124">
        <v>0</v>
      </c>
      <c r="S308" s="124">
        <v>0</v>
      </c>
      <c r="T308" s="124">
        <v>0</v>
      </c>
      <c r="U308" s="124">
        <v>0</v>
      </c>
      <c r="V308" s="124">
        <v>0</v>
      </c>
      <c r="W308" s="123">
        <v>91.5</v>
      </c>
      <c r="X308" s="123">
        <v>0</v>
      </c>
      <c r="Y308" s="123">
        <v>4.2166666666666668</v>
      </c>
      <c r="Z308" s="122">
        <v>468</v>
      </c>
      <c r="AA308" s="122">
        <v>74.405467999999999</v>
      </c>
      <c r="AB308" s="122">
        <v>110.98814229249011</v>
      </c>
      <c r="AC308" s="122">
        <v>17.645565533596837</v>
      </c>
    </row>
    <row r="309" spans="1:29" x14ac:dyDescent="0.35">
      <c r="A309" s="120">
        <v>45471</v>
      </c>
      <c r="B309" s="124">
        <v>1</v>
      </c>
      <c r="C309" s="124">
        <v>0</v>
      </c>
      <c r="D309" s="124">
        <v>0</v>
      </c>
      <c r="E309" s="124">
        <v>0</v>
      </c>
      <c r="F309" s="124">
        <v>0</v>
      </c>
      <c r="G309" s="124">
        <v>1</v>
      </c>
      <c r="H309" s="124">
        <v>0</v>
      </c>
      <c r="I309" s="124">
        <v>0</v>
      </c>
      <c r="J309" s="124">
        <v>0</v>
      </c>
      <c r="K309" s="124">
        <v>0</v>
      </c>
      <c r="L309" s="124">
        <v>0</v>
      </c>
      <c r="M309" s="124">
        <v>0</v>
      </c>
      <c r="N309" s="124">
        <v>1</v>
      </c>
      <c r="O309" s="124">
        <v>0</v>
      </c>
      <c r="P309" s="124">
        <v>0</v>
      </c>
      <c r="Q309" s="124">
        <v>0</v>
      </c>
      <c r="R309" s="124">
        <v>0</v>
      </c>
      <c r="S309" s="124">
        <v>0</v>
      </c>
      <c r="T309" s="124">
        <v>1</v>
      </c>
      <c r="U309" s="124">
        <v>0</v>
      </c>
      <c r="V309" s="124">
        <v>0</v>
      </c>
      <c r="W309" s="123">
        <v>91.5</v>
      </c>
      <c r="X309" s="123">
        <v>0</v>
      </c>
      <c r="Y309" s="123">
        <v>3.8333333333333335</v>
      </c>
      <c r="Z309" s="122">
        <v>1204.5</v>
      </c>
      <c r="AA309" s="122">
        <v>197.65393599999999</v>
      </c>
      <c r="AB309" s="122">
        <v>314.21739130434781</v>
      </c>
      <c r="AC309" s="122">
        <v>51.561896347826085</v>
      </c>
    </row>
    <row r="310" spans="1:29" x14ac:dyDescent="0.35">
      <c r="A310" s="120">
        <v>45472</v>
      </c>
      <c r="B310" s="124">
        <v>0</v>
      </c>
      <c r="C310" s="124">
        <v>0</v>
      </c>
      <c r="D310" s="124">
        <v>0</v>
      </c>
      <c r="E310" s="124">
        <v>0</v>
      </c>
      <c r="F310" s="124">
        <v>0</v>
      </c>
      <c r="G310" s="124">
        <v>0</v>
      </c>
      <c r="H310" s="124">
        <v>1</v>
      </c>
      <c r="I310" s="124">
        <v>0</v>
      </c>
      <c r="J310" s="124">
        <v>0</v>
      </c>
      <c r="K310" s="124">
        <v>0</v>
      </c>
      <c r="L310" s="124">
        <v>0</v>
      </c>
      <c r="M310" s="124">
        <v>0</v>
      </c>
      <c r="N310" s="124">
        <v>1</v>
      </c>
      <c r="O310" s="124">
        <v>0</v>
      </c>
      <c r="P310" s="124">
        <v>0</v>
      </c>
      <c r="Q310" s="124">
        <v>0</v>
      </c>
      <c r="R310" s="124">
        <v>0</v>
      </c>
      <c r="S310" s="124">
        <v>0</v>
      </c>
      <c r="T310" s="124">
        <v>1</v>
      </c>
      <c r="U310" s="124">
        <v>0</v>
      </c>
      <c r="V310" s="124">
        <v>0</v>
      </c>
      <c r="W310" s="123">
        <v>95</v>
      </c>
      <c r="X310" s="123">
        <v>1E-3</v>
      </c>
      <c r="Y310" s="123">
        <v>3.1666666666666665</v>
      </c>
      <c r="Z310" s="122">
        <v>190</v>
      </c>
      <c r="AA310" s="122">
        <v>26.718888</v>
      </c>
      <c r="AB310" s="122">
        <v>60</v>
      </c>
      <c r="AC310" s="122">
        <v>8.4375435789473681</v>
      </c>
    </row>
    <row r="311" spans="1:29" x14ac:dyDescent="0.35">
      <c r="A311" s="120">
        <v>45472</v>
      </c>
      <c r="B311" s="124">
        <v>1</v>
      </c>
      <c r="C311" s="124">
        <v>0</v>
      </c>
      <c r="D311" s="124">
        <v>0</v>
      </c>
      <c r="E311" s="124">
        <v>0</v>
      </c>
      <c r="F311" s="124">
        <v>0</v>
      </c>
      <c r="G311" s="124">
        <v>0</v>
      </c>
      <c r="H311" s="124">
        <v>1</v>
      </c>
      <c r="I311" s="124">
        <v>0</v>
      </c>
      <c r="J311" s="124">
        <v>0</v>
      </c>
      <c r="K311" s="124">
        <v>0</v>
      </c>
      <c r="L311" s="124">
        <v>0</v>
      </c>
      <c r="M311" s="124">
        <v>0</v>
      </c>
      <c r="N311" s="124">
        <v>1</v>
      </c>
      <c r="O311" s="124">
        <v>0</v>
      </c>
      <c r="P311" s="124">
        <v>0</v>
      </c>
      <c r="Q311" s="124">
        <v>0</v>
      </c>
      <c r="R311" s="124">
        <v>0</v>
      </c>
      <c r="S311" s="124">
        <v>0</v>
      </c>
      <c r="T311" s="124">
        <v>1</v>
      </c>
      <c r="U311" s="124">
        <v>0</v>
      </c>
      <c r="V311" s="124">
        <v>0</v>
      </c>
      <c r="W311" s="123">
        <v>95</v>
      </c>
      <c r="X311" s="123">
        <v>1E-3</v>
      </c>
      <c r="Y311" s="123">
        <v>4.7833333333333332</v>
      </c>
      <c r="Z311" s="122">
        <v>1205.5</v>
      </c>
      <c r="AA311" s="122">
        <v>195.04674800000001</v>
      </c>
      <c r="AB311" s="122">
        <v>252.02090592334494</v>
      </c>
      <c r="AC311" s="122">
        <v>40.776323623693379</v>
      </c>
    </row>
    <row r="312" spans="1:29" x14ac:dyDescent="0.35">
      <c r="A312" s="120">
        <v>45473</v>
      </c>
      <c r="B312" s="124">
        <v>1</v>
      </c>
      <c r="C312" s="124">
        <v>1</v>
      </c>
      <c r="D312" s="124">
        <v>0</v>
      </c>
      <c r="E312" s="124">
        <v>0</v>
      </c>
      <c r="F312" s="124">
        <v>0</v>
      </c>
      <c r="G312" s="124">
        <v>0</v>
      </c>
      <c r="H312" s="124">
        <v>0</v>
      </c>
      <c r="I312" s="124">
        <v>0</v>
      </c>
      <c r="J312" s="124">
        <v>0</v>
      </c>
      <c r="K312" s="124">
        <v>0</v>
      </c>
      <c r="L312" s="124">
        <v>0</v>
      </c>
      <c r="M312" s="124">
        <v>0</v>
      </c>
      <c r="N312" s="124">
        <v>1</v>
      </c>
      <c r="O312" s="124">
        <v>0</v>
      </c>
      <c r="P312" s="124">
        <v>0</v>
      </c>
      <c r="Q312" s="124">
        <v>0</v>
      </c>
      <c r="R312" s="124">
        <v>0</v>
      </c>
      <c r="S312" s="124">
        <v>0</v>
      </c>
      <c r="T312" s="124">
        <v>1</v>
      </c>
      <c r="U312" s="124">
        <v>0</v>
      </c>
      <c r="V312" s="124">
        <v>0</v>
      </c>
      <c r="W312" s="123">
        <v>95</v>
      </c>
      <c r="X312" s="123">
        <v>0</v>
      </c>
      <c r="Y312" s="123">
        <v>5.7666666666666666</v>
      </c>
      <c r="Z312" s="122">
        <v>1072.5</v>
      </c>
      <c r="AA312" s="122">
        <v>195.33083199999999</v>
      </c>
      <c r="AB312" s="122">
        <v>185.98265895953759</v>
      </c>
      <c r="AC312" s="122">
        <v>33.872398612716758</v>
      </c>
    </row>
  </sheetData>
  <pageMargins left="0.7" right="0.7" top="0.75" bottom="0.75" header="0.3" footer="0.3"/>
  <customProperties>
    <customPr name="LastActive" r:id="rId1"/>
  </customPropertie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0D2D3-0538-45B5-AD81-90516FE1F05A}">
  <sheetPr codeName="Sheet5"/>
  <dimension ref="A1:AA320"/>
  <sheetViews>
    <sheetView tabSelected="1" zoomScale="71" zoomScaleNormal="71" workbookViewId="0"/>
  </sheetViews>
  <sheetFormatPr defaultRowHeight="14.5" x14ac:dyDescent="0.35"/>
  <cols>
    <col min="2" max="2" width="8.6328125" customWidth="1"/>
    <col min="3" max="3" width="10.7265625" bestFit="1" customWidth="1"/>
    <col min="4" max="4" width="14.453125" bestFit="1" customWidth="1"/>
    <col min="5" max="5" width="10.1796875" bestFit="1" customWidth="1"/>
    <col min="6" max="6" width="14.26953125" customWidth="1"/>
    <col min="8" max="8" width="10.7265625" bestFit="1" customWidth="1"/>
    <col min="9" max="9" width="14.453125" bestFit="1" customWidth="1"/>
    <col min="10" max="10" width="12.08984375" bestFit="1" customWidth="1"/>
    <col min="11" max="11" width="13.6328125" bestFit="1" customWidth="1"/>
    <col min="12" max="12" width="9.81640625" customWidth="1"/>
    <col min="13" max="13" width="10.7265625" bestFit="1" customWidth="1"/>
    <col min="14" max="14" width="14.453125" bestFit="1" customWidth="1"/>
    <col min="15" max="15" width="20.81640625" bestFit="1" customWidth="1"/>
    <col min="16" max="16" width="22.1796875" bestFit="1" customWidth="1"/>
    <col min="17" max="17" width="10.36328125" customWidth="1"/>
    <col min="18" max="18" width="10.7265625" bestFit="1" customWidth="1"/>
    <col min="19" max="19" width="14.453125" bestFit="1" customWidth="1"/>
    <col min="20" max="20" width="22.7265625" bestFit="1" customWidth="1"/>
    <col min="21" max="21" width="24.08984375" bestFit="1" customWidth="1"/>
    <col min="22" max="22" width="7.81640625" customWidth="1"/>
    <col min="23" max="23" width="10.7265625" bestFit="1" customWidth="1"/>
    <col min="24" max="24" width="14.453125" bestFit="1" customWidth="1"/>
    <col min="25" max="25" width="11.1796875" bestFit="1" customWidth="1"/>
    <col min="26" max="26" width="12.6328125" bestFit="1" customWidth="1"/>
    <col min="27" max="27" width="24.08984375" bestFit="1" customWidth="1"/>
  </cols>
  <sheetData>
    <row r="1" spans="1:27" x14ac:dyDescent="0.35">
      <c r="C1" s="184" t="s">
        <v>4</v>
      </c>
      <c r="D1" s="185"/>
      <c r="E1" s="185"/>
      <c r="F1" s="185"/>
      <c r="H1" s="184" t="s">
        <v>156</v>
      </c>
      <c r="I1" s="185"/>
      <c r="J1" s="185"/>
      <c r="K1" s="185"/>
      <c r="M1" s="184" t="s">
        <v>223</v>
      </c>
      <c r="N1" s="185"/>
      <c r="O1" s="185"/>
      <c r="P1" s="185"/>
      <c r="R1" s="184" t="s">
        <v>224</v>
      </c>
      <c r="S1" s="185"/>
      <c r="T1" s="185"/>
      <c r="U1" s="185"/>
      <c r="W1" s="184" t="s">
        <v>225</v>
      </c>
      <c r="X1" s="185"/>
      <c r="Y1" s="185"/>
      <c r="Z1" s="185"/>
    </row>
    <row r="2" spans="1:27" x14ac:dyDescent="0.35">
      <c r="C2" s="185"/>
      <c r="D2" s="185"/>
      <c r="E2" s="185"/>
      <c r="F2" s="185"/>
      <c r="H2" s="185"/>
      <c r="I2" s="185"/>
      <c r="J2" s="185"/>
      <c r="K2" s="185"/>
      <c r="M2" s="185"/>
      <c r="N2" s="185"/>
      <c r="O2" s="185"/>
      <c r="P2" s="185"/>
      <c r="R2" s="185"/>
      <c r="S2" s="185"/>
      <c r="T2" s="185"/>
      <c r="U2" s="185"/>
      <c r="W2" s="185"/>
      <c r="X2" s="185"/>
      <c r="Y2" s="185"/>
      <c r="Z2" s="185"/>
    </row>
    <row r="4" spans="1:27" s="137" customFormat="1" ht="28" customHeight="1" x14ac:dyDescent="0.35">
      <c r="C4" s="138" t="s">
        <v>3</v>
      </c>
      <c r="D4" s="137" t="s">
        <v>160</v>
      </c>
      <c r="E4" s="139" t="s">
        <v>168</v>
      </c>
      <c r="F4" s="137" t="s">
        <v>162</v>
      </c>
      <c r="H4" s="138" t="s">
        <v>3</v>
      </c>
      <c r="I4" s="137" t="s">
        <v>160</v>
      </c>
      <c r="J4" s="137" t="s">
        <v>169</v>
      </c>
      <c r="K4" s="137" t="s">
        <v>164</v>
      </c>
      <c r="M4" s="138" t="s">
        <v>3</v>
      </c>
      <c r="N4" s="137" t="s">
        <v>160</v>
      </c>
      <c r="O4" s="137" t="s">
        <v>170</v>
      </c>
      <c r="P4" s="137" t="s">
        <v>163</v>
      </c>
      <c r="R4" s="138" t="s">
        <v>3</v>
      </c>
      <c r="S4" t="s">
        <v>160</v>
      </c>
      <c r="T4" s="137" t="s">
        <v>171</v>
      </c>
      <c r="U4" s="122" t="s">
        <v>165</v>
      </c>
      <c r="V4"/>
      <c r="W4" s="138" t="s">
        <v>3</v>
      </c>
      <c r="X4" t="s">
        <v>160</v>
      </c>
      <c r="Y4" t="s">
        <v>174</v>
      </c>
      <c r="Z4" t="s">
        <v>173</v>
      </c>
      <c r="AA4"/>
    </row>
    <row r="5" spans="1:27" ht="14.5" customHeight="1" x14ac:dyDescent="0.35">
      <c r="A5" s="186" t="s">
        <v>3</v>
      </c>
      <c r="C5" s="134" t="s">
        <v>50</v>
      </c>
      <c r="D5" s="124">
        <v>50</v>
      </c>
      <c r="E5" s="122">
        <v>1067.72</v>
      </c>
      <c r="F5" s="122">
        <v>179083.95061224487</v>
      </c>
      <c r="H5" s="134" t="s">
        <v>50</v>
      </c>
      <c r="I5" s="124">
        <v>50</v>
      </c>
      <c r="J5" s="122">
        <v>178.66482004000005</v>
      </c>
      <c r="K5" s="122">
        <v>5184.5935645216596</v>
      </c>
      <c r="M5" s="134" t="s">
        <v>50</v>
      </c>
      <c r="N5" s="124">
        <v>50</v>
      </c>
      <c r="O5" s="122">
        <v>217.81860178080171</v>
      </c>
      <c r="P5" s="122">
        <v>4151.9648200950905</v>
      </c>
      <c r="R5" s="134" t="s">
        <v>50</v>
      </c>
      <c r="S5" s="124">
        <v>50</v>
      </c>
      <c r="T5" s="122">
        <v>36.421005007786874</v>
      </c>
      <c r="U5" s="122">
        <v>118.54071085961127</v>
      </c>
      <c r="W5" s="140" t="s">
        <v>50</v>
      </c>
      <c r="X5" s="139">
        <v>50</v>
      </c>
      <c r="Y5" s="122">
        <v>4.8538333333333332</v>
      </c>
      <c r="Z5" s="122">
        <v>0.78207825963718558</v>
      </c>
    </row>
    <row r="6" spans="1:27" x14ac:dyDescent="0.35">
      <c r="A6" s="186"/>
      <c r="C6" s="134" t="s">
        <v>51</v>
      </c>
      <c r="D6" s="124">
        <v>58</v>
      </c>
      <c r="E6" s="122">
        <v>768.08293103448273</v>
      </c>
      <c r="F6" s="122">
        <v>194549.14772634613</v>
      </c>
      <c r="H6" s="134" t="s">
        <v>51</v>
      </c>
      <c r="I6" s="124">
        <v>58</v>
      </c>
      <c r="J6" s="122">
        <v>133.2298493103448</v>
      </c>
      <c r="K6" s="122">
        <v>5186.3111063960305</v>
      </c>
      <c r="M6" s="134" t="s">
        <v>51</v>
      </c>
      <c r="N6" s="124">
        <v>58</v>
      </c>
      <c r="O6" s="122">
        <v>164.96845681557622</v>
      </c>
      <c r="P6" s="122">
        <v>5488.9416984664358</v>
      </c>
      <c r="R6" s="134" t="s">
        <v>51</v>
      </c>
      <c r="S6" s="124">
        <v>58</v>
      </c>
      <c r="T6" s="122">
        <v>28.679643603033405</v>
      </c>
      <c r="U6" s="122">
        <v>136.68328586288152</v>
      </c>
      <c r="W6" s="140" t="s">
        <v>51</v>
      </c>
      <c r="X6" s="139">
        <v>58</v>
      </c>
      <c r="Y6" s="122">
        <v>4.2864942528735632</v>
      </c>
      <c r="Z6" s="122">
        <v>1.7257939268669711</v>
      </c>
    </row>
    <row r="7" spans="1:27" ht="14.5" customHeight="1" x14ac:dyDescent="0.35">
      <c r="A7" s="186"/>
      <c r="C7" s="134" t="s">
        <v>52</v>
      </c>
      <c r="D7" s="124">
        <v>26</v>
      </c>
      <c r="E7" s="122">
        <v>740.67307692307691</v>
      </c>
      <c r="F7" s="122">
        <v>83319.818846153838</v>
      </c>
      <c r="H7" s="134" t="s">
        <v>52</v>
      </c>
      <c r="I7" s="124">
        <v>26</v>
      </c>
      <c r="J7" s="122">
        <v>124.0458416923077</v>
      </c>
      <c r="K7" s="122">
        <v>2390.1503495579609</v>
      </c>
      <c r="M7" s="134" t="s">
        <v>52</v>
      </c>
      <c r="N7" s="124">
        <v>26</v>
      </c>
      <c r="O7" s="122">
        <v>166.36716363114581</v>
      </c>
      <c r="P7" s="122">
        <v>2499.5611369208432</v>
      </c>
      <c r="R7" s="134" t="s">
        <v>52</v>
      </c>
      <c r="S7" s="124">
        <v>26</v>
      </c>
      <c r="T7" s="122">
        <v>27.728219254996677</v>
      </c>
      <c r="U7" s="122">
        <v>65.89492126235956</v>
      </c>
      <c r="W7" s="140" t="s">
        <v>52</v>
      </c>
      <c r="X7" s="139">
        <v>26</v>
      </c>
      <c r="Y7" s="122">
        <v>4.3942307692307692</v>
      </c>
      <c r="Z7" s="122">
        <v>0.89865982905982944</v>
      </c>
    </row>
    <row r="8" spans="1:27" x14ac:dyDescent="0.35">
      <c r="A8" s="186"/>
      <c r="C8" s="134" t="s">
        <v>44</v>
      </c>
      <c r="D8" s="124">
        <v>53</v>
      </c>
      <c r="E8" s="122">
        <v>881.77867924528312</v>
      </c>
      <c r="F8" s="122">
        <v>179607.338400145</v>
      </c>
      <c r="H8" s="134" t="s">
        <v>44</v>
      </c>
      <c r="I8" s="124">
        <v>53</v>
      </c>
      <c r="J8" s="122">
        <v>149.89823788679249</v>
      </c>
      <c r="K8" s="122">
        <v>5775.9093623476401</v>
      </c>
      <c r="M8" s="134" t="s">
        <v>44</v>
      </c>
      <c r="N8" s="124">
        <v>53</v>
      </c>
      <c r="O8" s="122">
        <v>181.77371008211969</v>
      </c>
      <c r="P8" s="122">
        <v>4040.5927058036459</v>
      </c>
      <c r="R8" s="134" t="s">
        <v>44</v>
      </c>
      <c r="S8" s="124">
        <v>53</v>
      </c>
      <c r="T8" s="122">
        <v>30.939474725046605</v>
      </c>
      <c r="U8" s="122">
        <v>146.27231947866326</v>
      </c>
      <c r="W8" s="140" t="s">
        <v>44</v>
      </c>
      <c r="X8" s="139">
        <v>53</v>
      </c>
      <c r="Y8" s="122">
        <v>4.7050314465408807</v>
      </c>
      <c r="Z8" s="122">
        <v>1.1560746250604728</v>
      </c>
    </row>
    <row r="9" spans="1:27" ht="14.5" customHeight="1" x14ac:dyDescent="0.35">
      <c r="A9" s="186"/>
      <c r="C9" s="134" t="s">
        <v>47</v>
      </c>
      <c r="D9" s="124">
        <v>15</v>
      </c>
      <c r="E9" s="122">
        <v>1021</v>
      </c>
      <c r="F9" s="122">
        <v>154393</v>
      </c>
      <c r="H9" s="134" t="s">
        <v>47</v>
      </c>
      <c r="I9" s="124">
        <v>15</v>
      </c>
      <c r="J9" s="122">
        <v>170.38693466666669</v>
      </c>
      <c r="K9" s="122">
        <v>4217.5860157078878</v>
      </c>
      <c r="M9" s="134" t="s">
        <v>47</v>
      </c>
      <c r="N9" s="124">
        <v>15</v>
      </c>
      <c r="O9" s="122">
        <v>184.31471886271885</v>
      </c>
      <c r="P9" s="122">
        <v>2748.3431520950026</v>
      </c>
      <c r="R9" s="134" t="s">
        <v>47</v>
      </c>
      <c r="S9" s="124">
        <v>15</v>
      </c>
      <c r="T9" s="122">
        <v>30.778366224873235</v>
      </c>
      <c r="U9" s="122">
        <v>73.140886611407296</v>
      </c>
      <c r="W9" s="140" t="s">
        <v>47</v>
      </c>
      <c r="X9" s="139">
        <v>15</v>
      </c>
      <c r="Y9" s="122">
        <v>5.3811111111111103</v>
      </c>
      <c r="Z9" s="122">
        <v>1.0603816137566184</v>
      </c>
    </row>
    <row r="10" spans="1:27" x14ac:dyDescent="0.35">
      <c r="A10" s="186"/>
      <c r="C10" s="134" t="s">
        <v>48</v>
      </c>
      <c r="D10" s="124">
        <v>45</v>
      </c>
      <c r="E10" s="122">
        <v>1211.5853333333332</v>
      </c>
      <c r="F10" s="122">
        <v>155984.99775727262</v>
      </c>
      <c r="H10" s="134" t="s">
        <v>48</v>
      </c>
      <c r="I10" s="124">
        <v>45</v>
      </c>
      <c r="J10" s="122">
        <v>196.65901991111107</v>
      </c>
      <c r="K10" s="122">
        <v>4356.5907504702809</v>
      </c>
      <c r="M10" s="134" t="s">
        <v>48</v>
      </c>
      <c r="N10" s="124">
        <v>45</v>
      </c>
      <c r="O10" s="122">
        <v>218.66758452124995</v>
      </c>
      <c r="P10" s="122">
        <v>2582.0187216248382</v>
      </c>
      <c r="R10" s="134" t="s">
        <v>48</v>
      </c>
      <c r="S10" s="124">
        <v>45</v>
      </c>
      <c r="T10" s="122">
        <v>35.513745150957405</v>
      </c>
      <c r="U10" s="122">
        <v>71.118108372454529</v>
      </c>
      <c r="W10" s="140" t="s">
        <v>48</v>
      </c>
      <c r="X10" s="139">
        <v>45</v>
      </c>
      <c r="Y10" s="122">
        <v>5.4844444444444438</v>
      </c>
      <c r="Z10" s="122">
        <v>1.6687929292929353</v>
      </c>
    </row>
    <row r="11" spans="1:27" x14ac:dyDescent="0.35">
      <c r="A11" s="186"/>
      <c r="C11" s="134" t="s">
        <v>49</v>
      </c>
      <c r="D11" s="124">
        <v>64</v>
      </c>
      <c r="E11" s="122">
        <v>1183.1196875000001</v>
      </c>
      <c r="F11" s="122">
        <v>161473.42401180571</v>
      </c>
      <c r="H11" s="134" t="s">
        <v>49</v>
      </c>
      <c r="I11" s="124">
        <v>64</v>
      </c>
      <c r="J11" s="122">
        <v>195.29490006250001</v>
      </c>
      <c r="K11" s="122">
        <v>4503.2314233715897</v>
      </c>
      <c r="M11" s="134" t="s">
        <v>49</v>
      </c>
      <c r="N11" s="124">
        <v>64</v>
      </c>
      <c r="O11" s="122">
        <v>218.81265451949011</v>
      </c>
      <c r="P11" s="122">
        <v>5139.9610929258297</v>
      </c>
      <c r="R11" s="134" t="s">
        <v>49</v>
      </c>
      <c r="S11" s="124">
        <v>64</v>
      </c>
      <c r="T11" s="122">
        <v>36.406741179053903</v>
      </c>
      <c r="U11" s="122">
        <v>141.640666846686</v>
      </c>
      <c r="W11" s="140" t="s">
        <v>49</v>
      </c>
      <c r="X11" s="139">
        <v>64</v>
      </c>
      <c r="Y11" s="122">
        <v>5.2002604166666675</v>
      </c>
      <c r="Z11" s="122">
        <v>1.9627424355158722</v>
      </c>
    </row>
    <row r="12" spans="1:27" x14ac:dyDescent="0.35">
      <c r="C12" s="134" t="s">
        <v>159</v>
      </c>
      <c r="D12" s="124">
        <v>311</v>
      </c>
      <c r="E12" s="122">
        <v>995.12083601286201</v>
      </c>
      <c r="F12" s="122">
        <v>195105.36274107272</v>
      </c>
      <c r="H12" s="134" t="s">
        <v>159</v>
      </c>
      <c r="I12" s="124">
        <v>311</v>
      </c>
      <c r="J12" s="122">
        <v>166.34953142765281</v>
      </c>
      <c r="K12" s="122">
        <v>5391.9019779474629</v>
      </c>
      <c r="M12" s="134" t="s">
        <v>159</v>
      </c>
      <c r="N12" s="124">
        <v>311</v>
      </c>
      <c r="O12" s="122">
        <v>196.22966382234731</v>
      </c>
      <c r="P12" s="122">
        <v>4633.8408057289262</v>
      </c>
      <c r="R12" s="134" t="s">
        <v>159</v>
      </c>
      <c r="S12" s="124">
        <v>311</v>
      </c>
      <c r="T12" s="122">
        <v>32.910035051602229</v>
      </c>
      <c r="U12" s="122">
        <v>127.88233246531905</v>
      </c>
      <c r="W12" s="134" t="s">
        <v>159</v>
      </c>
      <c r="X12" s="124">
        <v>311</v>
      </c>
      <c r="Y12" s="124">
        <v>4.8722132904608761</v>
      </c>
      <c r="Z12" s="124">
        <v>1.5683062772995042</v>
      </c>
    </row>
    <row r="13" spans="1:27" x14ac:dyDescent="0.35">
      <c r="I13" s="124"/>
    </row>
    <row r="14" spans="1:27" x14ac:dyDescent="0.35">
      <c r="I14" s="124"/>
    </row>
    <row r="15" spans="1:27" x14ac:dyDescent="0.35">
      <c r="C15" s="133" t="s">
        <v>2</v>
      </c>
      <c r="D15" s="137" t="s">
        <v>160</v>
      </c>
      <c r="E15" s="139" t="s">
        <v>168</v>
      </c>
      <c r="F15" s="137" t="s">
        <v>162</v>
      </c>
      <c r="H15" s="133" t="s">
        <v>2</v>
      </c>
      <c r="I15" s="124" t="s">
        <v>160</v>
      </c>
      <c r="J15" s="137" t="s">
        <v>169</v>
      </c>
      <c r="K15" s="137" t="s">
        <v>164</v>
      </c>
      <c r="M15" s="133" t="s">
        <v>2</v>
      </c>
      <c r="N15" s="137" t="s">
        <v>160</v>
      </c>
      <c r="O15" s="137" t="s">
        <v>170</v>
      </c>
      <c r="P15" s="137" t="s">
        <v>163</v>
      </c>
      <c r="R15" s="133" t="s">
        <v>2</v>
      </c>
      <c r="S15" t="s">
        <v>160</v>
      </c>
      <c r="T15" s="137" t="s">
        <v>171</v>
      </c>
      <c r="U15" t="s">
        <v>165</v>
      </c>
      <c r="W15" s="133" t="s">
        <v>2</v>
      </c>
      <c r="X15" t="s">
        <v>160</v>
      </c>
      <c r="Y15" t="s">
        <v>174</v>
      </c>
      <c r="Z15" t="s">
        <v>173</v>
      </c>
    </row>
    <row r="16" spans="1:27" ht="14.5" customHeight="1" x14ac:dyDescent="0.35">
      <c r="A16" s="186" t="s">
        <v>2</v>
      </c>
      <c r="C16" s="140" t="s">
        <v>60</v>
      </c>
      <c r="D16" s="139">
        <v>22</v>
      </c>
      <c r="E16" s="122">
        <v>1092.6818181818182</v>
      </c>
      <c r="F16" s="122">
        <v>158672.39393939398</v>
      </c>
      <c r="H16" t="s">
        <v>60</v>
      </c>
      <c r="I16" s="124">
        <v>22</v>
      </c>
      <c r="J16" s="122">
        <v>180.78445163636363</v>
      </c>
      <c r="K16" s="122">
        <v>4260.598584847131</v>
      </c>
      <c r="M16" s="140" t="s">
        <v>60</v>
      </c>
      <c r="N16" s="139">
        <v>22</v>
      </c>
      <c r="O16" s="122">
        <v>208.12627014000719</v>
      </c>
      <c r="P16" s="122">
        <v>4284.4350990344092</v>
      </c>
      <c r="R16" s="140" t="s">
        <v>60</v>
      </c>
      <c r="S16" s="139">
        <v>22</v>
      </c>
      <c r="T16" s="122">
        <v>34.447757331347411</v>
      </c>
      <c r="U16" s="122">
        <v>112.07870911346548</v>
      </c>
      <c r="W16" s="134" t="s">
        <v>60</v>
      </c>
      <c r="X16" s="124">
        <v>22</v>
      </c>
      <c r="Y16" s="122">
        <v>5.1939393939393934</v>
      </c>
      <c r="Z16" s="122">
        <v>1.0235064935065046</v>
      </c>
    </row>
    <row r="17" spans="1:26" x14ac:dyDescent="0.35">
      <c r="A17" s="186"/>
      <c r="C17" s="140" t="s">
        <v>61</v>
      </c>
      <c r="D17" s="139">
        <v>26</v>
      </c>
      <c r="E17" s="122">
        <v>1021.8461538461538</v>
      </c>
      <c r="F17" s="122">
        <v>226761.13538461537</v>
      </c>
      <c r="H17" t="s">
        <v>61</v>
      </c>
      <c r="I17" s="124">
        <v>26</v>
      </c>
      <c r="J17" s="122">
        <v>176.20369215384613</v>
      </c>
      <c r="K17" s="122">
        <v>6867.7533278874171</v>
      </c>
      <c r="M17" s="140" t="s">
        <v>61</v>
      </c>
      <c r="N17" s="139">
        <v>26</v>
      </c>
      <c r="O17" s="122">
        <v>200.41808686514145</v>
      </c>
      <c r="P17" s="122">
        <v>4828.5287771453523</v>
      </c>
      <c r="R17" s="140" t="s">
        <v>61</v>
      </c>
      <c r="S17" s="139">
        <v>26</v>
      </c>
      <c r="T17" s="122">
        <v>34.649384860312857</v>
      </c>
      <c r="U17" s="122">
        <v>153.98685764132054</v>
      </c>
      <c r="W17" s="134" t="s">
        <v>61</v>
      </c>
      <c r="X17" s="124">
        <v>26</v>
      </c>
      <c r="Y17" s="122">
        <v>4.8660256410256402</v>
      </c>
      <c r="Z17" s="122">
        <v>2.0812551282051346</v>
      </c>
    </row>
    <row r="18" spans="1:26" x14ac:dyDescent="0.35">
      <c r="A18" s="186"/>
      <c r="C18" s="140" t="s">
        <v>62</v>
      </c>
      <c r="D18" s="139">
        <v>29</v>
      </c>
      <c r="E18" s="122">
        <v>1171.1234482758621</v>
      </c>
      <c r="F18" s="122">
        <v>377624.23265911319</v>
      </c>
      <c r="H18" t="s">
        <v>62</v>
      </c>
      <c r="I18" s="124">
        <v>29</v>
      </c>
      <c r="J18" s="122">
        <v>182.6482446896552</v>
      </c>
      <c r="K18" s="122">
        <v>9533.9625672258971</v>
      </c>
      <c r="M18" s="140" t="s">
        <v>62</v>
      </c>
      <c r="N18" s="139">
        <v>29</v>
      </c>
      <c r="O18" s="122">
        <v>217.94031817503694</v>
      </c>
      <c r="P18" s="122">
        <v>6897.7063286757666</v>
      </c>
      <c r="R18" s="140" t="s">
        <v>62</v>
      </c>
      <c r="S18" s="139">
        <v>29</v>
      </c>
      <c r="T18" s="122">
        <v>33.990294148137544</v>
      </c>
      <c r="U18" s="122">
        <v>173.88890377961616</v>
      </c>
      <c r="W18" s="134" t="s">
        <v>62</v>
      </c>
      <c r="X18" s="124">
        <v>29</v>
      </c>
      <c r="Y18" s="122">
        <v>5.1367816091954026</v>
      </c>
      <c r="Z18" s="122">
        <v>1.8302059386973244</v>
      </c>
    </row>
    <row r="19" spans="1:26" x14ac:dyDescent="0.35">
      <c r="A19" s="186"/>
      <c r="C19" s="140" t="s">
        <v>63</v>
      </c>
      <c r="D19" s="139">
        <v>32</v>
      </c>
      <c r="E19" s="122">
        <v>919.09375</v>
      </c>
      <c r="F19" s="122">
        <v>229062.37399193548</v>
      </c>
      <c r="H19" t="s">
        <v>63</v>
      </c>
      <c r="I19" s="124">
        <v>32</v>
      </c>
      <c r="J19" s="122">
        <v>160.38169062500003</v>
      </c>
      <c r="K19" s="122">
        <v>6539.6593094930586</v>
      </c>
      <c r="M19" s="140" t="s">
        <v>63</v>
      </c>
      <c r="N19" s="139">
        <v>32</v>
      </c>
      <c r="O19" s="122">
        <v>187.81193888304423</v>
      </c>
      <c r="P19" s="122">
        <v>4551.4118073949548</v>
      </c>
      <c r="R19" s="140" t="s">
        <v>63</v>
      </c>
      <c r="S19" s="139">
        <v>32</v>
      </c>
      <c r="T19" s="122">
        <v>32.859373668911978</v>
      </c>
      <c r="U19" s="122">
        <v>132.51649323862816</v>
      </c>
      <c r="W19" s="134" t="s">
        <v>63</v>
      </c>
      <c r="X19" s="124">
        <v>32</v>
      </c>
      <c r="Y19" s="122">
        <v>4.6234375000000014</v>
      </c>
      <c r="Z19" s="122">
        <v>1.6512564404121635</v>
      </c>
    </row>
    <row r="20" spans="1:26" x14ac:dyDescent="0.35">
      <c r="A20" s="186"/>
      <c r="C20" s="140" t="s">
        <v>64</v>
      </c>
      <c r="D20" s="139">
        <v>27</v>
      </c>
      <c r="E20" s="122">
        <v>1113.6729629629629</v>
      </c>
      <c r="F20" s="122">
        <v>255960.40948896023</v>
      </c>
      <c r="H20" t="s">
        <v>64</v>
      </c>
      <c r="I20" s="124">
        <v>27</v>
      </c>
      <c r="J20" s="122">
        <v>185.83751274074075</v>
      </c>
      <c r="K20" s="122">
        <v>6423.375720033373</v>
      </c>
      <c r="M20" s="140" t="s">
        <v>64</v>
      </c>
      <c r="N20" s="139">
        <v>27</v>
      </c>
      <c r="O20" s="122">
        <v>201.69152919130161</v>
      </c>
      <c r="P20" s="122">
        <v>7860.9895991510984</v>
      </c>
      <c r="R20" s="140" t="s">
        <v>64</v>
      </c>
      <c r="S20" s="139">
        <v>27</v>
      </c>
      <c r="T20" s="122">
        <v>34.342295309640626</v>
      </c>
      <c r="U20" s="122">
        <v>183.07756269757891</v>
      </c>
      <c r="W20" s="134" t="s">
        <v>64</v>
      </c>
      <c r="X20" s="124">
        <v>27</v>
      </c>
      <c r="Y20" s="122">
        <v>4.67469135802469</v>
      </c>
      <c r="Z20" s="122">
        <v>2.8868188113327076</v>
      </c>
    </row>
    <row r="21" spans="1:26" x14ac:dyDescent="0.35">
      <c r="A21" s="186"/>
      <c r="C21" s="140" t="s">
        <v>43</v>
      </c>
      <c r="D21" s="139">
        <v>27</v>
      </c>
      <c r="E21" s="122">
        <v>887.51851851851848</v>
      </c>
      <c r="F21" s="122">
        <v>119707.04291310548</v>
      </c>
      <c r="H21" t="s">
        <v>43</v>
      </c>
      <c r="I21" s="124">
        <v>27</v>
      </c>
      <c r="J21" s="122">
        <v>152.7928808888889</v>
      </c>
      <c r="K21" s="122">
        <v>3489.3223339562314</v>
      </c>
      <c r="M21" s="140" t="s">
        <v>43</v>
      </c>
      <c r="N21" s="139">
        <v>27</v>
      </c>
      <c r="O21" s="122">
        <v>187.48802930260084</v>
      </c>
      <c r="P21" s="122">
        <v>5247.7851700990132</v>
      </c>
      <c r="R21" s="140" t="s">
        <v>43</v>
      </c>
      <c r="S21" s="139">
        <v>27</v>
      </c>
      <c r="T21" s="122">
        <v>32.187090338795286</v>
      </c>
      <c r="U21" s="122">
        <v>146.18146190497325</v>
      </c>
      <c r="W21" s="134" t="s">
        <v>43</v>
      </c>
      <c r="X21" s="124">
        <v>27</v>
      </c>
      <c r="Y21" s="122">
        <v>4.7135802469135806</v>
      </c>
      <c r="Z21" s="122">
        <v>0.65647515036403969</v>
      </c>
    </row>
    <row r="22" spans="1:26" x14ac:dyDescent="0.35">
      <c r="A22" s="186"/>
      <c r="C22" s="140" t="s">
        <v>53</v>
      </c>
      <c r="D22" s="139">
        <v>22</v>
      </c>
      <c r="E22" s="122">
        <v>1130.4318181818182</v>
      </c>
      <c r="F22" s="122">
        <v>75323.40704415596</v>
      </c>
      <c r="H22" t="s">
        <v>53</v>
      </c>
      <c r="I22" s="124">
        <v>22</v>
      </c>
      <c r="J22" s="122">
        <v>189.16377545454543</v>
      </c>
      <c r="K22" s="122">
        <v>2298.2207497879085</v>
      </c>
      <c r="M22" s="140" t="s">
        <v>53</v>
      </c>
      <c r="N22" s="139">
        <v>22</v>
      </c>
      <c r="O22" s="122">
        <v>218.91324539321283</v>
      </c>
      <c r="P22" s="122">
        <v>1751.2123407812767</v>
      </c>
      <c r="R22" s="140" t="s">
        <v>53</v>
      </c>
      <c r="S22" s="139">
        <v>22</v>
      </c>
      <c r="T22" s="122">
        <v>36.625209455387477</v>
      </c>
      <c r="U22" s="122">
        <v>52.002928187727647</v>
      </c>
      <c r="W22" s="134" t="s">
        <v>53</v>
      </c>
      <c r="X22" s="124">
        <v>22</v>
      </c>
      <c r="Y22" s="122">
        <v>5.1553030303030303</v>
      </c>
      <c r="Z22" s="122">
        <v>0.47501022126021197</v>
      </c>
    </row>
    <row r="23" spans="1:26" x14ac:dyDescent="0.35">
      <c r="A23" s="186"/>
      <c r="C23" s="140" t="s">
        <v>54</v>
      </c>
      <c r="D23" s="139">
        <v>33</v>
      </c>
      <c r="E23" s="122">
        <v>920.94242424242418</v>
      </c>
      <c r="F23" s="122">
        <v>190460.62366893946</v>
      </c>
      <c r="H23" t="s">
        <v>54</v>
      </c>
      <c r="I23" s="124">
        <v>33</v>
      </c>
      <c r="J23" s="122">
        <v>151.58501606060605</v>
      </c>
      <c r="K23" s="122">
        <v>5327.6461380909604</v>
      </c>
      <c r="M23" s="140" t="s">
        <v>54</v>
      </c>
      <c r="N23" s="139">
        <v>33</v>
      </c>
      <c r="O23" s="122">
        <v>191.68702826945417</v>
      </c>
      <c r="P23" s="122">
        <v>3911.112945908666</v>
      </c>
      <c r="R23" s="140" t="s">
        <v>54</v>
      </c>
      <c r="S23" s="139">
        <v>33</v>
      </c>
      <c r="T23" s="122">
        <v>31.564633840461678</v>
      </c>
      <c r="U23" s="122">
        <v>107.16870843289871</v>
      </c>
      <c r="W23" s="134" t="s">
        <v>54</v>
      </c>
      <c r="X23" s="124">
        <v>33</v>
      </c>
      <c r="Y23" s="122">
        <v>4.6361111111111111</v>
      </c>
      <c r="Z23" s="122">
        <v>1.4286400462962945</v>
      </c>
    </row>
    <row r="24" spans="1:26" x14ac:dyDescent="0.35">
      <c r="A24" s="186"/>
      <c r="C24" s="140" t="s">
        <v>56</v>
      </c>
      <c r="D24" s="139">
        <v>26</v>
      </c>
      <c r="E24" s="122">
        <v>875.15384615384619</v>
      </c>
      <c r="F24" s="122">
        <v>130448.99038461536</v>
      </c>
      <c r="H24" t="s">
        <v>56</v>
      </c>
      <c r="I24" s="124">
        <v>26</v>
      </c>
      <c r="J24" s="122">
        <v>143.71329215384614</v>
      </c>
      <c r="K24" s="122">
        <v>3535.2186468818691</v>
      </c>
      <c r="M24" s="140" t="s">
        <v>56</v>
      </c>
      <c r="N24" s="139">
        <v>26</v>
      </c>
      <c r="O24" s="122">
        <v>180.64782102340695</v>
      </c>
      <c r="P24" s="122">
        <v>3634.7930956314176</v>
      </c>
      <c r="R24" s="140" t="s">
        <v>56</v>
      </c>
      <c r="S24" s="139">
        <v>26</v>
      </c>
      <c r="T24" s="122">
        <v>29.977250925040913</v>
      </c>
      <c r="U24" s="122">
        <v>104.30512656706094</v>
      </c>
      <c r="W24" s="134" t="s">
        <v>56</v>
      </c>
      <c r="X24" s="124">
        <v>26</v>
      </c>
      <c r="Y24" s="122">
        <v>4.8467948717948719</v>
      </c>
      <c r="Z24" s="122">
        <v>2.6797337606837619</v>
      </c>
    </row>
    <row r="25" spans="1:26" x14ac:dyDescent="0.35">
      <c r="A25" s="186"/>
      <c r="C25" s="140" t="s">
        <v>57</v>
      </c>
      <c r="D25" s="139">
        <v>26</v>
      </c>
      <c r="E25" s="122">
        <v>842.96076923076919</v>
      </c>
      <c r="F25" s="122">
        <v>148012.50621538461</v>
      </c>
      <c r="H25" t="s">
        <v>57</v>
      </c>
      <c r="I25" s="124">
        <v>26</v>
      </c>
      <c r="J25" s="122">
        <v>140.72800815384613</v>
      </c>
      <c r="K25" s="122">
        <v>4565.4539451886803</v>
      </c>
      <c r="M25" s="140" t="s">
        <v>57</v>
      </c>
      <c r="N25" s="139">
        <v>26</v>
      </c>
      <c r="O25" s="122">
        <v>167.32251333331203</v>
      </c>
      <c r="P25" s="122">
        <v>2668.5301237552658</v>
      </c>
      <c r="R25" s="140" t="s">
        <v>57</v>
      </c>
      <c r="S25" s="139">
        <v>26</v>
      </c>
      <c r="T25" s="122">
        <v>27.956320167290862</v>
      </c>
      <c r="U25" s="122">
        <v>95.179477171284532</v>
      </c>
      <c r="W25" s="134" t="s">
        <v>57</v>
      </c>
      <c r="X25" s="124">
        <v>26</v>
      </c>
      <c r="Y25" s="122">
        <v>4.8480769230769232</v>
      </c>
      <c r="Z25" s="122">
        <v>1.6772072649572691</v>
      </c>
    </row>
    <row r="26" spans="1:26" x14ac:dyDescent="0.35">
      <c r="A26" s="186"/>
      <c r="C26" s="140" t="s">
        <v>58</v>
      </c>
      <c r="D26" s="139">
        <v>21</v>
      </c>
      <c r="E26" s="122">
        <v>940.03571428571433</v>
      </c>
      <c r="F26" s="122">
        <v>156201.86428571437</v>
      </c>
      <c r="H26" t="s">
        <v>58</v>
      </c>
      <c r="I26" s="124">
        <v>21</v>
      </c>
      <c r="J26" s="122">
        <v>160.36667542857145</v>
      </c>
      <c r="K26" s="122">
        <v>5411.8330620164634</v>
      </c>
      <c r="M26" s="140" t="s">
        <v>58</v>
      </c>
      <c r="N26" s="139">
        <v>21</v>
      </c>
      <c r="O26" s="122">
        <v>179.17670799820291</v>
      </c>
      <c r="P26" s="122">
        <v>3287.5395795125396</v>
      </c>
      <c r="R26" s="140" t="s">
        <v>58</v>
      </c>
      <c r="S26" s="139">
        <v>21</v>
      </c>
      <c r="T26" s="122">
        <v>30.320483777710674</v>
      </c>
      <c r="U26" s="122">
        <v>100.54816992059678</v>
      </c>
      <c r="W26" s="134" t="s">
        <v>58</v>
      </c>
      <c r="X26" s="124">
        <v>21</v>
      </c>
      <c r="Y26" s="122">
        <v>5.1619047619047613</v>
      </c>
      <c r="Z26" s="122">
        <v>1.5230873015873043</v>
      </c>
    </row>
    <row r="27" spans="1:26" x14ac:dyDescent="0.35">
      <c r="A27" s="186"/>
      <c r="C27" s="140" t="s">
        <v>59</v>
      </c>
      <c r="D27" s="139">
        <v>20</v>
      </c>
      <c r="E27" s="122">
        <v>1089.875</v>
      </c>
      <c r="F27" s="122">
        <v>130024.10197368421</v>
      </c>
      <c r="H27" t="s">
        <v>59</v>
      </c>
      <c r="I27" s="124">
        <v>20</v>
      </c>
      <c r="J27" s="122">
        <v>183.85169679999998</v>
      </c>
      <c r="K27" s="122">
        <v>3491.0684088347784</v>
      </c>
      <c r="M27" s="140" t="s">
        <v>59</v>
      </c>
      <c r="N27" s="139">
        <v>20</v>
      </c>
      <c r="O27" s="122">
        <v>222.39875018638668</v>
      </c>
      <c r="P27" s="122">
        <v>4382.2854136554888</v>
      </c>
      <c r="R27" s="140" t="s">
        <v>59</v>
      </c>
      <c r="S27" s="139">
        <v>20</v>
      </c>
      <c r="T27" s="122">
        <v>37.619190034763328</v>
      </c>
      <c r="U27" s="122">
        <v>123.133486970687</v>
      </c>
      <c r="W27" s="134" t="s">
        <v>59</v>
      </c>
      <c r="X27" s="124">
        <v>20</v>
      </c>
      <c r="Y27" s="122">
        <v>4.8599999999999994</v>
      </c>
      <c r="Z27" s="122">
        <v>0.5048070175438607</v>
      </c>
    </row>
    <row r="28" spans="1:26" x14ac:dyDescent="0.35">
      <c r="A28" s="183" t="s">
        <v>1</v>
      </c>
      <c r="C28" s="134" t="s">
        <v>159</v>
      </c>
      <c r="D28" s="124">
        <v>311</v>
      </c>
      <c r="E28" s="122">
        <v>995.12083601286156</v>
      </c>
      <c r="F28" s="122">
        <v>195105.3627410733</v>
      </c>
      <c r="H28" s="134" t="s">
        <v>159</v>
      </c>
      <c r="I28" s="124">
        <v>311</v>
      </c>
      <c r="J28" s="122">
        <v>166.34953142765278</v>
      </c>
      <c r="K28" s="122">
        <v>5391.9019779474565</v>
      </c>
      <c r="M28" s="134" t="s">
        <v>159</v>
      </c>
      <c r="N28" s="124">
        <v>311</v>
      </c>
      <c r="O28" s="122">
        <v>196.2296638223475</v>
      </c>
      <c r="P28" s="122">
        <v>4633.8408057288716</v>
      </c>
      <c r="R28" s="134" t="s">
        <v>159</v>
      </c>
      <c r="S28" s="124">
        <v>311</v>
      </c>
      <c r="T28" s="122">
        <v>32.91003505160225</v>
      </c>
      <c r="U28" s="122">
        <v>127.88233246531716</v>
      </c>
      <c r="W28" s="134" t="s">
        <v>159</v>
      </c>
      <c r="X28" s="124">
        <v>311</v>
      </c>
      <c r="Y28" s="123">
        <v>4.8722132904608824</v>
      </c>
      <c r="Z28" s="123">
        <v>1.5683062772994603</v>
      </c>
    </row>
    <row r="29" spans="1:26" x14ac:dyDescent="0.35">
      <c r="A29" s="183"/>
    </row>
    <row r="30" spans="1:26" x14ac:dyDescent="0.35">
      <c r="A30" s="183"/>
    </row>
    <row r="31" spans="1:26" ht="14.5" customHeight="1" x14ac:dyDescent="0.35">
      <c r="A31" s="183"/>
      <c r="C31" s="133" t="s">
        <v>3</v>
      </c>
      <c r="D31" s="137" t="s">
        <v>160</v>
      </c>
      <c r="E31" s="139" t="s">
        <v>168</v>
      </c>
      <c r="F31" s="137" t="s">
        <v>162</v>
      </c>
      <c r="H31" s="133" t="s">
        <v>3</v>
      </c>
      <c r="I31" s="137" t="s">
        <v>160</v>
      </c>
      <c r="J31" s="137" t="s">
        <v>169</v>
      </c>
      <c r="K31" s="137" t="s">
        <v>164</v>
      </c>
      <c r="M31" s="133" t="s">
        <v>3</v>
      </c>
      <c r="N31" s="137" t="s">
        <v>160</v>
      </c>
      <c r="O31" s="137" t="s">
        <v>170</v>
      </c>
      <c r="P31" s="137" t="s">
        <v>163</v>
      </c>
      <c r="R31" s="133" t="s">
        <v>3</v>
      </c>
      <c r="S31" t="s">
        <v>160</v>
      </c>
      <c r="T31" s="137" t="s">
        <v>171</v>
      </c>
      <c r="U31" t="s">
        <v>165</v>
      </c>
      <c r="W31" s="133" t="s">
        <v>3</v>
      </c>
      <c r="X31" t="s">
        <v>160</v>
      </c>
      <c r="Y31" t="s">
        <v>174</v>
      </c>
      <c r="Z31" t="s">
        <v>173</v>
      </c>
    </row>
    <row r="32" spans="1:26" x14ac:dyDescent="0.35">
      <c r="A32" s="183"/>
      <c r="C32" s="134" t="s">
        <v>42</v>
      </c>
      <c r="D32" s="124">
        <v>102</v>
      </c>
      <c r="E32" s="122">
        <v>673.45093137254901</v>
      </c>
      <c r="F32" s="122">
        <v>95925.876826104184</v>
      </c>
      <c r="H32" s="134" t="s">
        <v>42</v>
      </c>
      <c r="I32" s="124">
        <v>102</v>
      </c>
      <c r="J32" s="122">
        <v>112.77957017647061</v>
      </c>
      <c r="K32" s="122">
        <v>2676.786288808757</v>
      </c>
      <c r="M32" s="134" t="s">
        <v>42</v>
      </c>
      <c r="N32" s="124">
        <v>102</v>
      </c>
      <c r="O32" s="122">
        <v>155.0538760997164</v>
      </c>
      <c r="P32" s="122">
        <v>3409.0674436551308</v>
      </c>
      <c r="R32" s="134" t="s">
        <v>42</v>
      </c>
      <c r="S32" s="124">
        <v>102</v>
      </c>
      <c r="T32" s="122">
        <v>26.155019792562943</v>
      </c>
      <c r="U32" s="122">
        <v>101.239717143717</v>
      </c>
      <c r="W32" s="134" t="s">
        <v>42</v>
      </c>
      <c r="X32" s="124">
        <v>102</v>
      </c>
      <c r="Y32" s="122">
        <v>4.0209967320261439</v>
      </c>
      <c r="Z32" s="122">
        <v>1.1203612904182547</v>
      </c>
    </row>
    <row r="33" spans="1:26" ht="14.5" customHeight="1" x14ac:dyDescent="0.35">
      <c r="A33" s="183"/>
      <c r="C33" s="134" t="s">
        <v>46</v>
      </c>
      <c r="D33" s="124">
        <v>209</v>
      </c>
      <c r="E33" s="122">
        <v>1152.108062200957</v>
      </c>
      <c r="F33" s="122">
        <v>168698.31894298183</v>
      </c>
      <c r="H33" s="134" t="s">
        <v>46</v>
      </c>
      <c r="I33" s="124">
        <v>209</v>
      </c>
      <c r="J33" s="122">
        <v>192.49372304306212</v>
      </c>
      <c r="K33" s="122">
        <v>4642.140489471969</v>
      </c>
      <c r="M33" s="134" t="s">
        <v>46</v>
      </c>
      <c r="N33" s="124">
        <v>209</v>
      </c>
      <c r="O33" s="122">
        <v>216.32502433769847</v>
      </c>
      <c r="P33" s="122">
        <v>4013.6552069382114</v>
      </c>
      <c r="R33" s="134" t="s">
        <v>46</v>
      </c>
      <c r="S33" s="124">
        <v>209</v>
      </c>
      <c r="T33" s="122">
        <v>36.206741063190819</v>
      </c>
      <c r="U33" s="122">
        <v>108.13730536219765</v>
      </c>
      <c r="W33" s="134" t="s">
        <v>46</v>
      </c>
      <c r="X33" s="124">
        <v>209</v>
      </c>
      <c r="Y33" s="122">
        <v>5.2876395534290266</v>
      </c>
      <c r="Z33" s="122">
        <v>1.2646314741544853</v>
      </c>
    </row>
    <row r="34" spans="1:26" x14ac:dyDescent="0.35">
      <c r="A34" s="183"/>
      <c r="C34" s="134" t="s">
        <v>159</v>
      </c>
      <c r="D34" s="124">
        <v>311</v>
      </c>
      <c r="E34" s="122">
        <v>995.12083601286179</v>
      </c>
      <c r="F34" s="122">
        <v>195105.3627410729</v>
      </c>
      <c r="H34" s="134" t="s">
        <v>159</v>
      </c>
      <c r="I34" s="124">
        <v>311</v>
      </c>
      <c r="J34" s="122">
        <v>166.34953142765278</v>
      </c>
      <c r="K34" s="122">
        <v>5391.9019779474802</v>
      </c>
      <c r="M34" s="134" t="s">
        <v>159</v>
      </c>
      <c r="N34" s="124">
        <v>311</v>
      </c>
      <c r="O34" s="122">
        <v>196.22966382234742</v>
      </c>
      <c r="P34" s="122">
        <v>4633.8408057288834</v>
      </c>
      <c r="R34" s="134" t="s">
        <v>159</v>
      </c>
      <c r="S34" s="124">
        <v>311</v>
      </c>
      <c r="T34" s="122">
        <v>32.910035051602229</v>
      </c>
      <c r="U34" s="122">
        <v>127.88233246531905</v>
      </c>
      <c r="W34" s="134" t="s">
        <v>159</v>
      </c>
      <c r="X34" s="124">
        <v>311</v>
      </c>
      <c r="Y34" s="123">
        <v>4.8722132904608753</v>
      </c>
      <c r="Z34" s="123">
        <v>1.5683062772995071</v>
      </c>
    </row>
    <row r="36" spans="1:26" x14ac:dyDescent="0.35">
      <c r="A36" s="183" t="s">
        <v>226</v>
      </c>
    </row>
    <row r="37" spans="1:26" ht="14.5" customHeight="1" x14ac:dyDescent="0.35">
      <c r="A37" s="183"/>
      <c r="C37" s="133" t="s">
        <v>3</v>
      </c>
      <c r="D37" s="137" t="s">
        <v>160</v>
      </c>
      <c r="E37" s="139" t="s">
        <v>168</v>
      </c>
      <c r="F37" s="137" t="s">
        <v>162</v>
      </c>
      <c r="H37" s="133" t="s">
        <v>3</v>
      </c>
      <c r="I37" s="137" t="s">
        <v>160</v>
      </c>
      <c r="J37" s="137" t="s">
        <v>169</v>
      </c>
      <c r="K37" s="137" t="s">
        <v>164</v>
      </c>
      <c r="M37" s="133" t="s">
        <v>3</v>
      </c>
      <c r="N37" s="137" t="s">
        <v>160</v>
      </c>
      <c r="O37" s="137" t="s">
        <v>170</v>
      </c>
      <c r="P37" s="137" t="s">
        <v>163</v>
      </c>
      <c r="R37" s="133" t="s">
        <v>3</v>
      </c>
      <c r="S37" t="s">
        <v>160</v>
      </c>
      <c r="T37" s="137" t="s">
        <v>171</v>
      </c>
      <c r="U37" t="s">
        <v>165</v>
      </c>
      <c r="W37" s="133" t="s">
        <v>3</v>
      </c>
      <c r="X37" t="s">
        <v>160</v>
      </c>
      <c r="Y37" t="s">
        <v>174</v>
      </c>
      <c r="Z37" t="s">
        <v>173</v>
      </c>
    </row>
    <row r="38" spans="1:26" x14ac:dyDescent="0.35">
      <c r="A38" s="183"/>
      <c r="C38" s="134" t="s">
        <v>69</v>
      </c>
      <c r="D38" s="124">
        <v>150</v>
      </c>
      <c r="E38" s="122">
        <v>1180.0311333333332</v>
      </c>
      <c r="F38" s="122">
        <v>158942.24479367348</v>
      </c>
      <c r="H38" s="134" t="s">
        <v>69</v>
      </c>
      <c r="I38" s="124">
        <v>150</v>
      </c>
      <c r="J38" s="122">
        <v>195.37266982666659</v>
      </c>
      <c r="K38" s="122">
        <v>4457.3614320315282</v>
      </c>
      <c r="M38" s="134" t="s">
        <v>69</v>
      </c>
      <c r="N38" s="124">
        <v>150</v>
      </c>
      <c r="O38" s="122">
        <v>223.32304929017491</v>
      </c>
      <c r="P38" s="122">
        <v>3650.2824685438381</v>
      </c>
      <c r="R38" s="134" t="s">
        <v>69</v>
      </c>
      <c r="S38" s="124">
        <v>150</v>
      </c>
      <c r="T38" s="122">
        <v>37.015825441563578</v>
      </c>
      <c r="U38" s="122">
        <v>101.82849955061863</v>
      </c>
      <c r="W38" s="134" t="s">
        <v>166</v>
      </c>
      <c r="X38" s="124">
        <v>161</v>
      </c>
      <c r="Y38" s="122">
        <v>4.5080745341614898</v>
      </c>
      <c r="Z38" s="122">
        <v>1.4909777971877247</v>
      </c>
    </row>
    <row r="39" spans="1:26" ht="14.5" customHeight="1" x14ac:dyDescent="0.35">
      <c r="A39" s="183"/>
      <c r="C39" s="134" t="s">
        <v>166</v>
      </c>
      <c r="D39" s="124">
        <v>161</v>
      </c>
      <c r="E39" s="122">
        <v>822.8441614906834</v>
      </c>
      <c r="F39" s="122">
        <v>168082.09750694846</v>
      </c>
      <c r="H39" s="134" t="s">
        <v>166</v>
      </c>
      <c r="I39" s="124">
        <v>161</v>
      </c>
      <c r="J39" s="122">
        <v>139.30934037267076</v>
      </c>
      <c r="K39" s="122">
        <v>4770.4543394569191</v>
      </c>
      <c r="M39" s="134" t="s">
        <v>166</v>
      </c>
      <c r="N39" s="124">
        <v>161</v>
      </c>
      <c r="O39" s="122">
        <v>170.98737922499262</v>
      </c>
      <c r="P39" s="122">
        <v>4249.4124346497647</v>
      </c>
      <c r="R39" s="134" t="s">
        <v>166</v>
      </c>
      <c r="S39" s="124">
        <v>161</v>
      </c>
      <c r="T39" s="122">
        <v>29.084764501948836</v>
      </c>
      <c r="U39" s="122">
        <v>122.4161597687249</v>
      </c>
      <c r="W39" s="134" t="s">
        <v>69</v>
      </c>
      <c r="X39" s="124">
        <v>150</v>
      </c>
      <c r="Y39" s="122">
        <v>5.2630555555555585</v>
      </c>
      <c r="Z39" s="122">
        <v>1.3648102317921813</v>
      </c>
    </row>
    <row r="40" spans="1:26" x14ac:dyDescent="0.35">
      <c r="A40" s="183"/>
      <c r="C40" s="134" t="s">
        <v>159</v>
      </c>
      <c r="D40" s="124">
        <v>311</v>
      </c>
      <c r="E40" s="122">
        <v>995.12083601286179</v>
      </c>
      <c r="F40" s="122">
        <v>195105.36274107272</v>
      </c>
      <c r="H40" s="134" t="s">
        <v>159</v>
      </c>
      <c r="I40" s="124">
        <v>311</v>
      </c>
      <c r="J40" s="122">
        <v>166.34953142765278</v>
      </c>
      <c r="K40" s="122">
        <v>5391.9019779474866</v>
      </c>
      <c r="M40" s="134" t="s">
        <v>159</v>
      </c>
      <c r="N40" s="124">
        <v>311</v>
      </c>
      <c r="O40" s="122">
        <v>196.22966382234762</v>
      </c>
      <c r="P40" s="122">
        <v>4633.8408057288234</v>
      </c>
      <c r="R40" s="134" t="s">
        <v>159</v>
      </c>
      <c r="S40" s="124">
        <v>311</v>
      </c>
      <c r="T40" s="122">
        <v>32.910035051602229</v>
      </c>
      <c r="U40" s="122">
        <v>127.88233246531773</v>
      </c>
      <c r="W40" s="134" t="s">
        <v>159</v>
      </c>
      <c r="X40" s="124">
        <v>311</v>
      </c>
      <c r="Y40" s="123">
        <v>4.8722132904608753</v>
      </c>
      <c r="Z40" s="123">
        <v>1.568306277299516</v>
      </c>
    </row>
    <row r="41" spans="1:26" x14ac:dyDescent="0.35">
      <c r="A41" s="183"/>
    </row>
    <row r="320" spans="13:13" x14ac:dyDescent="0.35">
      <c r="M320" s="120"/>
    </row>
  </sheetData>
  <mergeCells count="9">
    <mergeCell ref="A28:A34"/>
    <mergeCell ref="A36:A41"/>
    <mergeCell ref="R1:U2"/>
    <mergeCell ref="W1:Z2"/>
    <mergeCell ref="A5:A11"/>
    <mergeCell ref="A16:A27"/>
    <mergeCell ref="C1:F2"/>
    <mergeCell ref="H1:K2"/>
    <mergeCell ref="M1:P2"/>
  </mergeCells>
  <conditionalFormatting pivot="1" sqref="E5:E11">
    <cfRule type="top10" dxfId="198" priority="84" rank="1"/>
  </conditionalFormatting>
  <conditionalFormatting pivot="1" sqref="E5:E11">
    <cfRule type="top10" dxfId="197" priority="83" bottom="1" rank="1"/>
  </conditionalFormatting>
  <conditionalFormatting pivot="1" sqref="F5:F11">
    <cfRule type="top10" dxfId="196" priority="82" rank="1"/>
  </conditionalFormatting>
  <conditionalFormatting pivot="1" sqref="F5:F11">
    <cfRule type="top10" dxfId="195" priority="81" bottom="1" rank="1"/>
  </conditionalFormatting>
  <conditionalFormatting pivot="1" sqref="J5:J11">
    <cfRule type="top10" dxfId="194" priority="80" rank="1"/>
  </conditionalFormatting>
  <conditionalFormatting pivot="1" sqref="J5:J11">
    <cfRule type="top10" dxfId="193" priority="79" bottom="1" rank="1"/>
  </conditionalFormatting>
  <conditionalFormatting pivot="1" sqref="K5:K11">
    <cfRule type="top10" dxfId="192" priority="78" rank="1"/>
  </conditionalFormatting>
  <conditionalFormatting pivot="1" sqref="K5:K11">
    <cfRule type="top10" dxfId="191" priority="77" bottom="1" rank="1"/>
  </conditionalFormatting>
  <conditionalFormatting pivot="1" sqref="O5:O11">
    <cfRule type="top10" dxfId="190" priority="76" rank="1"/>
  </conditionalFormatting>
  <conditionalFormatting pivot="1" sqref="O5:O11">
    <cfRule type="top10" dxfId="189" priority="75" bottom="1" rank="1"/>
  </conditionalFormatting>
  <conditionalFormatting pivot="1" sqref="P5:P11">
    <cfRule type="top10" dxfId="188" priority="74" rank="1"/>
  </conditionalFormatting>
  <conditionalFormatting pivot="1" sqref="P5:P11">
    <cfRule type="top10" dxfId="187" priority="73" bottom="1" rank="1"/>
  </conditionalFormatting>
  <conditionalFormatting pivot="1" sqref="T5:T11">
    <cfRule type="top10" dxfId="186" priority="72" rank="1"/>
  </conditionalFormatting>
  <conditionalFormatting pivot="1" sqref="T5:T11">
    <cfRule type="top10" dxfId="185" priority="71" bottom="1" rank="1"/>
  </conditionalFormatting>
  <conditionalFormatting sqref="U4:U11">
    <cfRule type="top10" dxfId="184" priority="70" rank="1"/>
  </conditionalFormatting>
  <conditionalFormatting sqref="U4:U11">
    <cfRule type="top10" dxfId="183" priority="69" bottom="1" rank="1"/>
  </conditionalFormatting>
  <conditionalFormatting pivot="1" sqref="Y5:Y11">
    <cfRule type="top10" dxfId="182" priority="68" rank="1"/>
  </conditionalFormatting>
  <conditionalFormatting pivot="1" sqref="Y5:Y11">
    <cfRule type="top10" dxfId="181" priority="67" bottom="1" rank="1"/>
  </conditionalFormatting>
  <conditionalFormatting pivot="1" sqref="Z5:Z11">
    <cfRule type="top10" dxfId="180" priority="66" rank="1"/>
  </conditionalFormatting>
  <conditionalFormatting pivot="1" sqref="Z5:Z11">
    <cfRule type="top10" dxfId="179" priority="65" bottom="1" rank="1"/>
  </conditionalFormatting>
  <conditionalFormatting pivot="1" sqref="Z16:Z27">
    <cfRule type="top10" dxfId="178" priority="64" rank="1"/>
  </conditionalFormatting>
  <conditionalFormatting pivot="1" sqref="Z16:Z27">
    <cfRule type="top10" dxfId="177" priority="63" bottom="1" rank="1"/>
  </conditionalFormatting>
  <conditionalFormatting pivot="1" sqref="Y16:Y27">
    <cfRule type="top10" dxfId="176" priority="62" rank="1"/>
  </conditionalFormatting>
  <conditionalFormatting pivot="1" sqref="Y16:Y27">
    <cfRule type="top10" dxfId="175" priority="61" bottom="1" rank="1"/>
  </conditionalFormatting>
  <conditionalFormatting pivot="1" sqref="U16:U27">
    <cfRule type="top10" dxfId="174" priority="60" rank="1"/>
  </conditionalFormatting>
  <conditionalFormatting pivot="1" sqref="U16:U27">
    <cfRule type="top10" dxfId="173" priority="59" bottom="1" rank="1"/>
  </conditionalFormatting>
  <conditionalFormatting pivot="1" sqref="T16:T27">
    <cfRule type="top10" dxfId="172" priority="58" rank="1"/>
  </conditionalFormatting>
  <conditionalFormatting pivot="1" sqref="T16:T27">
    <cfRule type="top10" dxfId="171" priority="57" bottom="1" rank="1"/>
  </conditionalFormatting>
  <conditionalFormatting pivot="1" sqref="P16:P27">
    <cfRule type="top10" dxfId="170" priority="56" rank="1"/>
  </conditionalFormatting>
  <conditionalFormatting pivot="1" sqref="P16:P27">
    <cfRule type="top10" dxfId="169" priority="55" bottom="1" rank="1"/>
  </conditionalFormatting>
  <conditionalFormatting pivot="1" sqref="O16:O27">
    <cfRule type="top10" dxfId="168" priority="54" rank="1"/>
  </conditionalFormatting>
  <conditionalFormatting pivot="1" sqref="O16:O27">
    <cfRule type="top10" dxfId="167" priority="53" bottom="1" rank="1"/>
  </conditionalFormatting>
  <conditionalFormatting pivot="1" sqref="K16:K27">
    <cfRule type="top10" dxfId="166" priority="52" rank="1"/>
  </conditionalFormatting>
  <conditionalFormatting pivot="1" sqref="K16:K27">
    <cfRule type="top10" dxfId="165" priority="51" bottom="1" rank="1"/>
  </conditionalFormatting>
  <conditionalFormatting pivot="1" sqref="J16:J27">
    <cfRule type="top10" dxfId="164" priority="50" rank="1"/>
  </conditionalFormatting>
  <conditionalFormatting pivot="1" sqref="J16:J27">
    <cfRule type="top10" dxfId="163" priority="49" bottom="1" rank="1"/>
  </conditionalFormatting>
  <conditionalFormatting pivot="1" sqref="F16:F27">
    <cfRule type="top10" dxfId="162" priority="48" rank="1"/>
  </conditionalFormatting>
  <conditionalFormatting pivot="1" sqref="F16:F27">
    <cfRule type="top10" dxfId="161" priority="47" bottom="1" rank="1"/>
  </conditionalFormatting>
  <conditionalFormatting pivot="1" sqref="E16:E27">
    <cfRule type="top10" dxfId="160" priority="46" rank="1"/>
  </conditionalFormatting>
  <conditionalFormatting pivot="1" sqref="E16:E27">
    <cfRule type="top10" dxfId="159" priority="45" bottom="1" rank="1"/>
  </conditionalFormatting>
  <conditionalFormatting pivot="1" sqref="E32:E33">
    <cfRule type="top10" dxfId="158" priority="44" rank="1"/>
  </conditionalFormatting>
  <conditionalFormatting pivot="1" sqref="E32:E33">
    <cfRule type="top10" dxfId="157" priority="43" bottom="1" rank="1"/>
  </conditionalFormatting>
  <conditionalFormatting pivot="1" sqref="F32:F33">
    <cfRule type="top10" dxfId="156" priority="42" rank="1"/>
  </conditionalFormatting>
  <conditionalFormatting pivot="1" sqref="F32:F33">
    <cfRule type="top10" dxfId="155" priority="41" bottom="1" rank="1"/>
  </conditionalFormatting>
  <conditionalFormatting pivot="1" sqref="E38:E39">
    <cfRule type="top10" dxfId="154" priority="40" rank="1"/>
  </conditionalFormatting>
  <conditionalFormatting pivot="1" sqref="E38:E39">
    <cfRule type="top10" dxfId="153" priority="39" bottom="1" rank="1"/>
  </conditionalFormatting>
  <conditionalFormatting pivot="1" sqref="F38:F39">
    <cfRule type="top10" dxfId="152" priority="38" rank="1"/>
  </conditionalFormatting>
  <conditionalFormatting pivot="1" sqref="F38:F39">
    <cfRule type="top10" dxfId="151" priority="37" bottom="1" rank="1"/>
  </conditionalFormatting>
  <conditionalFormatting pivot="1" sqref="J32:J33">
    <cfRule type="top10" dxfId="150" priority="36" rank="1"/>
  </conditionalFormatting>
  <conditionalFormatting pivot="1" sqref="J32:J33">
    <cfRule type="top10" dxfId="149" priority="35" bottom="1" rank="1"/>
  </conditionalFormatting>
  <conditionalFormatting pivot="1" sqref="K32:K33">
    <cfRule type="top10" dxfId="148" priority="34" rank="1"/>
  </conditionalFormatting>
  <conditionalFormatting pivot="1" sqref="K32:K33">
    <cfRule type="top10" dxfId="147" priority="33" bottom="1" rank="1"/>
  </conditionalFormatting>
  <conditionalFormatting pivot="1" sqref="J38:J39">
    <cfRule type="top10" dxfId="146" priority="32" rank="1"/>
  </conditionalFormatting>
  <conditionalFormatting pivot="1" sqref="J38:J39">
    <cfRule type="top10" dxfId="145" priority="31" bottom="1" rank="1"/>
  </conditionalFormatting>
  <conditionalFormatting pivot="1" sqref="K38:K39">
    <cfRule type="top10" dxfId="144" priority="30" rank="1"/>
  </conditionalFormatting>
  <conditionalFormatting pivot="1" sqref="K38:K39">
    <cfRule type="top10" dxfId="143" priority="29" bottom="1" rank="1"/>
  </conditionalFormatting>
  <conditionalFormatting pivot="1" sqref="O32:O33">
    <cfRule type="top10" dxfId="142" priority="26" rank="1"/>
  </conditionalFormatting>
  <conditionalFormatting pivot="1" sqref="O32:O33">
    <cfRule type="top10" dxfId="141" priority="25" bottom="1" rank="1"/>
  </conditionalFormatting>
  <conditionalFormatting pivot="1" sqref="P32:P33">
    <cfRule type="top10" dxfId="140" priority="24" rank="1"/>
  </conditionalFormatting>
  <conditionalFormatting pivot="1" sqref="P32:P33">
    <cfRule type="top10" dxfId="139" priority="23" bottom="1" rank="1"/>
  </conditionalFormatting>
  <conditionalFormatting pivot="1" sqref="O38:O39">
    <cfRule type="top10" dxfId="138" priority="22" rank="1"/>
  </conditionalFormatting>
  <conditionalFormatting pivot="1" sqref="O38:O39">
    <cfRule type="top10" dxfId="137" priority="21" bottom="1" rank="1"/>
  </conditionalFormatting>
  <conditionalFormatting pivot="1" sqref="P38:P39">
    <cfRule type="top10" dxfId="136" priority="20" rank="1"/>
  </conditionalFormatting>
  <conditionalFormatting pivot="1" sqref="P38:P39">
    <cfRule type="top10" dxfId="135" priority="19" bottom="1" rank="1"/>
  </conditionalFormatting>
  <conditionalFormatting pivot="1" sqref="T32:T33">
    <cfRule type="top10" dxfId="134" priority="18" rank="1"/>
  </conditionalFormatting>
  <conditionalFormatting pivot="1" sqref="T32:T33">
    <cfRule type="top10" dxfId="133" priority="17" bottom="1" rank="1"/>
  </conditionalFormatting>
  <conditionalFormatting pivot="1" sqref="U32:U33">
    <cfRule type="top10" dxfId="132" priority="16" rank="1"/>
  </conditionalFormatting>
  <conditionalFormatting pivot="1" sqref="U32:U33">
    <cfRule type="top10" dxfId="131" priority="15" bottom="1" rank="1"/>
  </conditionalFormatting>
  <conditionalFormatting pivot="1" sqref="T38:T39">
    <cfRule type="top10" dxfId="130" priority="14" rank="1"/>
  </conditionalFormatting>
  <conditionalFormatting pivot="1" sqref="T38:T39">
    <cfRule type="top10" dxfId="129" priority="13" bottom="1" rank="1"/>
  </conditionalFormatting>
  <conditionalFormatting pivot="1" sqref="U38:U39">
    <cfRule type="top10" dxfId="128" priority="12" rank="1"/>
  </conditionalFormatting>
  <conditionalFormatting pivot="1" sqref="U38:U39">
    <cfRule type="top10" dxfId="127" priority="11" bottom="1" rank="1"/>
  </conditionalFormatting>
  <conditionalFormatting pivot="1" sqref="Y32:Y33">
    <cfRule type="top10" dxfId="126" priority="8" rank="1"/>
  </conditionalFormatting>
  <conditionalFormatting pivot="1" sqref="Y32:Y33">
    <cfRule type="top10" dxfId="125" priority="7" bottom="1" rank="1"/>
  </conditionalFormatting>
  <conditionalFormatting pivot="1" sqref="Z32:Z33">
    <cfRule type="top10" dxfId="124" priority="6" rank="1"/>
  </conditionalFormatting>
  <conditionalFormatting pivot="1" sqref="Z32:Z33">
    <cfRule type="top10" dxfId="123" priority="5" bottom="1" rank="1"/>
  </conditionalFormatting>
  <conditionalFormatting pivot="1" sqref="Y38:Y39">
    <cfRule type="top10" dxfId="122" priority="4" rank="1"/>
  </conditionalFormatting>
  <conditionalFormatting pivot="1" sqref="Y38:Y39">
    <cfRule type="top10" dxfId="121" priority="3" bottom="1" rank="1"/>
  </conditionalFormatting>
  <conditionalFormatting pivot="1" sqref="Z38:Z39">
    <cfRule type="top10" dxfId="120" priority="2" rank="1"/>
  </conditionalFormatting>
  <conditionalFormatting pivot="1" sqref="Z38:Z39">
    <cfRule type="top10" dxfId="119" priority="1" bottom="1" rank="1"/>
  </conditionalFormatting>
  <pageMargins left="0.7" right="0.7" top="0.75" bottom="0.75" header="0.3" footer="0.3"/>
  <customProperties>
    <customPr name="LastActive" r:id="rId2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D397D-F6F8-4522-8FB3-DE9626570253}">
  <sheetPr>
    <tabColor rgb="FFFFFF00"/>
  </sheetPr>
  <dimension ref="B2:K212"/>
  <sheetViews>
    <sheetView topLeftCell="A2" workbookViewId="0">
      <selection activeCell="B4" sqref="B4"/>
    </sheetView>
  </sheetViews>
  <sheetFormatPr defaultRowHeight="14.5" x14ac:dyDescent="0.35"/>
  <cols>
    <col min="3" max="3" width="22.36328125" style="120" bestFit="1" customWidth="1"/>
    <col min="4" max="4" width="23" bestFit="1" customWidth="1"/>
    <col min="6" max="6" width="9.08984375" bestFit="1" customWidth="1"/>
    <col min="7" max="7" width="23" bestFit="1" customWidth="1"/>
    <col min="11" max="11" width="9.08984375" style="120" bestFit="1" customWidth="1"/>
    <col min="12" max="12" width="22.1796875" bestFit="1" customWidth="1"/>
  </cols>
  <sheetData>
    <row r="2" spans="2:3" x14ac:dyDescent="0.35">
      <c r="B2" s="128" t="s">
        <v>0</v>
      </c>
      <c r="C2" s="128" t="s">
        <v>149</v>
      </c>
    </row>
    <row r="3" spans="2:3" x14ac:dyDescent="0.35">
      <c r="B3" s="120">
        <v>45015</v>
      </c>
      <c r="C3" t="s">
        <v>127</v>
      </c>
    </row>
    <row r="4" spans="2:3" x14ac:dyDescent="0.35">
      <c r="B4" s="120">
        <v>45016</v>
      </c>
      <c r="C4" t="s">
        <v>127</v>
      </c>
    </row>
    <row r="5" spans="2:3" x14ac:dyDescent="0.35">
      <c r="B5" s="120">
        <v>45017</v>
      </c>
      <c r="C5" t="s">
        <v>127</v>
      </c>
    </row>
    <row r="6" spans="2:3" x14ac:dyDescent="0.35">
      <c r="B6" s="120">
        <v>45018</v>
      </c>
      <c r="C6" t="s">
        <v>127</v>
      </c>
    </row>
    <row r="7" spans="2:3" x14ac:dyDescent="0.35">
      <c r="B7" s="120">
        <v>45019</v>
      </c>
      <c r="C7" t="s">
        <v>128</v>
      </c>
    </row>
    <row r="8" spans="2:3" x14ac:dyDescent="0.35">
      <c r="B8" s="120">
        <v>45020</v>
      </c>
      <c r="C8" t="s">
        <v>128</v>
      </c>
    </row>
    <row r="9" spans="2:3" x14ac:dyDescent="0.35">
      <c r="B9" s="120">
        <v>45021</v>
      </c>
      <c r="C9" t="s">
        <v>128</v>
      </c>
    </row>
    <row r="10" spans="2:3" x14ac:dyDescent="0.35">
      <c r="B10" s="120">
        <v>45030</v>
      </c>
      <c r="C10" t="s">
        <v>129</v>
      </c>
    </row>
    <row r="11" spans="2:3" x14ac:dyDescent="0.35">
      <c r="B11" s="120">
        <v>45031</v>
      </c>
      <c r="C11" t="s">
        <v>129</v>
      </c>
    </row>
    <row r="12" spans="2:3" x14ac:dyDescent="0.35">
      <c r="B12" s="120">
        <v>45032</v>
      </c>
      <c r="C12" t="s">
        <v>129</v>
      </c>
    </row>
    <row r="13" spans="2:3" x14ac:dyDescent="0.35">
      <c r="B13" s="120">
        <v>45033</v>
      </c>
      <c r="C13" t="s">
        <v>130</v>
      </c>
    </row>
    <row r="14" spans="2:3" x14ac:dyDescent="0.35">
      <c r="B14" s="120">
        <v>45034</v>
      </c>
      <c r="C14" t="s">
        <v>130</v>
      </c>
    </row>
    <row r="15" spans="2:3" x14ac:dyDescent="0.35">
      <c r="B15" s="120">
        <v>45035</v>
      </c>
      <c r="C15" t="s">
        <v>130</v>
      </c>
    </row>
    <row r="16" spans="2:3" x14ac:dyDescent="0.35">
      <c r="B16" s="120">
        <v>45044</v>
      </c>
      <c r="C16" t="s">
        <v>131</v>
      </c>
    </row>
    <row r="17" spans="2:3" x14ac:dyDescent="0.35">
      <c r="B17" s="120">
        <v>45045</v>
      </c>
      <c r="C17" t="s">
        <v>131</v>
      </c>
    </row>
    <row r="18" spans="2:3" x14ac:dyDescent="0.35">
      <c r="B18" s="120">
        <v>45046</v>
      </c>
      <c r="C18" t="s">
        <v>131</v>
      </c>
    </row>
    <row r="19" spans="2:3" x14ac:dyDescent="0.35">
      <c r="B19" s="120">
        <v>45047</v>
      </c>
      <c r="C19" t="s">
        <v>132</v>
      </c>
    </row>
    <row r="20" spans="2:3" x14ac:dyDescent="0.35">
      <c r="B20" s="120">
        <v>45048</v>
      </c>
      <c r="C20" t="s">
        <v>132</v>
      </c>
    </row>
    <row r="21" spans="2:3" x14ac:dyDescent="0.35">
      <c r="B21" s="120">
        <v>45049</v>
      </c>
      <c r="C21" t="s">
        <v>132</v>
      </c>
    </row>
    <row r="22" spans="2:3" x14ac:dyDescent="0.35">
      <c r="B22" s="120">
        <v>45061</v>
      </c>
      <c r="C22" t="s">
        <v>133</v>
      </c>
    </row>
    <row r="23" spans="2:3" x14ac:dyDescent="0.35">
      <c r="B23" s="120">
        <v>45062</v>
      </c>
      <c r="C23" t="s">
        <v>133</v>
      </c>
    </row>
    <row r="24" spans="2:3" x14ac:dyDescent="0.35">
      <c r="B24" s="120">
        <v>45063</v>
      </c>
      <c r="C24" t="s">
        <v>133</v>
      </c>
    </row>
    <row r="25" spans="2:3" x14ac:dyDescent="0.35">
      <c r="B25" s="120">
        <v>45065</v>
      </c>
      <c r="C25" t="s">
        <v>134</v>
      </c>
    </row>
    <row r="26" spans="2:3" x14ac:dyDescent="0.35">
      <c r="B26" s="120">
        <v>45066</v>
      </c>
      <c r="C26" t="s">
        <v>134</v>
      </c>
    </row>
    <row r="27" spans="2:3" x14ac:dyDescent="0.35">
      <c r="B27" s="120">
        <v>45067</v>
      </c>
      <c r="C27" t="s">
        <v>134</v>
      </c>
    </row>
    <row r="28" spans="2:3" x14ac:dyDescent="0.35">
      <c r="B28" s="120">
        <v>45075</v>
      </c>
      <c r="C28" t="s">
        <v>135</v>
      </c>
    </row>
    <row r="29" spans="2:3" x14ac:dyDescent="0.35">
      <c r="B29" s="120">
        <v>45076</v>
      </c>
      <c r="C29" t="s">
        <v>135</v>
      </c>
    </row>
    <row r="30" spans="2:3" x14ac:dyDescent="0.35">
      <c r="B30" s="120">
        <v>45077</v>
      </c>
      <c r="C30" t="s">
        <v>135</v>
      </c>
    </row>
    <row r="31" spans="2:3" x14ac:dyDescent="0.35">
      <c r="B31" s="120">
        <v>45078</v>
      </c>
      <c r="C31" t="s">
        <v>136</v>
      </c>
    </row>
    <row r="32" spans="2:3" x14ac:dyDescent="0.35">
      <c r="B32" s="120">
        <v>45079</v>
      </c>
      <c r="C32" t="s">
        <v>136</v>
      </c>
    </row>
    <row r="33" spans="2:3" x14ac:dyDescent="0.35">
      <c r="B33" s="120">
        <v>45080</v>
      </c>
      <c r="C33" t="s">
        <v>136</v>
      </c>
    </row>
    <row r="34" spans="2:3" x14ac:dyDescent="0.35">
      <c r="B34" s="120">
        <v>45081</v>
      </c>
      <c r="C34" t="s">
        <v>136</v>
      </c>
    </row>
    <row r="35" spans="2:3" x14ac:dyDescent="0.35">
      <c r="B35" s="120">
        <v>45090</v>
      </c>
      <c r="C35" t="s">
        <v>137</v>
      </c>
    </row>
    <row r="36" spans="2:3" x14ac:dyDescent="0.35">
      <c r="B36" s="120">
        <v>45091</v>
      </c>
      <c r="C36" t="s">
        <v>137</v>
      </c>
    </row>
    <row r="37" spans="2:3" x14ac:dyDescent="0.35">
      <c r="B37" s="120">
        <v>45092</v>
      </c>
      <c r="C37" t="s">
        <v>137</v>
      </c>
    </row>
    <row r="38" spans="2:3" x14ac:dyDescent="0.35">
      <c r="B38" s="120">
        <v>45093</v>
      </c>
      <c r="C38" t="s">
        <v>138</v>
      </c>
    </row>
    <row r="39" spans="2:3" x14ac:dyDescent="0.35">
      <c r="B39" s="120">
        <v>45094</v>
      </c>
      <c r="C39" t="s">
        <v>138</v>
      </c>
    </row>
    <row r="40" spans="2:3" x14ac:dyDescent="0.35">
      <c r="B40" s="120">
        <v>45095</v>
      </c>
      <c r="C40" t="s">
        <v>138</v>
      </c>
    </row>
    <row r="41" spans="2:3" x14ac:dyDescent="0.35">
      <c r="B41" s="120">
        <v>45096</v>
      </c>
      <c r="C41" t="s">
        <v>139</v>
      </c>
    </row>
    <row r="42" spans="2:3" x14ac:dyDescent="0.35">
      <c r="B42" s="120">
        <v>45097</v>
      </c>
      <c r="C42" t="s">
        <v>139</v>
      </c>
    </row>
    <row r="43" spans="2:3" x14ac:dyDescent="0.35">
      <c r="B43" s="120">
        <v>45098</v>
      </c>
      <c r="C43" t="s">
        <v>139</v>
      </c>
    </row>
    <row r="44" spans="2:3" x14ac:dyDescent="0.35">
      <c r="B44" s="120">
        <v>45111</v>
      </c>
      <c r="C44" t="s">
        <v>140</v>
      </c>
    </row>
    <row r="45" spans="2:3" x14ac:dyDescent="0.35">
      <c r="B45" s="120">
        <v>45112</v>
      </c>
      <c r="C45" t="s">
        <v>140</v>
      </c>
    </row>
    <row r="46" spans="2:3" x14ac:dyDescent="0.35">
      <c r="B46" s="120">
        <v>45113</v>
      </c>
      <c r="C46" t="s">
        <v>141</v>
      </c>
    </row>
    <row r="47" spans="2:3" x14ac:dyDescent="0.35">
      <c r="B47" s="120">
        <v>45114</v>
      </c>
      <c r="C47" t="s">
        <v>141</v>
      </c>
    </row>
    <row r="48" spans="2:3" x14ac:dyDescent="0.35">
      <c r="B48" s="120">
        <v>45115</v>
      </c>
      <c r="C48" t="s">
        <v>141</v>
      </c>
    </row>
    <row r="49" spans="2:3" x14ac:dyDescent="0.35">
      <c r="B49" s="120">
        <v>45116</v>
      </c>
      <c r="C49" t="s">
        <v>141</v>
      </c>
    </row>
    <row r="50" spans="2:3" x14ac:dyDescent="0.35">
      <c r="B50" s="120">
        <v>45131</v>
      </c>
      <c r="C50" t="s">
        <v>129</v>
      </c>
    </row>
    <row r="51" spans="2:3" x14ac:dyDescent="0.35">
      <c r="B51" s="120">
        <v>45132</v>
      </c>
      <c r="C51" t="s">
        <v>129</v>
      </c>
    </row>
    <row r="52" spans="2:3" x14ac:dyDescent="0.35">
      <c r="B52" s="120">
        <v>45133</v>
      </c>
      <c r="C52" t="s">
        <v>129</v>
      </c>
    </row>
    <row r="53" spans="2:3" x14ac:dyDescent="0.35">
      <c r="B53" s="120">
        <v>45135</v>
      </c>
      <c r="C53" t="s">
        <v>142</v>
      </c>
    </row>
    <row r="54" spans="2:3" x14ac:dyDescent="0.35">
      <c r="B54" s="120">
        <v>45136</v>
      </c>
      <c r="C54" t="s">
        <v>142</v>
      </c>
    </row>
    <row r="55" spans="2:3" x14ac:dyDescent="0.35">
      <c r="B55" s="120">
        <v>45137</v>
      </c>
      <c r="C55" t="s">
        <v>142</v>
      </c>
    </row>
    <row r="56" spans="2:3" x14ac:dyDescent="0.35">
      <c r="B56" s="120">
        <v>45138</v>
      </c>
      <c r="C56" t="s">
        <v>143</v>
      </c>
    </row>
    <row r="57" spans="2:3" x14ac:dyDescent="0.35">
      <c r="B57" s="120">
        <v>45139</v>
      </c>
      <c r="C57" t="s">
        <v>143</v>
      </c>
    </row>
    <row r="58" spans="2:3" x14ac:dyDescent="0.35">
      <c r="B58" s="120">
        <v>45140</v>
      </c>
      <c r="C58" t="s">
        <v>143</v>
      </c>
    </row>
    <row r="59" spans="2:3" x14ac:dyDescent="0.35">
      <c r="B59" s="120">
        <v>45149</v>
      </c>
      <c r="C59" t="s">
        <v>136</v>
      </c>
    </row>
    <row r="60" spans="2:3" x14ac:dyDescent="0.35">
      <c r="B60" s="120">
        <v>45150</v>
      </c>
      <c r="C60" t="s">
        <v>136</v>
      </c>
    </row>
    <row r="61" spans="2:3" x14ac:dyDescent="0.35">
      <c r="B61" s="120">
        <v>45151</v>
      </c>
      <c r="C61" t="s">
        <v>136</v>
      </c>
    </row>
    <row r="62" spans="2:3" x14ac:dyDescent="0.35">
      <c r="B62" s="120">
        <v>45156</v>
      </c>
      <c r="C62" t="s">
        <v>141</v>
      </c>
    </row>
    <row r="63" spans="2:3" x14ac:dyDescent="0.35">
      <c r="B63" s="120">
        <v>45157</v>
      </c>
      <c r="C63" t="s">
        <v>141</v>
      </c>
    </row>
    <row r="64" spans="2:3" x14ac:dyDescent="0.35">
      <c r="B64" s="120">
        <v>45158</v>
      </c>
      <c r="C64" t="s">
        <v>141</v>
      </c>
    </row>
    <row r="65" spans="2:3" x14ac:dyDescent="0.35">
      <c r="B65" s="120">
        <v>45159</v>
      </c>
      <c r="C65" t="s">
        <v>144</v>
      </c>
    </row>
    <row r="66" spans="2:3" x14ac:dyDescent="0.35">
      <c r="B66" s="120">
        <v>45160</v>
      </c>
      <c r="C66" t="s">
        <v>144</v>
      </c>
    </row>
    <row r="67" spans="2:3" x14ac:dyDescent="0.35">
      <c r="B67" s="120">
        <v>45161</v>
      </c>
      <c r="C67" t="s">
        <v>144</v>
      </c>
    </row>
    <row r="68" spans="2:3" x14ac:dyDescent="0.35">
      <c r="B68" s="120">
        <v>45162</v>
      </c>
      <c r="C68" t="s">
        <v>144</v>
      </c>
    </row>
    <row r="69" spans="2:3" x14ac:dyDescent="0.35">
      <c r="B69" s="120">
        <v>45170</v>
      </c>
      <c r="C69" t="s">
        <v>145</v>
      </c>
    </row>
    <row r="70" spans="2:3" x14ac:dyDescent="0.35">
      <c r="B70" s="120">
        <v>45171</v>
      </c>
      <c r="C70" t="s">
        <v>145</v>
      </c>
    </row>
    <row r="71" spans="2:3" x14ac:dyDescent="0.35">
      <c r="B71" s="120">
        <v>45172</v>
      </c>
      <c r="C71" t="s">
        <v>145</v>
      </c>
    </row>
    <row r="72" spans="2:3" x14ac:dyDescent="0.35">
      <c r="B72" s="120">
        <v>45177</v>
      </c>
      <c r="C72" t="s">
        <v>146</v>
      </c>
    </row>
    <row r="73" spans="2:3" x14ac:dyDescent="0.35">
      <c r="B73" s="120">
        <v>45178</v>
      </c>
      <c r="C73" t="s">
        <v>146</v>
      </c>
    </row>
    <row r="74" spans="2:3" x14ac:dyDescent="0.35">
      <c r="B74" s="120">
        <v>45179</v>
      </c>
      <c r="C74" t="s">
        <v>146</v>
      </c>
    </row>
    <row r="75" spans="2:3" x14ac:dyDescent="0.35">
      <c r="B75" s="120">
        <v>45180</v>
      </c>
      <c r="C75" t="s">
        <v>134</v>
      </c>
    </row>
    <row r="76" spans="2:3" x14ac:dyDescent="0.35">
      <c r="B76" s="120">
        <v>45181</v>
      </c>
      <c r="C76" t="s">
        <v>134</v>
      </c>
    </row>
    <row r="77" spans="2:3" x14ac:dyDescent="0.35">
      <c r="B77" s="120">
        <v>45182</v>
      </c>
      <c r="C77" t="s">
        <v>134</v>
      </c>
    </row>
    <row r="78" spans="2:3" x14ac:dyDescent="0.35">
      <c r="B78" s="120">
        <v>45187</v>
      </c>
      <c r="C78" t="s">
        <v>147</v>
      </c>
    </row>
    <row r="79" spans="2:3" x14ac:dyDescent="0.35">
      <c r="B79" s="120">
        <v>45188</v>
      </c>
      <c r="C79" t="s">
        <v>147</v>
      </c>
    </row>
    <row r="80" spans="2:3" x14ac:dyDescent="0.35">
      <c r="B80" s="120">
        <v>45189</v>
      </c>
      <c r="C80" t="s">
        <v>147</v>
      </c>
    </row>
    <row r="81" spans="2:11" x14ac:dyDescent="0.35">
      <c r="B81" s="120">
        <v>45191</v>
      </c>
      <c r="C81" t="s">
        <v>148</v>
      </c>
    </row>
    <row r="82" spans="2:11" x14ac:dyDescent="0.35">
      <c r="B82" s="120">
        <v>45192</v>
      </c>
      <c r="C82" t="s">
        <v>148</v>
      </c>
    </row>
    <row r="83" spans="2:11" x14ac:dyDescent="0.35">
      <c r="B83" s="120">
        <v>45193</v>
      </c>
      <c r="C83" t="s">
        <v>148</v>
      </c>
    </row>
    <row r="84" spans="2:11" x14ac:dyDescent="0.35">
      <c r="B84" s="120">
        <v>45379</v>
      </c>
      <c r="C84" t="s">
        <v>145</v>
      </c>
      <c r="K84"/>
    </row>
    <row r="85" spans="2:11" x14ac:dyDescent="0.35">
      <c r="B85" s="120">
        <v>45380</v>
      </c>
      <c r="C85" t="s">
        <v>145</v>
      </c>
      <c r="K85"/>
    </row>
    <row r="86" spans="2:11" x14ac:dyDescent="0.35">
      <c r="B86" s="120">
        <v>45381</v>
      </c>
      <c r="C86" t="s">
        <v>145</v>
      </c>
      <c r="K86"/>
    </row>
    <row r="87" spans="2:11" x14ac:dyDescent="0.35">
      <c r="B87" s="120">
        <v>45382</v>
      </c>
      <c r="C87" t="s">
        <v>145</v>
      </c>
      <c r="K87"/>
    </row>
    <row r="88" spans="2:11" x14ac:dyDescent="0.35">
      <c r="B88" s="120">
        <v>45383</v>
      </c>
      <c r="C88" t="s">
        <v>130</v>
      </c>
      <c r="K88"/>
    </row>
    <row r="89" spans="2:11" x14ac:dyDescent="0.35">
      <c r="B89" s="120">
        <v>45384</v>
      </c>
      <c r="C89" t="s">
        <v>130</v>
      </c>
      <c r="K89"/>
    </row>
    <row r="90" spans="2:11" x14ac:dyDescent="0.35">
      <c r="B90" s="120">
        <v>45385</v>
      </c>
      <c r="C90" t="s">
        <v>130</v>
      </c>
      <c r="K90"/>
    </row>
    <row r="91" spans="2:11" x14ac:dyDescent="0.35">
      <c r="B91" s="120">
        <v>45394</v>
      </c>
      <c r="C91" t="s">
        <v>129</v>
      </c>
      <c r="K91"/>
    </row>
    <row r="92" spans="2:11" x14ac:dyDescent="0.35">
      <c r="B92" s="120">
        <v>45395</v>
      </c>
      <c r="C92" t="s">
        <v>129</v>
      </c>
      <c r="K92"/>
    </row>
    <row r="93" spans="2:11" x14ac:dyDescent="0.35">
      <c r="B93" s="120">
        <v>45396</v>
      </c>
      <c r="C93" t="s">
        <v>129</v>
      </c>
      <c r="K93"/>
    </row>
    <row r="94" spans="2:11" x14ac:dyDescent="0.35">
      <c r="B94" s="120">
        <v>45397</v>
      </c>
      <c r="C94" t="s">
        <v>150</v>
      </c>
      <c r="K94"/>
    </row>
    <row r="95" spans="2:11" x14ac:dyDescent="0.35">
      <c r="B95" s="120">
        <v>45398</v>
      </c>
      <c r="C95" t="s">
        <v>150</v>
      </c>
      <c r="K95"/>
    </row>
    <row r="96" spans="2:11" x14ac:dyDescent="0.35">
      <c r="B96" s="120">
        <v>45399</v>
      </c>
      <c r="C96" t="s">
        <v>150</v>
      </c>
      <c r="K96"/>
    </row>
    <row r="97" spans="2:11" x14ac:dyDescent="0.35">
      <c r="B97" s="120">
        <v>45412</v>
      </c>
      <c r="C97" t="s">
        <v>143</v>
      </c>
      <c r="K97"/>
    </row>
    <row r="98" spans="2:11" x14ac:dyDescent="0.35">
      <c r="B98" s="120">
        <v>45413</v>
      </c>
      <c r="C98" t="s">
        <v>143</v>
      </c>
      <c r="K98"/>
    </row>
    <row r="99" spans="2:11" x14ac:dyDescent="0.35">
      <c r="B99" s="120">
        <v>45414</v>
      </c>
      <c r="C99" t="s">
        <v>143</v>
      </c>
      <c r="K99"/>
    </row>
    <row r="100" spans="2:11" x14ac:dyDescent="0.35">
      <c r="B100" s="120">
        <v>45415</v>
      </c>
      <c r="C100" t="s">
        <v>141</v>
      </c>
      <c r="K100"/>
    </row>
    <row r="101" spans="2:11" x14ac:dyDescent="0.35">
      <c r="B101" s="120">
        <v>45416</v>
      </c>
      <c r="C101" t="s">
        <v>141</v>
      </c>
      <c r="K101"/>
    </row>
    <row r="102" spans="2:11" x14ac:dyDescent="0.35">
      <c r="B102" s="120">
        <v>45417</v>
      </c>
      <c r="C102" t="s">
        <v>141</v>
      </c>
      <c r="K102"/>
    </row>
    <row r="103" spans="2:11" x14ac:dyDescent="0.35">
      <c r="B103" s="120">
        <v>45425</v>
      </c>
      <c r="C103" t="s">
        <v>134</v>
      </c>
      <c r="K103"/>
    </row>
    <row r="104" spans="2:11" x14ac:dyDescent="0.35">
      <c r="B104" s="120">
        <v>45426</v>
      </c>
      <c r="C104" t="s">
        <v>134</v>
      </c>
      <c r="K104"/>
    </row>
    <row r="105" spans="2:11" x14ac:dyDescent="0.35">
      <c r="B105" s="120">
        <v>45427</v>
      </c>
      <c r="C105" t="s">
        <v>134</v>
      </c>
      <c r="K105"/>
    </row>
    <row r="106" spans="2:11" x14ac:dyDescent="0.35">
      <c r="B106" s="120">
        <v>45428</v>
      </c>
      <c r="C106" t="s">
        <v>134</v>
      </c>
      <c r="K106"/>
    </row>
    <row r="107" spans="2:11" x14ac:dyDescent="0.35">
      <c r="B107" s="120">
        <v>45429</v>
      </c>
      <c r="C107" t="s">
        <v>151</v>
      </c>
      <c r="K107"/>
    </row>
    <row r="108" spans="2:11" x14ac:dyDescent="0.35">
      <c r="B108" s="120">
        <v>45430</v>
      </c>
      <c r="C108" t="s">
        <v>151</v>
      </c>
      <c r="K108"/>
    </row>
    <row r="109" spans="2:11" x14ac:dyDescent="0.35">
      <c r="B109" s="120">
        <v>45431</v>
      </c>
      <c r="C109" t="s">
        <v>151</v>
      </c>
      <c r="K109"/>
    </row>
    <row r="110" spans="2:11" x14ac:dyDescent="0.35">
      <c r="B110" s="120">
        <v>45432</v>
      </c>
      <c r="C110" t="s">
        <v>136</v>
      </c>
      <c r="K110"/>
    </row>
    <row r="111" spans="2:11" x14ac:dyDescent="0.35">
      <c r="B111" s="120">
        <v>45433</v>
      </c>
      <c r="C111" t="s">
        <v>136</v>
      </c>
      <c r="K111"/>
    </row>
    <row r="112" spans="2:11" x14ac:dyDescent="0.35">
      <c r="B112" s="120">
        <v>45434</v>
      </c>
      <c r="C112" t="s">
        <v>136</v>
      </c>
      <c r="K112"/>
    </row>
    <row r="113" spans="2:11" x14ac:dyDescent="0.35">
      <c r="B113" s="120">
        <v>45443</v>
      </c>
      <c r="C113" t="s">
        <v>135</v>
      </c>
      <c r="K113"/>
    </row>
    <row r="114" spans="2:11" x14ac:dyDescent="0.35">
      <c r="B114" s="120">
        <v>45444</v>
      </c>
      <c r="C114" t="s">
        <v>135</v>
      </c>
      <c r="K114"/>
    </row>
    <row r="115" spans="2:11" x14ac:dyDescent="0.35">
      <c r="B115" s="120">
        <v>45445</v>
      </c>
      <c r="C115" t="s">
        <v>135</v>
      </c>
      <c r="K115"/>
    </row>
    <row r="116" spans="2:11" x14ac:dyDescent="0.35">
      <c r="B116" s="120">
        <v>45446</v>
      </c>
      <c r="C116" t="s">
        <v>152</v>
      </c>
      <c r="K116"/>
    </row>
    <row r="117" spans="2:11" x14ac:dyDescent="0.35">
      <c r="B117" s="120">
        <v>45447</v>
      </c>
      <c r="C117" t="s">
        <v>152</v>
      </c>
      <c r="K117"/>
    </row>
    <row r="118" spans="2:11" x14ac:dyDescent="0.35">
      <c r="B118" s="120">
        <v>45448</v>
      </c>
      <c r="C118" t="s">
        <v>152</v>
      </c>
      <c r="K118"/>
    </row>
    <row r="119" spans="2:11" x14ac:dyDescent="0.35">
      <c r="B119" s="120">
        <v>45457</v>
      </c>
      <c r="C119" t="s">
        <v>128</v>
      </c>
      <c r="K119"/>
    </row>
    <row r="120" spans="2:11" x14ac:dyDescent="0.35">
      <c r="B120" s="120">
        <v>45458</v>
      </c>
      <c r="C120" t="s">
        <v>128</v>
      </c>
      <c r="K120"/>
    </row>
    <row r="121" spans="2:11" x14ac:dyDescent="0.35">
      <c r="B121" s="120">
        <v>45459</v>
      </c>
      <c r="C121" t="s">
        <v>128</v>
      </c>
      <c r="K121"/>
    </row>
    <row r="122" spans="2:11" x14ac:dyDescent="0.35">
      <c r="B122" s="120">
        <v>45464</v>
      </c>
      <c r="C122" t="s">
        <v>147</v>
      </c>
      <c r="K122"/>
    </row>
    <row r="123" spans="2:11" x14ac:dyDescent="0.35">
      <c r="B123" s="120">
        <v>45465</v>
      </c>
      <c r="C123" t="s">
        <v>147</v>
      </c>
      <c r="K123"/>
    </row>
    <row r="124" spans="2:11" x14ac:dyDescent="0.35">
      <c r="B124" s="120">
        <v>45466</v>
      </c>
      <c r="C124" t="s">
        <v>147</v>
      </c>
      <c r="K124"/>
    </row>
    <row r="125" spans="2:11" x14ac:dyDescent="0.35">
      <c r="B125" s="120">
        <v>45468</v>
      </c>
      <c r="C125" t="s">
        <v>140</v>
      </c>
      <c r="K125"/>
    </row>
    <row r="126" spans="2:11" x14ac:dyDescent="0.35">
      <c r="B126" s="120">
        <v>45469</v>
      </c>
      <c r="C126" t="s">
        <v>140</v>
      </c>
      <c r="K126"/>
    </row>
    <row r="127" spans="2:11" x14ac:dyDescent="0.35">
      <c r="B127" s="120">
        <v>45482</v>
      </c>
      <c r="C127" t="s">
        <v>153</v>
      </c>
      <c r="K127"/>
    </row>
    <row r="128" spans="2:11" x14ac:dyDescent="0.35">
      <c r="B128" s="120">
        <v>45483</v>
      </c>
      <c r="C128" t="s">
        <v>153</v>
      </c>
      <c r="K128"/>
    </row>
    <row r="129" spans="2:11" x14ac:dyDescent="0.35">
      <c r="B129" s="120">
        <v>45484</v>
      </c>
      <c r="C129" t="s">
        <v>153</v>
      </c>
      <c r="K129"/>
    </row>
    <row r="130" spans="2:11" x14ac:dyDescent="0.35">
      <c r="B130" s="120">
        <v>45485</v>
      </c>
      <c r="C130" t="s">
        <v>129</v>
      </c>
      <c r="K130"/>
    </row>
    <row r="131" spans="2:11" x14ac:dyDescent="0.35">
      <c r="B131" s="120">
        <v>45486</v>
      </c>
      <c r="C131" t="s">
        <v>129</v>
      </c>
      <c r="K131"/>
    </row>
    <row r="132" spans="2:11" x14ac:dyDescent="0.35">
      <c r="B132" s="120">
        <v>45487</v>
      </c>
      <c r="C132" t="s">
        <v>129</v>
      </c>
      <c r="K132"/>
    </row>
    <row r="133" spans="2:11" x14ac:dyDescent="0.35">
      <c r="B133" s="120">
        <v>45499</v>
      </c>
      <c r="C133" t="s">
        <v>154</v>
      </c>
      <c r="K133"/>
    </row>
    <row r="134" spans="2:11" x14ac:dyDescent="0.35">
      <c r="B134" s="120">
        <v>45500</v>
      </c>
      <c r="C134" t="s">
        <v>154</v>
      </c>
      <c r="K134"/>
    </row>
    <row r="135" spans="2:11" x14ac:dyDescent="0.35">
      <c r="B135" s="120">
        <v>45501</v>
      </c>
      <c r="C135" t="s">
        <v>154</v>
      </c>
      <c r="K135"/>
    </row>
    <row r="136" spans="2:11" x14ac:dyDescent="0.35">
      <c r="B136" s="120">
        <v>45502</v>
      </c>
      <c r="C136" t="s">
        <v>155</v>
      </c>
      <c r="K136"/>
    </row>
    <row r="137" spans="2:11" x14ac:dyDescent="0.35">
      <c r="B137" s="120">
        <v>45503</v>
      </c>
      <c r="C137" t="s">
        <v>155</v>
      </c>
      <c r="K137"/>
    </row>
    <row r="138" spans="2:11" x14ac:dyDescent="0.35">
      <c r="B138" s="120">
        <v>45504</v>
      </c>
      <c r="C138" t="s">
        <v>155</v>
      </c>
      <c r="K138"/>
    </row>
    <row r="139" spans="2:11" x14ac:dyDescent="0.35">
      <c r="B139" s="120">
        <v>45506</v>
      </c>
      <c r="C139" t="s">
        <v>142</v>
      </c>
      <c r="K139"/>
    </row>
    <row r="140" spans="2:11" x14ac:dyDescent="0.35">
      <c r="B140" s="120">
        <v>45507</v>
      </c>
      <c r="C140" t="s">
        <v>142</v>
      </c>
      <c r="K140"/>
    </row>
    <row r="141" spans="2:11" x14ac:dyDescent="0.35">
      <c r="B141" s="120">
        <v>45508</v>
      </c>
      <c r="C141" t="s">
        <v>142</v>
      </c>
      <c r="K141"/>
    </row>
    <row r="142" spans="2:11" x14ac:dyDescent="0.35">
      <c r="B142" s="120">
        <v>45520</v>
      </c>
      <c r="C142" t="s">
        <v>127</v>
      </c>
      <c r="K142"/>
    </row>
    <row r="143" spans="2:11" x14ac:dyDescent="0.35">
      <c r="B143" s="120">
        <v>45521</v>
      </c>
      <c r="C143" t="s">
        <v>127</v>
      </c>
      <c r="K143"/>
    </row>
    <row r="144" spans="2:11" x14ac:dyDescent="0.35">
      <c r="B144" s="120">
        <v>45522</v>
      </c>
      <c r="C144" t="s">
        <v>127</v>
      </c>
      <c r="K144"/>
    </row>
    <row r="145" spans="2:11" x14ac:dyDescent="0.35">
      <c r="B145" s="120">
        <v>45523</v>
      </c>
      <c r="C145" t="s">
        <v>144</v>
      </c>
      <c r="K145"/>
    </row>
    <row r="146" spans="2:11" x14ac:dyDescent="0.35">
      <c r="B146" s="120">
        <v>45524</v>
      </c>
      <c r="C146" t="s">
        <v>144</v>
      </c>
      <c r="K146"/>
    </row>
    <row r="147" spans="2:11" x14ac:dyDescent="0.35">
      <c r="B147" s="120">
        <v>45525</v>
      </c>
      <c r="C147" t="s">
        <v>144</v>
      </c>
      <c r="K147"/>
    </row>
    <row r="148" spans="2:11" x14ac:dyDescent="0.35">
      <c r="B148" s="120">
        <v>45533</v>
      </c>
      <c r="C148" t="s">
        <v>148</v>
      </c>
      <c r="K148"/>
    </row>
    <row r="149" spans="2:11" x14ac:dyDescent="0.35">
      <c r="B149" s="120">
        <v>45534</v>
      </c>
      <c r="C149" t="s">
        <v>148</v>
      </c>
      <c r="K149"/>
    </row>
    <row r="150" spans="2:11" x14ac:dyDescent="0.35">
      <c r="B150" s="120">
        <v>45535</v>
      </c>
      <c r="C150" t="s">
        <v>148</v>
      </c>
      <c r="K150"/>
    </row>
    <row r="151" spans="2:11" x14ac:dyDescent="0.35">
      <c r="B151" s="120">
        <v>45536</v>
      </c>
      <c r="C151" t="s">
        <v>148</v>
      </c>
      <c r="K151"/>
    </row>
    <row r="152" spans="2:11" x14ac:dyDescent="0.35">
      <c r="K152"/>
    </row>
    <row r="153" spans="2:11" x14ac:dyDescent="0.35">
      <c r="K153"/>
    </row>
    <row r="154" spans="2:11" x14ac:dyDescent="0.35">
      <c r="K154"/>
    </row>
    <row r="155" spans="2:11" x14ac:dyDescent="0.35">
      <c r="K155"/>
    </row>
    <row r="156" spans="2:11" x14ac:dyDescent="0.35">
      <c r="K156"/>
    </row>
    <row r="157" spans="2:11" x14ac:dyDescent="0.35">
      <c r="K157"/>
    </row>
    <row r="158" spans="2:11" x14ac:dyDescent="0.35">
      <c r="K158"/>
    </row>
    <row r="159" spans="2:11" x14ac:dyDescent="0.35">
      <c r="K159"/>
    </row>
    <row r="160" spans="2:11" x14ac:dyDescent="0.35">
      <c r="K160"/>
    </row>
    <row r="161" spans="11:11" x14ac:dyDescent="0.35">
      <c r="K161"/>
    </row>
    <row r="162" spans="11:11" x14ac:dyDescent="0.35">
      <c r="K162"/>
    </row>
    <row r="163" spans="11:11" x14ac:dyDescent="0.35">
      <c r="K163"/>
    </row>
    <row r="164" spans="11:11" x14ac:dyDescent="0.35">
      <c r="K164"/>
    </row>
    <row r="165" spans="11:11" x14ac:dyDescent="0.35">
      <c r="K165"/>
    </row>
    <row r="166" spans="11:11" x14ac:dyDescent="0.35">
      <c r="K166"/>
    </row>
    <row r="167" spans="11:11" x14ac:dyDescent="0.35">
      <c r="K167"/>
    </row>
    <row r="168" spans="11:11" x14ac:dyDescent="0.35">
      <c r="K168"/>
    </row>
    <row r="169" spans="11:11" x14ac:dyDescent="0.35">
      <c r="K169"/>
    </row>
    <row r="170" spans="11:11" x14ac:dyDescent="0.35">
      <c r="K170"/>
    </row>
    <row r="171" spans="11:11" x14ac:dyDescent="0.35">
      <c r="K171"/>
    </row>
    <row r="172" spans="11:11" x14ac:dyDescent="0.35">
      <c r="K172"/>
    </row>
    <row r="173" spans="11:11" x14ac:dyDescent="0.35">
      <c r="K173"/>
    </row>
    <row r="174" spans="11:11" x14ac:dyDescent="0.35">
      <c r="K174"/>
    </row>
    <row r="175" spans="11:11" x14ac:dyDescent="0.35">
      <c r="K175"/>
    </row>
    <row r="176" spans="11:11" x14ac:dyDescent="0.35">
      <c r="K176"/>
    </row>
    <row r="177" spans="11:11" x14ac:dyDescent="0.35">
      <c r="K177"/>
    </row>
    <row r="178" spans="11:11" x14ac:dyDescent="0.35">
      <c r="K178"/>
    </row>
    <row r="179" spans="11:11" x14ac:dyDescent="0.35">
      <c r="K179"/>
    </row>
    <row r="180" spans="11:11" x14ac:dyDescent="0.35">
      <c r="K180"/>
    </row>
    <row r="181" spans="11:11" x14ac:dyDescent="0.35">
      <c r="K181"/>
    </row>
    <row r="182" spans="11:11" x14ac:dyDescent="0.35">
      <c r="K182"/>
    </row>
    <row r="183" spans="11:11" x14ac:dyDescent="0.35">
      <c r="K183"/>
    </row>
    <row r="184" spans="11:11" x14ac:dyDescent="0.35">
      <c r="K184"/>
    </row>
    <row r="185" spans="11:11" x14ac:dyDescent="0.35">
      <c r="K185"/>
    </row>
    <row r="186" spans="11:11" x14ac:dyDescent="0.35">
      <c r="K186"/>
    </row>
    <row r="187" spans="11:11" x14ac:dyDescent="0.35">
      <c r="K187"/>
    </row>
    <row r="188" spans="11:11" x14ac:dyDescent="0.35">
      <c r="K188"/>
    </row>
    <row r="189" spans="11:11" x14ac:dyDescent="0.35">
      <c r="K189"/>
    </row>
    <row r="190" spans="11:11" x14ac:dyDescent="0.35">
      <c r="K190"/>
    </row>
    <row r="191" spans="11:11" x14ac:dyDescent="0.35">
      <c r="K191"/>
    </row>
    <row r="192" spans="11:11" x14ac:dyDescent="0.35">
      <c r="K192"/>
    </row>
    <row r="193" spans="11:11" x14ac:dyDescent="0.35">
      <c r="K193"/>
    </row>
    <row r="194" spans="11:11" x14ac:dyDescent="0.35">
      <c r="K194"/>
    </row>
    <row r="195" spans="11:11" x14ac:dyDescent="0.35">
      <c r="K195"/>
    </row>
    <row r="196" spans="11:11" x14ac:dyDescent="0.35">
      <c r="K196"/>
    </row>
    <row r="197" spans="11:11" x14ac:dyDescent="0.35">
      <c r="K197"/>
    </row>
    <row r="198" spans="11:11" x14ac:dyDescent="0.35">
      <c r="K198"/>
    </row>
    <row r="199" spans="11:11" x14ac:dyDescent="0.35">
      <c r="K199"/>
    </row>
    <row r="200" spans="11:11" x14ac:dyDescent="0.35">
      <c r="K200"/>
    </row>
    <row r="201" spans="11:11" x14ac:dyDescent="0.35">
      <c r="K201"/>
    </row>
    <row r="202" spans="11:11" x14ac:dyDescent="0.35">
      <c r="K202"/>
    </row>
    <row r="203" spans="11:11" x14ac:dyDescent="0.35">
      <c r="K203"/>
    </row>
    <row r="204" spans="11:11" x14ac:dyDescent="0.35">
      <c r="K204"/>
    </row>
    <row r="205" spans="11:11" x14ac:dyDescent="0.35">
      <c r="K205"/>
    </row>
    <row r="206" spans="11:11" x14ac:dyDescent="0.35">
      <c r="K206"/>
    </row>
    <row r="207" spans="11:11" x14ac:dyDescent="0.35">
      <c r="K207"/>
    </row>
    <row r="208" spans="11:11" x14ac:dyDescent="0.35">
      <c r="K208"/>
    </row>
    <row r="209" spans="11:11" x14ac:dyDescent="0.35">
      <c r="K209"/>
    </row>
    <row r="210" spans="11:11" x14ac:dyDescent="0.35">
      <c r="K210"/>
    </row>
    <row r="211" spans="11:11" x14ac:dyDescent="0.35">
      <c r="K211"/>
    </row>
    <row r="212" spans="11:11" x14ac:dyDescent="0.35">
      <c r="K212"/>
    </row>
  </sheetData>
  <pageMargins left="0.7" right="0.7" top="0.75" bottom="0.75" header="0.3" footer="0.3"/>
  <customProperties>
    <customPr name="LastActive" r:id="rId1"/>
  </customPropertie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FB45-C1DD-4B3D-AE0C-B57D5B6A6BBA}">
  <sheetPr>
    <tabColor rgb="FFFFFF00"/>
  </sheetPr>
  <dimension ref="B2:C54"/>
  <sheetViews>
    <sheetView workbookViewId="0">
      <selection activeCell="B5" sqref="B5"/>
    </sheetView>
  </sheetViews>
  <sheetFormatPr defaultRowHeight="14.5" x14ac:dyDescent="0.35"/>
  <cols>
    <col min="2" max="2" width="17.7265625" customWidth="1"/>
    <col min="3" max="3" width="30.26953125" customWidth="1"/>
  </cols>
  <sheetData>
    <row r="2" spans="2:3" x14ac:dyDescent="0.35">
      <c r="B2" s="128" t="s">
        <v>0</v>
      </c>
      <c r="C2" s="128" t="s">
        <v>105</v>
      </c>
    </row>
    <row r="3" spans="2:3" x14ac:dyDescent="0.35">
      <c r="B3" s="130">
        <v>44927</v>
      </c>
      <c r="C3" t="s">
        <v>102</v>
      </c>
    </row>
    <row r="4" spans="2:3" x14ac:dyDescent="0.35">
      <c r="B4" s="130">
        <v>44928</v>
      </c>
      <c r="C4" t="s">
        <v>104</v>
      </c>
    </row>
    <row r="5" spans="2:3" x14ac:dyDescent="0.35">
      <c r="B5" s="130">
        <v>44942</v>
      </c>
      <c r="C5" t="s">
        <v>101</v>
      </c>
    </row>
    <row r="6" spans="2:3" x14ac:dyDescent="0.35">
      <c r="B6" s="130">
        <v>44971</v>
      </c>
      <c r="C6" t="s">
        <v>100</v>
      </c>
    </row>
    <row r="7" spans="2:3" x14ac:dyDescent="0.35">
      <c r="B7" s="130">
        <v>44977</v>
      </c>
      <c r="C7" t="s">
        <v>99</v>
      </c>
    </row>
    <row r="8" spans="2:3" x14ac:dyDescent="0.35">
      <c r="B8" s="130">
        <v>45002</v>
      </c>
      <c r="C8" t="s">
        <v>98</v>
      </c>
    </row>
    <row r="9" spans="2:3" x14ac:dyDescent="0.35">
      <c r="B9" s="130">
        <v>45025</v>
      </c>
      <c r="C9" t="s">
        <v>97</v>
      </c>
    </row>
    <row r="10" spans="2:3" x14ac:dyDescent="0.35">
      <c r="B10" s="130">
        <v>45026</v>
      </c>
      <c r="C10" t="s">
        <v>96</v>
      </c>
    </row>
    <row r="11" spans="2:3" x14ac:dyDescent="0.35">
      <c r="B11" s="130">
        <v>45034</v>
      </c>
      <c r="C11" t="s">
        <v>95</v>
      </c>
    </row>
    <row r="12" spans="2:3" x14ac:dyDescent="0.35">
      <c r="B12" s="130">
        <v>45051</v>
      </c>
      <c r="C12" t="s">
        <v>94</v>
      </c>
    </row>
    <row r="13" spans="2:3" x14ac:dyDescent="0.35">
      <c r="B13" s="130">
        <v>45060</v>
      </c>
      <c r="C13" t="s">
        <v>93</v>
      </c>
    </row>
    <row r="14" spans="2:3" x14ac:dyDescent="0.35">
      <c r="B14" s="130">
        <v>45075</v>
      </c>
      <c r="C14" t="s">
        <v>92</v>
      </c>
    </row>
    <row r="15" spans="2:3" x14ac:dyDescent="0.35">
      <c r="B15" s="130">
        <v>45091</v>
      </c>
      <c r="C15" t="s">
        <v>91</v>
      </c>
    </row>
    <row r="16" spans="2:3" x14ac:dyDescent="0.35">
      <c r="B16" s="130">
        <v>45095</v>
      </c>
      <c r="C16" t="s">
        <v>90</v>
      </c>
    </row>
    <row r="17" spans="2:3" x14ac:dyDescent="0.35">
      <c r="B17" s="130">
        <v>45096</v>
      </c>
      <c r="C17" t="s">
        <v>89</v>
      </c>
    </row>
    <row r="18" spans="2:3" x14ac:dyDescent="0.35">
      <c r="B18" s="130">
        <v>45111</v>
      </c>
      <c r="C18" t="s">
        <v>88</v>
      </c>
    </row>
    <row r="19" spans="2:3" x14ac:dyDescent="0.35">
      <c r="B19" s="130">
        <v>45173</v>
      </c>
      <c r="C19" t="s">
        <v>87</v>
      </c>
    </row>
    <row r="20" spans="2:3" x14ac:dyDescent="0.35">
      <c r="B20" s="130">
        <v>45208</v>
      </c>
      <c r="C20" t="s">
        <v>86</v>
      </c>
    </row>
    <row r="21" spans="2:3" x14ac:dyDescent="0.35">
      <c r="B21" s="130">
        <v>45230</v>
      </c>
      <c r="C21" t="s">
        <v>85</v>
      </c>
    </row>
    <row r="22" spans="2:3" x14ac:dyDescent="0.35">
      <c r="B22" s="130">
        <v>45237</v>
      </c>
      <c r="C22" t="s">
        <v>84</v>
      </c>
    </row>
    <row r="23" spans="2:3" x14ac:dyDescent="0.35">
      <c r="B23" s="130">
        <v>45240</v>
      </c>
      <c r="C23" t="s">
        <v>103</v>
      </c>
    </row>
    <row r="24" spans="2:3" x14ac:dyDescent="0.35">
      <c r="B24" s="130">
        <v>45241</v>
      </c>
      <c r="C24" t="s">
        <v>83</v>
      </c>
    </row>
    <row r="25" spans="2:3" x14ac:dyDescent="0.35">
      <c r="B25" s="130">
        <v>45253</v>
      </c>
      <c r="C25" t="s">
        <v>82</v>
      </c>
    </row>
    <row r="26" spans="2:3" x14ac:dyDescent="0.35">
      <c r="B26" s="130">
        <v>45254</v>
      </c>
      <c r="C26" t="s">
        <v>81</v>
      </c>
    </row>
    <row r="27" spans="2:3" x14ac:dyDescent="0.35">
      <c r="B27" s="130">
        <v>45284</v>
      </c>
      <c r="C27" t="s">
        <v>80</v>
      </c>
    </row>
    <row r="28" spans="2:3" x14ac:dyDescent="0.35">
      <c r="B28" s="130">
        <v>45285</v>
      </c>
      <c r="C28" t="s">
        <v>79</v>
      </c>
    </row>
    <row r="29" spans="2:3" x14ac:dyDescent="0.35">
      <c r="B29" s="130">
        <v>45291</v>
      </c>
      <c r="C29" t="s">
        <v>78</v>
      </c>
    </row>
    <row r="30" spans="2:3" x14ac:dyDescent="0.35">
      <c r="B30" s="130">
        <v>45292</v>
      </c>
      <c r="C30" t="s">
        <v>102</v>
      </c>
    </row>
    <row r="31" spans="2:3" x14ac:dyDescent="0.35">
      <c r="B31" s="130">
        <v>45306</v>
      </c>
      <c r="C31" t="s">
        <v>101</v>
      </c>
    </row>
    <row r="32" spans="2:3" x14ac:dyDescent="0.35">
      <c r="B32" s="130">
        <v>45336</v>
      </c>
      <c r="C32" t="s">
        <v>100</v>
      </c>
    </row>
    <row r="33" spans="2:3" x14ac:dyDescent="0.35">
      <c r="B33" s="130">
        <v>45341</v>
      </c>
      <c r="C33" t="s">
        <v>99</v>
      </c>
    </row>
    <row r="34" spans="2:3" x14ac:dyDescent="0.35">
      <c r="B34" s="130">
        <v>45368</v>
      </c>
      <c r="C34" t="s">
        <v>98</v>
      </c>
    </row>
    <row r="35" spans="2:3" x14ac:dyDescent="0.35">
      <c r="B35" s="130">
        <v>45382</v>
      </c>
      <c r="C35" t="s">
        <v>97</v>
      </c>
    </row>
    <row r="36" spans="2:3" x14ac:dyDescent="0.35">
      <c r="B36" s="130">
        <v>45383</v>
      </c>
      <c r="C36" t="s">
        <v>96</v>
      </c>
    </row>
    <row r="37" spans="2:3" x14ac:dyDescent="0.35">
      <c r="B37" s="130">
        <v>45397</v>
      </c>
      <c r="C37" t="s">
        <v>95</v>
      </c>
    </row>
    <row r="38" spans="2:3" x14ac:dyDescent="0.35">
      <c r="B38" s="130">
        <v>45417</v>
      </c>
      <c r="C38" t="s">
        <v>94</v>
      </c>
    </row>
    <row r="39" spans="2:3" x14ac:dyDescent="0.35">
      <c r="B39" s="130">
        <v>45424</v>
      </c>
      <c r="C39" t="s">
        <v>93</v>
      </c>
    </row>
    <row r="40" spans="2:3" x14ac:dyDescent="0.35">
      <c r="B40" s="130">
        <v>45439</v>
      </c>
      <c r="C40" t="s">
        <v>92</v>
      </c>
    </row>
    <row r="41" spans="2:3" x14ac:dyDescent="0.35">
      <c r="B41" s="130">
        <v>45457</v>
      </c>
      <c r="C41" t="s">
        <v>91</v>
      </c>
    </row>
    <row r="42" spans="2:3" x14ac:dyDescent="0.35">
      <c r="B42" s="130">
        <v>45459</v>
      </c>
      <c r="C42" t="s">
        <v>90</v>
      </c>
    </row>
    <row r="43" spans="2:3" x14ac:dyDescent="0.35">
      <c r="B43" s="130">
        <v>45462</v>
      </c>
      <c r="C43" t="s">
        <v>89</v>
      </c>
    </row>
    <row r="44" spans="2:3" x14ac:dyDescent="0.35">
      <c r="B44" s="130">
        <v>45477</v>
      </c>
      <c r="C44" t="s">
        <v>88</v>
      </c>
    </row>
    <row r="45" spans="2:3" x14ac:dyDescent="0.35">
      <c r="B45" s="130">
        <v>45537</v>
      </c>
      <c r="C45" t="s">
        <v>87</v>
      </c>
    </row>
    <row r="46" spans="2:3" x14ac:dyDescent="0.35">
      <c r="B46" s="130">
        <v>45579</v>
      </c>
      <c r="C46" t="s">
        <v>86</v>
      </c>
    </row>
    <row r="47" spans="2:3" x14ac:dyDescent="0.35">
      <c r="B47" s="130">
        <v>45596</v>
      </c>
      <c r="C47" t="s">
        <v>85</v>
      </c>
    </row>
    <row r="48" spans="2:3" x14ac:dyDescent="0.35">
      <c r="B48" s="130">
        <v>45601</v>
      </c>
      <c r="C48" t="s">
        <v>84</v>
      </c>
    </row>
    <row r="49" spans="2:3" x14ac:dyDescent="0.35">
      <c r="B49" s="130">
        <v>45607</v>
      </c>
      <c r="C49" t="s">
        <v>83</v>
      </c>
    </row>
    <row r="50" spans="2:3" x14ac:dyDescent="0.35">
      <c r="B50" s="130">
        <v>45624</v>
      </c>
      <c r="C50" t="s">
        <v>82</v>
      </c>
    </row>
    <row r="51" spans="2:3" x14ac:dyDescent="0.35">
      <c r="B51" s="130">
        <v>45625</v>
      </c>
      <c r="C51" t="s">
        <v>81</v>
      </c>
    </row>
    <row r="52" spans="2:3" x14ac:dyDescent="0.35">
      <c r="B52" s="130">
        <v>45650</v>
      </c>
      <c r="C52" t="s">
        <v>80</v>
      </c>
    </row>
    <row r="53" spans="2:3" x14ac:dyDescent="0.35">
      <c r="B53" s="130">
        <v>45651</v>
      </c>
      <c r="C53" t="s">
        <v>79</v>
      </c>
    </row>
    <row r="54" spans="2:3" x14ac:dyDescent="0.35">
      <c r="B54" s="130">
        <v>45657</v>
      </c>
      <c r="C54" t="s">
        <v>78</v>
      </c>
    </row>
  </sheetData>
  <pageMargins left="0.7" right="0.7" top="0.75" bottom="0.75" header="0.3" footer="0.3"/>
  <customProperties>
    <customPr name="LastActive" r:id="rId1"/>
  </customPropertie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E A A B Q S w M E F A A C A A g A c 6 U l W S G P X G G l A A A A 9 w A A A B I A H A B D b 2 5 m a W c v U G F j a 2 F n Z S 5 4 b W w g o h g A K K A U A A A A A A A A A A A A A A A A A A A A A A A A A A A A h Y 8 x D o I w G E a v Q r r T l t Z E Q 3 7 K 4 C q J C d G 4 N r V C I x R D i + V u D h 7 J K 0 i i q J v j 9 / K G 9 z 1 u d 8 j H t o m u u n e m s x l K M E W R t q o 7 G l t l a P C n e I V y A V u p z r L S 0 S R b l 4 7 u m K H a + 0 t K S A g B B 4 6 7 v i K M 0 o Q c i k 2 p a t 1 K 9 J H N f z k 2 1 n l p l U Y C 9 q 8 Y w X D C O V 4 u E o 4 Z k J l C Y e z X Y F M w p k B + I K y H x g + 9 F t r G u x L I P I G 8 T 4 g n U E s D B B Q A A g A I A H O l J 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p S V Z L K P N 5 c c B A A C J B g A A E w A c A E Z v c m 1 1 b G F z L 1 N l Y 3 R p b 2 4 x L m 0 g o h g A K K A U A A A A A A A A A A A A A A A A A A A A A A A A A A A A t Z T N a u M w F I X 3 g b y D 8 G w S M C k t w 2 y G L F R b b d z G k r H k h l K K c R x l U p p I g y 1 D S 8 i 7 1 z / j I a m v a S n U G 8 M n n X N 0 r 3 2 V y 9 Q 8 a Y V 4 8 z 7 / P R w M B / k m y e Q K u V h g N E V b a Y Y D V D 5 c F 1 k q S 0 J e U r m d O E W W S W U W O n t e a v 0 8 G u 8 f a L K T U 6 v S W Y + H B 0 c r U 2 5 4 t B v 5 D 8 v Z J O p P a S x e / 0 q r 9 B H J c i s n I k t U v t b Z z t H b Y q e q x X z U Z N n 7 f e V G L B u Z E q N V Y u T B R n s L + 2 e B 3 1 I j X 0 x N X b b o M J 9 R M e t Q j 8 e 1 3 l P m 1 8 9 J F d l i H l G Q l z 4 g X x A X 5 G I W g f w q 9 O B c L E B + g + H c K 3 I J n x O H I M c B z H 1 8 D + f 2 9 A F H 1 / D 5 S Q B y 5 s B 1 U X Y H c p c 4 c J 9 v K d D o B S G 3 h L q x U 3 f v 9 B v P W B T y l q p i t 5 R Z z b l H r + f k z G X R 5 Z x 0 V B z P C a T y q M N 8 A t l V g j g g Y V w F 9 i r 7 d h z G / 8 c j 1 I V a l e P B 1 u v e 6 c h H 7 8 a o G p G 2 U p m k G 0 R r 3 0 l t N o p t d D H u D T w 2 O v 9 g I E + P V 6 W 2 n W r u g f T 1 6 H O 1 v e o u d b r V p + 7 f c x g P B 0 8 K r u H 4 + p q x u e f i e / 6 V K 6 z V f v M 1 9 i / m 5 C f s L + + k O s x F y L 5 U W 6 P 8 5 s p Y E D B K q P h 0 a W 9 Q S w E C L Q A U A A I A C A B z p S V Z I Y 9 c Y a U A A A D 3 A A A A E g A A A A A A A A A A A A A A A A A A A A A A Q 2 9 u Z m l n L 1 B h Y 2 t h Z 2 U u e G 1 s U E s B A i 0 A F A A C A A g A c 6 U l W Q / K 6 a u k A A A A 6 Q A A A B M A A A A A A A A A A A A A A A A A 8 Q A A A F t D b 2 5 0 Z W 5 0 X 1 R 5 c G V z X S 5 4 b W x Q S w E C L Q A U A A I A C A B z p S V Z L K P N 5 c c B A A C J B g A A E w A A A A A A A A A A A A A A A A D i 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J w A A A A A A A E 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Q V R B P C 9 J d G V t U G F 0 a D 4 8 L 0 l 0 Z W 1 M b 2 N h d G l v b j 4 8 U 3 R h Y m x l R W 5 0 c m l l c z 4 8 R W 5 0 c n k g V H l w Z T 0 i S X N Q c m l 2 Y X R l I i B W Y W x 1 Z T 0 i b D A i I C 8 + P E V u d H J 5 I F R 5 c G U 9 I l F 1 Z X J 5 S U Q i I F Z h b H V l P S J z Z D Z h M T U x M D k t N 2 M 5 O S 0 0 N j I 5 L W F j Z T Q t N 2 N l Y j B k N z Q x Z j A 1 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E x I i A v P j x F b n R y e S B U e X B l P S J G a W x s R X J y b 3 J D b 2 R l I i B W Y W x 1 Z T 0 i c 1 V u a 2 5 v d 2 4 i I C 8 + P E V u d H J 5 I F R 5 c G U 9 I k Z p b G x F c n J v c k N v d W 5 0 I i B W Y W x 1 Z T 0 i b D A i I C 8 + P E V u d H J 5 I F R 5 c G U 9 I k Z p b G x M Y X N 0 V X B k Y X R l Z C I g V m F s d W U 9 I m Q y M D I 0 L T A 5 L T A 0 V D A 0 O j A 5 O j A 4 L j Y 5 N j M 2 N z Z a I i A v P j x F b n R y e S B U e X B l P S J G a W x s Q 2 9 s d W 1 u V H l w Z X M i I F Z h b H V l P S J z Q 1 F Z R 0 J n T U R B d 0 1 E Q X d N R E F 3 T U R B d 0 1 E Q X d N R E F 3 T U d C U V l S R V J F U i I g L z 4 8 R W 5 0 c n k g V H l w Z T 0 i R m l s b E N v b H V t b k 5 h b W V z I i B W Y W x 1 Z T 0 i c 1 s m c X V v d D t E Q V R F J n F 1 b 3 Q 7 L C Z x d W 9 0 O 0 F N L 1 B N J n F 1 b 3 Q 7 L C Z x d W 9 0 O 0 R P V y Z x d W 9 0 O y w m c X V v d D t N T 0 5 U S C Z x d W 9 0 O y w m c X V v d D t J U 1 9 Q T S Z x d W 9 0 O y w m c X V v d D t J U 1 9 T V U 4 m c X V v d D s s J n F 1 b 3 Q 7 S V N f T U 9 O J n F 1 b 3 Q 7 L C Z x d W 9 0 O 0 l T X 1 d F R C Z x d W 9 0 O y w m c X V v d D t J U 1 9 U S F U m c X V v d D s s J n F 1 b 3 Q 7 S V N f R l J J J n F 1 b 3 Q 7 L C Z x d W 9 0 O 0 l T X 1 N B V C Z x d W 9 0 O y w m c X V v d D t J U 1 9 K Q U 4 m c X V v d D s s J n F 1 b 3 Q 7 S V N f R k V C J n F 1 b 3 Q 7 L C Z x d W 9 0 O 0 l T X 0 1 B U i Z x d W 9 0 O y w m c X V v d D t J U 1 9 B U F I m c X V v d D s s J n F 1 b 3 Q 7 S V N f T U F Z J n F 1 b 3 Q 7 L C Z x d W 9 0 O 0 l T X 0 p V T i Z x d W 9 0 O y w m c X V v d D t J U 1 9 B V U c m c X V v d D s s J n F 1 b 3 Q 7 S V N f U 0 V Q J n F 1 b 3 Q 7 L C Z x d W 9 0 O 0 l T X 0 9 D V C Z x d W 9 0 O y w m c X V v d D t J U 1 9 O T 1 Y m c X V v d D s s J n F 1 b 3 Q 7 S V N f R E V D J n F 1 b 3 Q 7 L C Z x d W 9 0 O 0 l T X 1 d L T k Q m c X V v d D s s J n F 1 b 3 Q 7 V 0 V F S 0 V O R F 9 D Q V Q m c X V v d D s s J n F 1 b 3 Q 7 S E 9 V U l M m c X V v d D s s J n F 1 b 3 Q 7 U 0 l O R 0 x F L 0 R P V U J M R S Z x d W 9 0 O y w m c X V v d D t T Q U x F U y Z x d W 9 0 O y w m c X V v d D t J T k N P T U U m c X V v d D s s J n F 1 b 3 Q 7 U 0 F M R V N f U E V S X 0 h P V V I m c X V v d D s s J n F 1 b 3 Q 7 S U 5 D T 0 1 F X 1 B F U l 9 I T 1 V S 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R B V E E v Q X V 0 b 1 J l b W 9 2 Z W R D b 2 x 1 b W 5 z M S 5 7 R E F U R S w w f S Z x d W 9 0 O y w m c X V v d D t T Z W N 0 a W 9 u M S 9 E Q V R B L 0 F 1 d G 9 S Z W 1 v d m V k Q 2 9 s d W 1 u c z E u e 0 F N L 1 B N L D F 9 J n F 1 b 3 Q 7 L C Z x d W 9 0 O 1 N l Y 3 R p b 2 4 x L 0 R B V E E v Q X V 0 b 1 J l b W 9 2 Z W R D b 2 x 1 b W 5 z M S 5 7 R E 9 X L D J 9 J n F 1 b 3 Q 7 L C Z x d W 9 0 O 1 N l Y 3 R p b 2 4 x L 0 R B V E E v Q X V 0 b 1 J l b W 9 2 Z W R D b 2 x 1 b W 5 z M S 5 7 T U 9 O V E g s M 3 0 m c X V v d D s s J n F 1 b 3 Q 7 U 2 V j d G l v b j E v R E F U Q S 9 B d X R v U m V t b 3 Z l Z E N v b H V t b n M x L n t J U 1 9 Q T S w 0 f S Z x d W 9 0 O y w m c X V v d D t T Z W N 0 a W 9 u M S 9 E Q V R B L 0 F 1 d G 9 S Z W 1 v d m V k Q 2 9 s d W 1 u c z E u e 0 l T X 1 N V T i w 1 f S Z x d W 9 0 O y w m c X V v d D t T Z W N 0 a W 9 u M S 9 E Q V R B L 0 F 1 d G 9 S Z W 1 v d m V k Q 2 9 s d W 1 u c z E u e 0 l T X 0 1 P T i w 2 f S Z x d W 9 0 O y w m c X V v d D t T Z W N 0 a W 9 u M S 9 E Q V R B L 0 F 1 d G 9 S Z W 1 v d m V k Q 2 9 s d W 1 u c z E u e 0 l T X 1 d F R C w 3 f S Z x d W 9 0 O y w m c X V v d D t T Z W N 0 a W 9 u M S 9 E Q V R B L 0 F 1 d G 9 S Z W 1 v d m V k Q 2 9 s d W 1 u c z E u e 0 l T X 1 R I V S w 4 f S Z x d W 9 0 O y w m c X V v d D t T Z W N 0 a W 9 u M S 9 E Q V R B L 0 F 1 d G 9 S Z W 1 v d m V k Q 2 9 s d W 1 u c z E u e 0 l T X 0 Z S S S w 5 f S Z x d W 9 0 O y w m c X V v d D t T Z W N 0 a W 9 u M S 9 E Q V R B L 0 F 1 d G 9 S Z W 1 v d m V k Q 2 9 s d W 1 u c z E u e 0 l T X 1 N B V C w x M H 0 m c X V v d D s s J n F 1 b 3 Q 7 U 2 V j d G l v b j E v R E F U Q S 9 B d X R v U m V t b 3 Z l Z E N v b H V t b n M x L n t J U 1 9 K Q U 4 s M T F 9 J n F 1 b 3 Q 7 L C Z x d W 9 0 O 1 N l Y 3 R p b 2 4 x L 0 R B V E E v Q X V 0 b 1 J l b W 9 2 Z W R D b 2 x 1 b W 5 z M S 5 7 S V N f R k V C L D E y f S Z x d W 9 0 O y w m c X V v d D t T Z W N 0 a W 9 u M S 9 E Q V R B L 0 F 1 d G 9 S Z W 1 v d m V k Q 2 9 s d W 1 u c z E u e 0 l T X 0 1 B U i w x M 3 0 m c X V v d D s s J n F 1 b 3 Q 7 U 2 V j d G l v b j E v R E F U Q S 9 B d X R v U m V t b 3 Z l Z E N v b H V t b n M x L n t J U 1 9 B U F I s M T R 9 J n F 1 b 3 Q 7 L C Z x d W 9 0 O 1 N l Y 3 R p b 2 4 x L 0 R B V E E v Q X V 0 b 1 J l b W 9 2 Z W R D b 2 x 1 b W 5 z M S 5 7 S V N f T U F Z L D E 1 f S Z x d W 9 0 O y w m c X V v d D t T Z W N 0 a W 9 u M S 9 E Q V R B L 0 F 1 d G 9 S Z W 1 v d m V k Q 2 9 s d W 1 u c z E u e 0 l T X 0 p V T i w x N n 0 m c X V v d D s s J n F 1 b 3 Q 7 U 2 V j d G l v b j E v R E F U Q S 9 B d X R v U m V t b 3 Z l Z E N v b H V t b n M x L n t J U 1 9 B V U c s M T d 9 J n F 1 b 3 Q 7 L C Z x d W 9 0 O 1 N l Y 3 R p b 2 4 x L 0 R B V E E v Q X V 0 b 1 J l b W 9 2 Z W R D b 2 x 1 b W 5 z M S 5 7 S V N f U 0 V Q L D E 4 f S Z x d W 9 0 O y w m c X V v d D t T Z W N 0 a W 9 u M S 9 E Q V R B L 0 F 1 d G 9 S Z W 1 v d m V k Q 2 9 s d W 1 u c z E u e 0 l T X 0 9 D V C w x O X 0 m c X V v d D s s J n F 1 b 3 Q 7 U 2 V j d G l v b j E v R E F U Q S 9 B d X R v U m V t b 3 Z l Z E N v b H V t b n M x L n t J U 1 9 O T 1 Y s M j B 9 J n F 1 b 3 Q 7 L C Z x d W 9 0 O 1 N l Y 3 R p b 2 4 x L 0 R B V E E v Q X V 0 b 1 J l b W 9 2 Z W R D b 2 x 1 b W 5 z M S 5 7 S V N f R E V D L D I x f S Z x d W 9 0 O y w m c X V v d D t T Z W N 0 a W 9 u M S 9 E Q V R B L 0 F 1 d G 9 S Z W 1 v d m V k Q 2 9 s d W 1 u c z E u e 0 l T X 1 d L T k Q s M j J 9 J n F 1 b 3 Q 7 L C Z x d W 9 0 O 1 N l Y 3 R p b 2 4 x L 0 R B V E E v Q X V 0 b 1 J l b W 9 2 Z W R D b 2 x 1 b W 5 z M S 5 7 V 0 V F S 0 V O R F 9 D Q V Q s M j N 9 J n F 1 b 3 Q 7 L C Z x d W 9 0 O 1 N l Y 3 R p b 2 4 x L 0 R B V E E v Q X V 0 b 1 J l b W 9 2 Z W R D b 2 x 1 b W 5 z M S 5 7 S E 9 V U l M s M j R 9 J n F 1 b 3 Q 7 L C Z x d W 9 0 O 1 N l Y 3 R p b 2 4 x L 0 R B V E E v Q X V 0 b 1 J l b W 9 2 Z W R D b 2 x 1 b W 5 z M S 5 7 U 0 l O R 0 x F L 0 R P V U J M R S w y N X 0 m c X V v d D s s J n F 1 b 3 Q 7 U 2 V j d G l v b j E v R E F U Q S 9 B d X R v U m V t b 3 Z l Z E N v b H V t b n M x L n t T Q U x F U y w y N n 0 m c X V v d D s s J n F 1 b 3 Q 7 U 2 V j d G l v b j E v R E F U Q S 9 B d X R v U m V t b 3 Z l Z E N v b H V t b n M x L n t J T k N P T U U s M j d 9 J n F 1 b 3 Q 7 L C Z x d W 9 0 O 1 N l Y 3 R p b 2 4 x L 0 R B V E E v Q X V 0 b 1 J l b W 9 2 Z W R D b 2 x 1 b W 5 z M S 5 7 U 0 F M R V N f U E V S X 0 h P V V I s M j h 9 J n F 1 b 3 Q 7 L C Z x d W 9 0 O 1 N l Y 3 R p b 2 4 x L 0 R B V E E v Q X V 0 b 1 J l b W 9 2 Z W R D b 2 x 1 b W 5 z M S 5 7 S U 5 D T 0 1 F X 1 B F U l 9 I T 1 V S L D I 5 f S Z x d W 9 0 O 1 0 s J n F 1 b 3 Q 7 Q 2 9 s d W 1 u Q 2 9 1 b n Q m c X V v d D s 6 M z A s J n F 1 b 3 Q 7 S 2 V 5 Q 2 9 s d W 1 u T m F t Z X M m c X V v d D s 6 W 1 0 s J n F 1 b 3 Q 7 Q 2 9 s d W 1 u S W R l b n R p d G l l c y Z x d W 9 0 O z p b J n F 1 b 3 Q 7 U 2 V j d G l v b j E v R E F U Q S 9 B d X R v U m V t b 3 Z l Z E N v b H V t b n M x L n t E Q V R F L D B 9 J n F 1 b 3 Q 7 L C Z x d W 9 0 O 1 N l Y 3 R p b 2 4 x L 0 R B V E E v Q X V 0 b 1 J l b W 9 2 Z W R D b 2 x 1 b W 5 z M S 5 7 Q U 0 v U E 0 s M X 0 m c X V v d D s s J n F 1 b 3 Q 7 U 2 V j d G l v b j E v R E F U Q S 9 B d X R v U m V t b 3 Z l Z E N v b H V t b n M x L n t E T 1 c s M n 0 m c X V v d D s s J n F 1 b 3 Q 7 U 2 V j d G l v b j E v R E F U Q S 9 B d X R v U m V t b 3 Z l Z E N v b H V t b n M x L n t N T 0 5 U S C w z f S Z x d W 9 0 O y w m c X V v d D t T Z W N 0 a W 9 u M S 9 E Q V R B L 0 F 1 d G 9 S Z W 1 v d m V k Q 2 9 s d W 1 u c z E u e 0 l T X 1 B N L D R 9 J n F 1 b 3 Q 7 L C Z x d W 9 0 O 1 N l Y 3 R p b 2 4 x L 0 R B V E E v Q X V 0 b 1 J l b W 9 2 Z W R D b 2 x 1 b W 5 z M S 5 7 S V N f U 1 V O L D V 9 J n F 1 b 3 Q 7 L C Z x d W 9 0 O 1 N l Y 3 R p b 2 4 x L 0 R B V E E v Q X V 0 b 1 J l b W 9 2 Z W R D b 2 x 1 b W 5 z M S 5 7 S V N f T U 9 O L D Z 9 J n F 1 b 3 Q 7 L C Z x d W 9 0 O 1 N l Y 3 R p b 2 4 x L 0 R B V E E v Q X V 0 b 1 J l b W 9 2 Z W R D b 2 x 1 b W 5 z M S 5 7 S V N f V 0 V E L D d 9 J n F 1 b 3 Q 7 L C Z x d W 9 0 O 1 N l Y 3 R p b 2 4 x L 0 R B V E E v Q X V 0 b 1 J l b W 9 2 Z W R D b 2 x 1 b W 5 z M S 5 7 S V N f V E h V L D h 9 J n F 1 b 3 Q 7 L C Z x d W 9 0 O 1 N l Y 3 R p b 2 4 x L 0 R B V E E v Q X V 0 b 1 J l b W 9 2 Z W R D b 2 x 1 b W 5 z M S 5 7 S V N f R l J J L D l 9 J n F 1 b 3 Q 7 L C Z x d W 9 0 O 1 N l Y 3 R p b 2 4 x L 0 R B V E E v Q X V 0 b 1 J l b W 9 2 Z W R D b 2 x 1 b W 5 z M S 5 7 S V N f U 0 F U L D E w f S Z x d W 9 0 O y w m c X V v d D t T Z W N 0 a W 9 u M S 9 E Q V R B L 0 F 1 d G 9 S Z W 1 v d m V k Q 2 9 s d W 1 u c z E u e 0 l T X 0 p B T i w x M X 0 m c X V v d D s s J n F 1 b 3 Q 7 U 2 V j d G l v b j E v R E F U Q S 9 B d X R v U m V t b 3 Z l Z E N v b H V t b n M x L n t J U 1 9 G R U I s M T J 9 J n F 1 b 3 Q 7 L C Z x d W 9 0 O 1 N l Y 3 R p b 2 4 x L 0 R B V E E v Q X V 0 b 1 J l b W 9 2 Z W R D b 2 x 1 b W 5 z M S 5 7 S V N f T U F S L D E z f S Z x d W 9 0 O y w m c X V v d D t T Z W N 0 a W 9 u M S 9 E Q V R B L 0 F 1 d G 9 S Z W 1 v d m V k Q 2 9 s d W 1 u c z E u e 0 l T X 0 F Q U i w x N H 0 m c X V v d D s s J n F 1 b 3 Q 7 U 2 V j d G l v b j E v R E F U Q S 9 B d X R v U m V t b 3 Z l Z E N v b H V t b n M x L n t J U 1 9 N Q V k s M T V 9 J n F 1 b 3 Q 7 L C Z x d W 9 0 O 1 N l Y 3 R p b 2 4 x L 0 R B V E E v Q X V 0 b 1 J l b W 9 2 Z W R D b 2 x 1 b W 5 z M S 5 7 S V N f S l V O L D E 2 f S Z x d W 9 0 O y w m c X V v d D t T Z W N 0 a W 9 u M S 9 E Q V R B L 0 F 1 d G 9 S Z W 1 v d m V k Q 2 9 s d W 1 u c z E u e 0 l T X 0 F V R y w x N 3 0 m c X V v d D s s J n F 1 b 3 Q 7 U 2 V j d G l v b j E v R E F U Q S 9 B d X R v U m V t b 3 Z l Z E N v b H V t b n M x L n t J U 1 9 T R V A s M T h 9 J n F 1 b 3 Q 7 L C Z x d W 9 0 O 1 N l Y 3 R p b 2 4 x L 0 R B V E E v Q X V 0 b 1 J l b W 9 2 Z W R D b 2 x 1 b W 5 z M S 5 7 S V N f T 0 N U L D E 5 f S Z x d W 9 0 O y w m c X V v d D t T Z W N 0 a W 9 u M S 9 E Q V R B L 0 F 1 d G 9 S Z W 1 v d m V k Q 2 9 s d W 1 u c z E u e 0 l T X 0 5 P V i w y M H 0 m c X V v d D s s J n F 1 b 3 Q 7 U 2 V j d G l v b j E v R E F U Q S 9 B d X R v U m V t b 3 Z l Z E N v b H V t b n M x L n t J U 1 9 E R U M s M j F 9 J n F 1 b 3 Q 7 L C Z x d W 9 0 O 1 N l Y 3 R p b 2 4 x L 0 R B V E E v Q X V 0 b 1 J l b W 9 2 Z W R D b 2 x 1 b W 5 z M S 5 7 S V N f V 0 t O R C w y M n 0 m c X V v d D s s J n F 1 b 3 Q 7 U 2 V j d G l v b j E v R E F U Q S 9 B d X R v U m V t b 3 Z l Z E N v b H V t b n M x L n t X R U V L R U 5 E X 0 N B V C w y M 3 0 m c X V v d D s s J n F 1 b 3 Q 7 U 2 V j d G l v b j E v R E F U Q S 9 B d X R v U m V t b 3 Z l Z E N v b H V t b n M x L n t I T 1 V S U y w y N H 0 m c X V v d D s s J n F 1 b 3 Q 7 U 2 V j d G l v b j E v R E F U Q S 9 B d X R v U m V t b 3 Z l Z E N v b H V t b n M x L n t T S U 5 H T E U v R E 9 V Q k x F L D I 1 f S Z x d W 9 0 O y w m c X V v d D t T Z W N 0 a W 9 u M S 9 E Q V R B L 0 F 1 d G 9 S Z W 1 v d m V k Q 2 9 s d W 1 u c z E u e 1 N B T E V T L D I 2 f S Z x d W 9 0 O y w m c X V v d D t T Z W N 0 a W 9 u M S 9 E Q V R B L 0 F 1 d G 9 S Z W 1 v d m V k Q 2 9 s d W 1 u c z E u e 0 l O Q 0 9 N R S w y N 3 0 m c X V v d D s s J n F 1 b 3 Q 7 U 2 V j d G l v b j E v R E F U Q S 9 B d X R v U m V t b 3 Z l Z E N v b H V t b n M x L n t T Q U x F U 1 9 Q R V J f S E 9 V U i w y O H 0 m c X V v d D s s J n F 1 b 3 Q 7 U 2 V j d G l v b j E v R E F U Q S 9 B d X R v U m V t b 3 Z l Z E N v b H V t b n M x L n t J T k N P T U V f U E V S X 0 h P V V I s M j l 9 J n F 1 b 3 Q 7 X S w m c X V v d D t S Z W x h d G l v b n N o a X B J b m Z v J n F 1 b 3 Q 7 O l t d f S I g L z 4 8 L 1 N 0 Y W J s Z U V u d H J p Z X M + P C 9 J d G V t P j x J d G V t P j x J d G V t T G 9 j Y X R p b 2 4 + P E l 0 Z W 1 U e X B l P k Z v c m 1 1 b G E 8 L 0 l 0 Z W 1 U e X B l P j x J d G V t U G F 0 a D 5 T Z W N 0 a W 9 u M S 9 E Q V R B L 1 N v d X J j Z T w v S X R l b V B h d G g + P C 9 J d G V t T G 9 j Y X R p b 2 4 + P F N 0 Y W J s Z U V u d H J p Z X M g L z 4 8 L 0 l 0 Z W 0 + P E l 0 Z W 0 + P E l 0 Z W 1 M b 2 N h d G l v b j 4 8 S X R l b V R 5 c G U + R m 9 y b X V s Y T w v S X R l b V R 5 c G U + P E l 0 Z W 1 Q Y X R o P l N l Y 3 R p b 2 4 x L 0 R B V E E v Q 2 h h b m d l Z C U y M F R 5 c G U 8 L 0 l 0 Z W 1 Q Y X R o P j w v S X R l b U x v Y 2 F 0 a W 9 u P j x T d G F i b G V F b n R y a W V z I C 8 + P C 9 J d G V t P j x J d G V t P j x J d G V t T G 9 j Y X R p b 2 4 + P E l 0 Z W 1 U e X B l P k Z v c m 1 1 b G E 8 L 0 l 0 Z W 1 U e X B l P j x J d G V t U G F 0 a D 5 T Z W N 0 a W 9 u M S 9 E Q V R B L 1 J v d W 5 k Z W Q l M j B P Z m Y 8 L 0 l 0 Z W 1 Q Y X R o P j w v S X R l b U x v Y 2 F 0 a W 9 u P j x T d G F i b G V F b n R y a W V z I C 8 + P C 9 J d G V t P j x J d G V t P j x J d G V t T G 9 j Y X R p b 2 4 + P E l 0 Z W 1 U e X B l P k Z v c m 1 1 b G E 8 L 0 l 0 Z W 1 U e X B l P j x J d G V t U G F 0 a D 5 T Z W N 0 a W 9 u M S 9 E Q V R B L 0 N o Y W 5 n Z W Q l M j B U e X B l M T w v S X R l b V B h d G g + P C 9 J d G V t T G 9 j Y X R p b 2 4 + P F N 0 Y W J s Z U V u d H J p Z X M g L z 4 8 L 0 l 0 Z W 0 + P E l 0 Z W 0 + P E l 0 Z W 1 M b 2 N h d G l v b j 4 8 S X R l b V R 5 c G U + R m 9 y b X V s Y T w v S X R l b V R 5 c G U + P E l 0 Z W 1 Q Y X R o P l N l Y 3 R p b 2 4 x L 0 h P T E l E Q V l 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z B l Y W J l O T E t N T I 2 Z i 0 0 M m Q 3 L W J h N z U t Z j k x Y j k 0 M T Y 4 M j g 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w O S 0 w N F Q w N D o x M D o z O S 4 0 N j Q 3 M D k 3 W i I g L z 4 8 R W 5 0 c n k g V H l w Z T 0 i R m l s b E N v b H V t b l R 5 c G V z I i B W Y W x 1 Z T 0 i c 0 N R W T 0 i I C 8 + P E V u d H J 5 I F R 5 c G U 9 I k Z p b G x D b 2 x 1 b W 5 O Y W 1 l c y I g V m F s d W U 9 I n N b J n F 1 b 3 Q 7 R E F U R S Z x d W 9 0 O y w m c X V v d D t I T 0 x J R E F 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S E 9 M S U R B W V M v Q X V 0 b 1 J l b W 9 2 Z W R D b 2 x 1 b W 5 z M S 5 7 R E F U R S w w f S Z x d W 9 0 O y w m c X V v d D t T Z W N 0 a W 9 u M S 9 I T 0 x J R E F Z U y 9 B d X R v U m V t b 3 Z l Z E N v b H V t b n M x L n t I T 0 x J R E F Z L D F 9 J n F 1 b 3 Q 7 X S w m c X V v d D t D b 2 x 1 b W 5 D b 3 V u d C Z x d W 9 0 O z o y L C Z x d W 9 0 O 0 t l e U N v b H V t b k 5 h b W V z J n F 1 b 3 Q 7 O l t d L C Z x d W 9 0 O 0 N v b H V t b k l k Z W 5 0 a X R p Z X M m c X V v d D s 6 W y Z x d W 9 0 O 1 N l Y 3 R p b 2 4 x L 0 h P T E l E Q V l T L 0 F 1 d G 9 S Z W 1 v d m V k Q 2 9 s d W 1 u c z E u e 0 R B V E U s M H 0 m c X V v d D s s J n F 1 b 3 Q 7 U 2 V j d G l v b j E v S E 9 M S U R B W V M v Q X V 0 b 1 J l b W 9 2 Z W R D b 2 x 1 b W 5 z M S 5 7 S E 9 M S U R B W S w x f S Z x d W 9 0 O 1 0 s J n F 1 b 3 Q 7 U m V s Y X R p b 2 5 z a G l w S W 5 m b y Z x d W 9 0 O z p b X X 0 i I C 8 + P C 9 T d G F i b G V F b n R y a W V z P j w v S X R l b T 4 8 S X R l b T 4 8 S X R l b U x v Y 2 F 0 a W 9 u P j x J d G V t V H l w Z T 5 G b 3 J t d W x h P C 9 J d G V t V H l w Z T 4 8 S X R l b V B h d G g + U 2 V j d G l v b j E v S E 9 M S U R B W V M v U 2 9 1 c m N l P C 9 J d G V t U G F 0 a D 4 8 L 0 l 0 Z W 1 M b 2 N h d G l v b j 4 8 U 3 R h Y m x l R W 5 0 c m l l c y A v P j w v S X R l b T 4 8 S X R l b T 4 8 S X R l b U x v Y 2 F 0 a W 9 u P j x J d G V t V H l w Z T 5 G b 3 J t d W x h P C 9 J d G V t V H l w Z T 4 8 S X R l b V B h d G g + U 2 V j d G l v b j E v S E 9 M S U R B W V M v Q 2 h h b m d l Z C U y M F R 5 c G U 8 L 0 l 0 Z W 1 Q Y X R o P j w v S X R l b U x v Y 2 F 0 a W 9 u P j x T d G F i b G V F b n R y a W V z I C 8 + P C 9 J d G V t P j x J d G V t P j x J d G V t T G 9 j Y X R p b 2 4 + P E l 0 Z W 1 U e X B l P k Z v c m 1 1 b G E 8 L 0 l 0 Z W 1 U e X B l P j x J d G V t U G F 0 a D 5 T Z W N 0 a W 9 u M S 9 B U 1 R S T 1 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N z U x Y m I 0 M i 0 z M j l i L T Q 1 O T k t Y j E 0 M i 0 y Z T k 0 N z A 1 Y z U 0 N T 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0 O S I g L z 4 8 R W 5 0 c n k g V H l w Z T 0 i R m l s b E V y c m 9 y Q 2 9 k Z S I g V m F s d W U 9 I n N V b m t u b 3 d u I i A v P j x F b n R y e S B U e X B l P S J G a W x s R X J y b 3 J D b 3 V u d C I g V m F s d W U 9 I m w w I i A v P j x F b n R y e S B U e X B l P S J G a W x s T G F z d F V w Z G F 0 Z W Q i I F Z h b H V l P S J k M j A y N C 0 w O S 0 w N F Q w N D o x M T o 0 M y 4 y N z g x N D k 3 W i I g L z 4 8 R W 5 0 c n k g V H l w Z T 0 i R m l s b E N v b H V t b l R 5 c G V z I i B W Y W x 1 Z T 0 i c 0 N R W T 0 i I C 8 + P E V u d H J 5 I F R 5 c G U 9 I k Z p b G x D b 2 x 1 b W 5 O Y W 1 l c y I g V m F s d W U 9 I n N b J n F 1 b 3 Q 7 R E F U R S Z x d W 9 0 O y w m c X V v d D t P U F B P T k V O V 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F T V F J P U y 9 B d X R v U m V t b 3 Z l Z E N v b H V t b n M x L n t E Q V R F L D B 9 J n F 1 b 3 Q 7 L C Z x d W 9 0 O 1 N l Y 3 R p b 2 4 x L 0 F T V F J P U y 9 B d X R v U m V t b 3 Z l Z E N v b H V t b n M x L n t P U F B P T k V O V C w x f S Z x d W 9 0 O 1 0 s J n F 1 b 3 Q 7 Q 2 9 s d W 1 u Q 2 9 1 b n Q m c X V v d D s 6 M i w m c X V v d D t L Z X l D b 2 x 1 b W 5 O Y W 1 l c y Z x d W 9 0 O z p b X S w m c X V v d D t D b 2 x 1 b W 5 J Z G V u d G l 0 a W V z J n F 1 b 3 Q 7 O l s m c X V v d D t T Z W N 0 a W 9 u M S 9 B U 1 R S T 1 M v Q X V 0 b 1 J l b W 9 2 Z W R D b 2 x 1 b W 5 z M S 5 7 R E F U R S w w f S Z x d W 9 0 O y w m c X V v d D t T Z W N 0 a W 9 u M S 9 B U 1 R S T 1 M v Q X V 0 b 1 J l b W 9 2 Z W R D b 2 x 1 b W 5 z M S 5 7 T 1 B Q T 0 5 F T l Q s M X 0 m c X V v d D t d L C Z x d W 9 0 O 1 J l b G F 0 a W 9 u c 2 h p c E l u Z m 8 m c X V v d D s 6 W 1 1 9 I i A v P j w v U 3 R h Y m x l R W 5 0 c m l l c z 4 8 L 0 l 0 Z W 0 + P E l 0 Z W 0 + P E l 0 Z W 1 M b 2 N h d G l v b j 4 8 S X R l b V R 5 c G U + R m 9 y b X V s Y T w v S X R l b V R 5 c G U + P E l 0 Z W 1 Q Y X R o P l N l Y 3 R p b 2 4 x L 0 F T V F J P U y 9 T b 3 V y Y 2 U 8 L 0 l 0 Z W 1 Q Y X R o P j w v S X R l b U x v Y 2 F 0 a W 9 u P j x T d G F i b G V F b n R y a W V z I C 8 + P C 9 J d G V t P j x J d G V t P j x J d G V t T G 9 j Y X R p b 2 4 + P E l 0 Z W 1 U e X B l P k Z v c m 1 1 b G E 8 L 0 l 0 Z W 1 U e X B l P j x J d G V t U G F 0 a D 5 T Z W N 0 a W 9 u M S 9 B U 1 R S T 1 M v Q 2 h h b m d l Z C U y M F R 5 c G U 8 L 0 l 0 Z W 1 Q Y X R o P j w v S X R l b U x v Y 2 F 0 a W 9 u P j x T d G F i b G V F b n R y a W V z I C 8 + P C 9 J d G V t P j w v S X R l b X M + P C 9 M b 2 N h b F B h Y 2 t h Z 2 V N Z X R h Z G F 0 Y U Z p b G U + F g A A A F B L B Q Y A A A A A A A A A A A A A A A A A A A A A A A A m A Q A A A Q A A A N C M n d 8 B F d E R j H o A w E / C l + s B A A A A F o a S y J b 7 0 E K y n 1 i n r w O b v Q A A A A A C A A A A A A A Q Z g A A A A E A A C A A A A D 0 i k V j o D Q 0 X B d I M 6 i p 6 U F w E P v Q G s 0 B J i 3 z E P g + M q p N v g A A A A A O g A A A A A I A A C A A A A C O r m 1 7 o / M g S z 1 E 0 k n K V t K q a a o l T Y i g K A V I o 5 B S o N Y s 0 l A A A A C M i p k i g P 2 4 A w M n J z P A S l e 4 I 1 U n F i R 8 W / 9 c L U q 3 t a 4 D W / u S W 1 J h p 3 / J e K U 7 A E E l S G j r 6 2 F U J t M h O E M R T 5 I T I s W r u i o / R Y J 5 j F 0 y B w w w 7 g R Q l E A A A A A F Z 8 T n h X 6 f c R W I v L Y S Z M o x 2 U L A e N a m F S X 0 w S 5 t G + A w U q A f h 5 J i Q u M 6 l T R u X P A N d a w N Y P 9 5 P A W k H Q Z Z s D Q S D V W i < / D a t a M a s h u p > 
</file>

<file path=customXml/itemProps1.xml><?xml version="1.0" encoding="utf-8"?>
<ds:datastoreItem xmlns:ds="http://schemas.openxmlformats.org/officeDocument/2006/customXml" ds:itemID="{15A1C505-8CD4-431E-BC41-B211746B39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RAW_DATA_EXPLANATION</vt:lpstr>
      <vt:lpstr>WORKING_DATA_EXPLANATION</vt:lpstr>
      <vt:lpstr>RAW_DATA</vt:lpstr>
      <vt:lpstr>MASTER_DATA</vt:lpstr>
      <vt:lpstr>DATA_CAT</vt:lpstr>
      <vt:lpstr>DATA_BIN</vt:lpstr>
      <vt:lpstr>EDA_1</vt:lpstr>
      <vt:lpstr>ASTROS_HOME_SCHEDULE</vt:lpstr>
      <vt:lpstr>HOLIDAY_CALENDAR</vt:lpstr>
      <vt:lpstr>2023_RODEO_CALENDAR</vt:lpstr>
      <vt:lpstr>WEATHER_DATA</vt:lpstr>
      <vt:lpstr>NAMED_RANGES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mcsweeney</dc:creator>
  <cp:lastModifiedBy>joe mcsweeney</cp:lastModifiedBy>
  <dcterms:created xsi:type="dcterms:W3CDTF">2024-08-31T14:46:06Z</dcterms:created>
  <dcterms:modified xsi:type="dcterms:W3CDTF">2024-09-06T02:11:57Z</dcterms:modified>
</cp:coreProperties>
</file>