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<sst xmlns="http://schemas.openxmlformats.org/spreadsheetml/2006/main" count="596" uniqueCount="260">
  <si>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</si>
  <si>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</si>
  <si>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</si>
  <si>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</si>
  <si>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</si>
  <si>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</si>
  <si>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</si>
  <si>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</si>
  <si>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</si>
  <si>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Description of holding - equity, gilts, government bonds, non govt bonds etc</t>
  </si>
  <si>
    <t>Sub-category/ Classification</t>
  </si>
  <si>
    <t>Friends of the Earth Scotland, Friends of the Earth, EWNI 350.org and Platform London.</t>
  </si>
  <si>
    <t>Oil/Gas companies</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</si>
  <si>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</si>
  <si>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</si>
  <si>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</si>
  <si>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</si>
  <si>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</si>
  <si>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Coal companies</t>
  </si>
  <si>
    <t>Verification</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</si>
  <si>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</si>
  <si>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</si>
  <si>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</si>
  <si>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</si>
  <si>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Fossil Fuel Amounts</t>
  </si>
  <si>
    <t>data or in time, we identified their equity investments directly from</t>
  </si>
  <si>
    <t>Amount</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</si>
  <si>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</si>
  <si>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</si>
  <si>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</si>
  <si>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</si>
  <si>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</si>
  <si>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London Borough of Camden Pension Fund</t>
  </si>
  <si>
    <t>JAMES HARDIE INDUSTRIES NV CDI(CHESS DEPOSITARY)</t>
  </si>
  <si>
    <t>CONSTRUCTION PRODUCTS</t>
  </si>
  <si>
    <t>0</t>
  </si>
  <si>
    <t>Total from 2014 annual report</t>
  </si>
  <si>
    <t>http://webcache.googleusercontent.com/search?q=cache:Uq59DijcW7IJ:www.camden.gov.uk/ccm/cms-service/download/asset%3Fasset_id%3D3255427+&amp;cd=1&amp;hl=en&amp;ct=clnk&amp;gl=uk</t>
  </si>
  <si>
    <t>Total holdings</t>
  </si>
  <si>
    <t>Total fossil fuel holdings</t>
  </si>
  <si>
    <t>Pooled fund estimate</t>
  </si>
  <si>
    <t>Percentage in fossil fuels</t>
  </si>
  <si>
    <t>Percentage</t>
  </si>
  <si>
    <t>Pooled fund</t>
  </si>
  <si>
    <t>Estimated fossil fuel holdings:</t>
  </si>
  <si>
    <t>in % of total holdings</t>
  </si>
  <si>
    <t>Total</t>
  </si>
  <si>
    <t>Top 10 Fossil Fuel Holdings</t>
  </si>
  <si>
    <t>This excludes holdings through pooled funds - see next sheet</t>
  </si>
  <si>
    <t>yes</t>
  </si>
  <si>
    <t>AUD</t>
  </si>
  <si>
    <t>ABN-AMRO HLDGS NV EUR0.56</t>
  </si>
  <si>
    <t>BANK</t>
  </si>
  <si>
    <t>ABERDEEN GLOBAL EQUITIES</t>
  </si>
  <si>
    <t>EUR</t>
  </si>
  <si>
    <t>ADIDAS AG NPV</t>
  </si>
  <si>
    <t>CLOTHES MANUFACTURER</t>
  </si>
  <si>
    <t>AEGON NV COMMON STOCK EUR 0.12</t>
  </si>
  <si>
    <t>INSURANCE COMPANY</t>
  </si>
  <si>
    <t>AIA GROUP LTD COMMON STOCK HKD</t>
  </si>
  <si>
    <t>HKD</t>
  </si>
  <si>
    <t>AKER SOLUTIONS ASA NOK2</t>
  </si>
  <si>
    <t>OIL AND GAS COMPANY</t>
  </si>
  <si>
    <t>GBP</t>
  </si>
  <si>
    <t>AKZO NOBEL NV EUR2</t>
  </si>
  <si>
    <t>CHEMICALS</t>
  </si>
  <si>
    <t>AMADEUS IT HLDG SA EUR0.01 A</t>
  </si>
  <si>
    <t>IT COMPANY</t>
  </si>
  <si>
    <t>Total estimated fossil fuels in largest pooled funds</t>
  </si>
  <si>
    <t>Total direct fossil fuels</t>
  </si>
  <si>
    <t>ARCELOR MITTAL N.V. 'A'EUR0.01</t>
  </si>
  <si>
    <t>MINING AND STEEL COMPANY</t>
  </si>
  <si>
    <t>Total fossil fuels</t>
  </si>
  <si>
    <t>ASSICURAZIONI GENERALI SPA EUR1</t>
  </si>
  <si>
    <t>ATLAS COPCO AB SER'A'NPV</t>
  </si>
  <si>
    <t>INDUSTRY</t>
  </si>
  <si>
    <t>SEK</t>
  </si>
  <si>
    <t>BANCO BILBAO VIZCAYA ARGENTARIA SA</t>
  </si>
  <si>
    <t>BANCO BRADESCO SA ADR EACH REPR 1 PRF NPV SPON</t>
  </si>
  <si>
    <t>USD</t>
  </si>
  <si>
    <t>BANCO SANTANDER SA EUR0.50</t>
  </si>
  <si>
    <t>BAXTER INTERNATIONAL INC USD1</t>
  </si>
  <si>
    <t>MEDICAL TECHNOLOGY</t>
  </si>
  <si>
    <t>BHP BILLITON PLC COMMON STOCK GBP 0.5</t>
  </si>
  <si>
    <t>BRITISH AMERICAN TOBACCO PLC COMMON STOCK GBP 25</t>
  </si>
  <si>
    <t>TOBACO</t>
  </si>
  <si>
    <t>BRITISH LAND CO PLC/THE REIT GBP 25</t>
  </si>
  <si>
    <t>INVESTMENT COMPANY</t>
  </si>
  <si>
    <t>CANADIAN NATIONAL RAILWAY CO COM NPV</t>
  </si>
  <si>
    <t>RAILWAY COMPANY</t>
  </si>
  <si>
    <t>CAD</t>
  </si>
  <si>
    <t>CENTRICA PLC ORD GBP0.0617284</t>
  </si>
  <si>
    <t>GAS COMPANY</t>
  </si>
  <si>
    <t>CHEVRON CORP USD0.75</t>
  </si>
  <si>
    <t>CITY DEVELOPMENTS NPV</t>
  </si>
  <si>
    <t>REAL ESTATE</t>
  </si>
  <si>
    <t>SGD</t>
  </si>
  <si>
    <t>COMCAST CORP COMMON STOCK USD 0.01</t>
  </si>
  <si>
    <t>TELECOMMUNICATION</t>
  </si>
  <si>
    <t>CVS CAREMARK CORP USD0.01</t>
  </si>
  <si>
    <t>PHARMACY RETAIL</t>
  </si>
  <si>
    <t>DAITO TRUST CONSTRUCTION CO NPV</t>
  </si>
  <si>
    <t>REAL ESTATE AND CONSTRUCTION</t>
  </si>
  <si>
    <t>JPY</t>
  </si>
  <si>
    <t>DNB ASA</t>
  </si>
  <si>
    <t>FINANCIAL SERVICES</t>
  </si>
  <si>
    <t>NOK</t>
  </si>
  <si>
    <t>ENAGAS SA EUR1.50</t>
  </si>
  <si>
    <t>ENI NPV</t>
  </si>
  <si>
    <t>EOG RESOURCES INC USD0.01</t>
  </si>
  <si>
    <t>FANUC CORP NPV</t>
  </si>
  <si>
    <t>FOMENTO ECONOMICO MEXCANO SAB DE CV ADR REP 10</t>
  </si>
  <si>
    <t>BEVERAGES</t>
  </si>
  <si>
    <t>FRESENIUS SE &amp; CO KGAA</t>
  </si>
  <si>
    <t>MEDICIN EQUIPMENT</t>
  </si>
  <si>
    <t>GAS NATURAL SDG SA EUR1</t>
  </si>
  <si>
    <t>GOODMAN GROUP NPV (STAPLED UNITS)</t>
  </si>
  <si>
    <t>COMMERCIAL PROPERTY</t>
  </si>
  <si>
    <t>HSBC HLDGS ORD USD0.50</t>
  </si>
  <si>
    <t>IBERDROLA SA EUR0.75</t>
  </si>
  <si>
    <t>RENEWABLE ENERGY</t>
  </si>
  <si>
    <t>INDUSTRIA DE DISENO TEXTIL SA EUR0.15</t>
  </si>
  <si>
    <t>TEXTILE COMPANY</t>
  </si>
  <si>
    <t>ING GROEP N.V. CVA EUR0.24</t>
  </si>
  <si>
    <t>INTU PROPERTIES PLC ORD GBP0.50</t>
  </si>
  <si>
    <t>JOHNSON &amp; JOHNSON COMMON STOCK USD 1</t>
  </si>
  <si>
    <t>HEALTH CARE PRODUCTS</t>
  </si>
  <si>
    <t>KONINKLIJKE DSM NV EUR1.50</t>
  </si>
  <si>
    <t>PHARMACEUTICAL COMPANY</t>
  </si>
  <si>
    <t>KONINKLIJKE KPN NV COMMON STOCK EUR 0.04</t>
  </si>
  <si>
    <t>MOBILE TECHNOLOGY</t>
  </si>
  <si>
    <t>KONINKLIJKE PHILIPS NV</t>
  </si>
  <si>
    <t>ELECTRONIC COMPANY</t>
  </si>
  <si>
    <t>LAND SECURITIES GROUP ORD GBP0.10</t>
  </si>
  <si>
    <t>LANXESS AG NPV</t>
  </si>
  <si>
    <t>CHEMICAL COMPANY</t>
  </si>
  <si>
    <t>LYONDELLBASELL INDUSTRIES NV COMMON STOCK USD</t>
  </si>
  <si>
    <t>MEDUSA MINING LTD NPV</t>
  </si>
  <si>
    <t>MINING COMPANY</t>
  </si>
  <si>
    <t>MIRVAC GROUP STAPLED SHS NPV</t>
  </si>
  <si>
    <t>PROPERTY COMPANY</t>
  </si>
  <si>
    <t>MIZRAHI TEFAHOT BANK LTD</t>
  </si>
  <si>
    <t>BANK ISREAL</t>
  </si>
  <si>
    <t>ILS</t>
  </si>
  <si>
    <t>MTN GROUP LTD COMMON STOCK ZAR 0.01</t>
  </si>
  <si>
    <t>ZAR</t>
  </si>
  <si>
    <t>NESTLE SA CHF0.10</t>
  </si>
  <si>
    <t>FOOD PROCESSING</t>
  </si>
  <si>
    <t>CHF</t>
  </si>
  <si>
    <t>NEWCREST MINING NPV</t>
  </si>
  <si>
    <t>NORDEA BANK AB NPV</t>
  </si>
  <si>
    <t>NOVARTIS AG CHF0.50(REGD)</t>
  </si>
  <si>
    <t>ORACLE CORP USD0.01</t>
  </si>
  <si>
    <t>ORKLA ASA NOK1.25</t>
  </si>
  <si>
    <t>COPORATE GROUP</t>
  </si>
  <si>
    <t>PEPSICO INC CAP STK USD0.0166</t>
  </si>
  <si>
    <t>BEVERAGES COMPANY</t>
  </si>
  <si>
    <t>PETROCHINA CO CNY1'H'</t>
  </si>
  <si>
    <t>PETROLEO BRASILEIRO SA PETROBRAS SPONS ADR-EACH</t>
  </si>
  <si>
    <t>PHILIP MORRIS INTERNATIONAL INC NPV</t>
  </si>
  <si>
    <t>TOBACCO</t>
  </si>
  <si>
    <t>POSTNL EUR0.48</t>
  </si>
  <si>
    <t>MAIL, PARCEL AND E-COMMERCE COMPANY</t>
  </si>
  <si>
    <t xml:space="preserve">POTASH CORP OF SASKATCHEWAN INC COM NPV
</t>
  </si>
  <si>
    <t>FERTILIZER COMPANY</t>
  </si>
  <si>
    <t>PRAXAIR INC USD0.01</t>
  </si>
  <si>
    <t>INDSTRIAL GAS</t>
  </si>
  <si>
    <t>PROSIEBENSAT1 MEDIA AG NPV PREF</t>
  </si>
  <si>
    <t>MEDIA COMPANY</t>
  </si>
  <si>
    <t>REED ELSEVIER NV EUR0.07</t>
  </si>
  <si>
    <t>PUBLISHING COMPANY</t>
  </si>
  <si>
    <t>REPSOL SA EUR1</t>
  </si>
  <si>
    <t>OIL COMPANY</t>
  </si>
  <si>
    <t>ROCHE HOLDING AG COMMON STOCK CHF 0</t>
  </si>
  <si>
    <t>ROYAL DUTCH SHELL 'A'ORD EUR0.07</t>
  </si>
  <si>
    <t>ROYAL DUTCH SHELL PLC COMMON STOCK GBP</t>
  </si>
  <si>
    <t>SAMSUNG ELECTRONICS CO LTD GDR USD</t>
  </si>
  <si>
    <t>ELECTRONICS COMPANY</t>
  </si>
  <si>
    <t>SBM OFFSHORE N.V. EUR0.25</t>
  </si>
  <si>
    <t>OIL AND GAS EQUIPMENT</t>
  </si>
  <si>
    <t>SCHLUMBERGER LTD COMMON STOCK USD 0.01</t>
  </si>
  <si>
    <t>OIL SERVICE</t>
  </si>
  <si>
    <t>SCHNEIDER ELECTRIC SE COMMON STOCK EUR 4</t>
  </si>
  <si>
    <t>SEGRO PLC ORD GBP0.10</t>
  </si>
  <si>
    <t>SHIN-ETSU CHEMICAL CO NPV</t>
  </si>
  <si>
    <t>SP AUSNET NPV (UNITS)</t>
  </si>
  <si>
    <t>ELECTRIC DISTRIBUTION</t>
  </si>
  <si>
    <t>STANDARD CHARTERED PLC COMMON STOCK GBP 0.5</t>
  </si>
  <si>
    <t>STATOIL ASA NOK2.50</t>
  </si>
  <si>
    <t>STMICROELECTRONICS EUR1.04</t>
  </si>
  <si>
    <t>SWIRE PACIFIC LTD COMMON STOCK HKD 0.6</t>
  </si>
  <si>
    <t>OIL AND GAS SERVICES</t>
  </si>
  <si>
    <t>SYDNEY AIRPORT NPV(STAPLED SECURITY)</t>
  </si>
  <si>
    <t>AIRPORT</t>
  </si>
  <si>
    <t>TAIWAN SEMICONDUCTOR MANUFACTURING ADS EACH CNV</t>
  </si>
  <si>
    <t>TELEFONAKTIEBOLAGET LM ERICSSON COMMON STOCK SEK 0</t>
  </si>
  <si>
    <t>COMMUNICATION INDUSTRY</t>
  </si>
  <si>
    <t>TELEFONICA SA EUR1</t>
  </si>
  <si>
    <t>TELENOR ASA ORD NOK6</t>
  </si>
  <si>
    <t>TENARIS S.A. ADR EACH REP 2 COM SPONS</t>
  </si>
  <si>
    <t>OIL AND GAS PIPELINE</t>
  </si>
  <si>
    <t>TRANSURBAN GROUP NPV (POST RECON)</t>
  </si>
  <si>
    <t>ROAD AND TOLL MANUFACTURER</t>
  </si>
  <si>
    <t>TREASURY WINE ESTATES LTD NPV</t>
  </si>
  <si>
    <t>WINE COMPANY</t>
  </si>
  <si>
    <t>UNICREDIT SPA EUR0.50</t>
  </si>
  <si>
    <t>FINICIAL COMPANY</t>
  </si>
  <si>
    <t>UNILEVER NV CVA EUR0.16</t>
  </si>
  <si>
    <t>FOOD AND BEVERAGES</t>
  </si>
  <si>
    <t>UNITED TECHNOLOGIES CORP USD1</t>
  </si>
  <si>
    <t>AIRCRAFT</t>
  </si>
  <si>
    <t>VALE SA ADR REPR 1 PREF SHS NPV SPON</t>
  </si>
  <si>
    <t xml:space="preserve">MINING </t>
  </si>
  <si>
    <t>VISA INC USD0.0001 'A'</t>
  </si>
  <si>
    <t>CREDIT CAR COMPANY</t>
  </si>
  <si>
    <t>VODAFONE GROUP PLC COMMON STOCK GBP 0.2095</t>
  </si>
  <si>
    <t>MOBILE COMPANY</t>
  </si>
  <si>
    <t>WESTFIELD GROUP REIT AUD 0</t>
  </si>
  <si>
    <t>ZURICH INSURANCE GROUP LTD CHF0.10</t>
  </si>
  <si>
    <t xml:space="preserve">BARING ALPHA FUNDS DYNAMIC ASSET ALLOCATION FUND
</t>
  </si>
  <si>
    <t>BLUECREST ALLBLUE LTD - Class A GBP</t>
  </si>
  <si>
    <t>BREVAN HOWARD MULTI STRATEGY FUND LTD</t>
  </si>
  <si>
    <t>INSIGHT INVESTMENT BONDS PLUS 400 FUND</t>
  </si>
  <si>
    <t>LEGAL &amp; GENERAL (EX UK) EQUITY INDEX</t>
  </si>
  <si>
    <t>LEGAL &amp; GENERAL ASIA PAC EXJAP DEV EQTY INDEX</t>
  </si>
  <si>
    <t>LEGAL &amp; GENERAL JAPAN EQUITY INDEX</t>
  </si>
  <si>
    <t>LEGAL &amp; GENERAL Middle East/Africa Equ Index</t>
  </si>
  <si>
    <t>LEGAL &amp; GENERAL NORTH AMERICA EQUITY INDEX</t>
  </si>
  <si>
    <t>LEGAL &amp; GENERAL OVER 5YR INDEX LNKD GILTS</t>
  </si>
  <si>
    <t>LEGAL &amp; GENERAL UK (WORLD) EQUITY INDEX</t>
  </si>
  <si>
    <t>LEGAL &amp; GENERAL UK EQUITY INDEX</t>
  </si>
  <si>
    <t>LEGAL &amp; GENERAL WORLD EM MKTS EQ INDEX</t>
  </si>
  <si>
    <t>HENDERSON UK RETAIL WAREHOUSE FUND</t>
  </si>
  <si>
    <t>UK PROPERTY</t>
  </si>
  <si>
    <t>AIRPORT INDUSTRIAL TRUST</t>
  </si>
  <si>
    <t>Ardstone Regional Office</t>
  </si>
  <si>
    <t>Columbus UK Real Estate Fund</t>
  </si>
  <si>
    <t>Forum Roxhill Co - Investment LP</t>
  </si>
  <si>
    <t>Henderson UK Shopping Centre Fund</t>
  </si>
  <si>
    <t>HERMES PROPERTY UNIT TRUST OPEN-END FUND GBP</t>
  </si>
  <si>
    <t>L&amp;G Industrial Property Investment Fund</t>
  </si>
  <si>
    <t>LEND LEASE RETAIL P/SHIP (JERSEY) UT UNITS</t>
  </si>
  <si>
    <t>Longbow UK Real Estate Debt Investments II</t>
  </si>
  <si>
    <t>M&amp;G REAL ESTATE DEBT FUND III LP</t>
  </si>
  <si>
    <t>PALMER CAPITAL DEVELOPMENT FUND</t>
  </si>
  <si>
    <t>SCHRODER PROPERTY UNIT TRUSTS EXEMPT PROPERTY</t>
  </si>
  <si>
    <t>SIGNATURE SENIOR LIFESTYLE PARTNERS FUND</t>
  </si>
  <si>
    <t>STANDARD LIFE RETAIL PARK</t>
  </si>
  <si>
    <t>UBS GLOBAL ASSET MANAGEMENT(UK) TRITON PROPERTY</t>
  </si>
  <si>
    <t>UNITE STUDENT ACCOMMODATION FUND</t>
  </si>
  <si>
    <t>WEST END OF LONDON PROPERTY</t>
  </si>
  <si>
    <t xml:space="preserve">PARTNERS GROUP REAL ESTATE SECONDARY </t>
  </si>
  <si>
    <t>GLOBAL PROPERTY</t>
  </si>
  <si>
    <t>GBP CASH</t>
  </si>
  <si>
    <t>CASH</t>
  </si>
  <si>
    <t>LQD JPMAM INST</t>
  </si>
  <si>
    <t>US Dollars</t>
  </si>
  <si>
    <t>PHILIPNES PESO</t>
  </si>
  <si>
    <t>PHP</t>
  </si>
  <si>
    <t>EURO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</si>
</sst>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9.0"/>
    </font>
    <font>
      <u/>
      <color rgb="FF0000FF"/>
    </font>
    <font>
      <sz val="10.0"/>
    </font>
    <font>
      <sz val="11.0"/>
    </font>
    <font>
      <b/>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2">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2" numFmtId="0" xfId="0" applyAlignment="1" applyFont="1">
      <alignment/>
    </xf>
    <xf borderId="0" fillId="2" fontId="2" numFmtId="2" xfId="0" applyAlignment="1" applyFill="1" applyFont="1" applyNumberFormat="1">
      <alignment vertical="bottom"/>
    </xf>
    <xf borderId="0" fillId="2" fontId="2" numFmtId="2" xfId="0" applyAlignment="1" applyFont="1" applyNumberFormat="1">
      <alignment vertical="bottom"/>
    </xf>
    <xf borderId="0" fillId="0" fontId="3" numFmtId="0" xfId="0" applyAlignment="1" applyFont="1">
      <alignment/>
    </xf>
    <xf borderId="0" fillId="2" fontId="2" numFmtId="3" xfId="0" applyAlignment="1" applyFont="1" applyNumberFormat="1">
      <alignment vertical="bottom"/>
    </xf>
    <xf borderId="0" fillId="0" fontId="2" numFmtId="3" xfId="0" applyAlignment="1" applyBorder="1" applyFont="1" applyNumberFormat="1">
      <alignment vertical="bottom"/>
    </xf>
    <xf borderId="0" fillId="0" fontId="4" numFmtId="0" xfId="0" applyAlignment="1" applyFont="1">
      <alignment/>
    </xf>
    <xf borderId="0" fillId="2" fontId="5" numFmtId="0" xfId="0" applyAlignment="1" applyFont="1">
      <alignment vertical="bottom"/>
    </xf>
    <xf borderId="0" fillId="0" fontId="1" numFmtId="0" xfId="0" applyAlignment="1" applyFont="1">
      <alignment vertical="bottom"/>
    </xf>
    <xf borderId="0" fillId="0" fontId="6" numFmtId="0" xfId="0" applyAlignment="1" applyFont="1">
      <alignment/>
    </xf>
    <xf borderId="0" fillId="0" fontId="6" numFmtId="0" xfId="0" applyFont="1"/>
    <xf borderId="0" fillId="0" fontId="1" numFmtId="3" xfId="0" applyAlignment="1" applyFont="1" applyNumberFormat="1">
      <alignment horizontal="right" vertical="bottom"/>
    </xf>
    <xf borderId="0" fillId="0" fontId="1" numFmtId="3" xfId="0" applyAlignment="1" applyFont="1" applyNumberFormat="1">
      <alignment/>
    </xf>
    <xf borderId="0" fillId="0" fontId="1" numFmtId="9"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5" numFmtId="0" xfId="0" applyAlignment="1" applyFont="1">
      <alignment vertical="bottom"/>
    </xf>
    <xf borderId="0" fillId="2" fontId="5" numFmtId="0" xfId="0" applyAlignment="1" applyFont="1">
      <alignment vertical="bottom"/>
    </xf>
    <xf borderId="0" fillId="2" fontId="5" numFmtId="4" xfId="0" applyAlignment="1" applyFont="1" applyNumberFormat="1">
      <alignment vertical="bottom"/>
    </xf>
    <xf borderId="0" fillId="0" fontId="4" numFmtId="0" xfId="0" applyAlignment="1" applyFont="1">
      <alignment vertical="bottom"/>
    </xf>
    <xf borderId="0" fillId="0" fontId="1" numFmtId="4" xfId="0" applyAlignment="1" applyFont="1" applyNumberFormat="1">
      <alignment horizontal="right" vertical="bottom"/>
    </xf>
    <xf borderId="0" fillId="0" fontId="5" numFmtId="49" xfId="0" applyAlignment="1" applyFont="1" applyNumberFormat="1">
      <alignment vertical="bottom"/>
    </xf>
    <xf borderId="0" fillId="0" fontId="1" numFmtId="0" xfId="0" applyAlignment="1" applyFont="1">
      <alignment vertical="bottom"/>
    </xf>
    <xf borderId="0" fillId="2" fontId="5" numFmtId="0" xfId="0" applyAlignment="1" applyFont="1">
      <alignment vertical="bottom"/>
    </xf>
    <xf borderId="0" fillId="0" fontId="4" numFmtId="4" xfId="0" applyAlignment="1" applyFont="1" applyNumberFormat="1">
      <alignment/>
    </xf>
    <xf borderId="0" fillId="2" fontId="1" numFmtId="0" xfId="0" applyAlignment="1" applyFont="1">
      <alignment/>
    </xf>
    <xf borderId="0" fillId="0" fontId="4"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ebcache.googleusercontent.com/search?q=cache:Uq59DijcW7IJ:www.camden.gov.uk/ccm/cms-service/download/asset%3Fasset_id%3D3255427+&amp;cd=1&amp;hl=en&amp;ct=clnk&amp;gl=uk"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11</v>
      </c>
    </row>
    <row r="9">
      <c r="A9" s="2" t="s">
        <v>13</v>
      </c>
    </row>
    <row r="10">
      <c r="A10" s="2" t="s">
        <v>14</v>
      </c>
    </row>
    <row r="11">
      <c r="A11" s="2" t="s">
        <v>15</v>
      </c>
    </row>
    <row r="12">
      <c r="A12" s="2" t="s">
        <v>16</v>
      </c>
    </row>
    <row r="13">
      <c r="A13" s="6" t="s">
        <v>17</v>
      </c>
    </row>
    <row r="15">
      <c r="A15" s="2" t="s">
        <v>20</v>
      </c>
    </row>
    <row r="16">
      <c r="A16" s="2" t="s">
        <v>21</v>
      </c>
    </row>
    <row r="17">
      <c r="A17" s="2" t="s">
        <v>22</v>
      </c>
    </row>
    <row r="18">
      <c r="A18" s="2" t="s">
        <v>23</v>
      </c>
    </row>
    <row r="19">
      <c r="A19" s="2" t="s">
        <v>25</v>
      </c>
    </row>
    <row r="20">
      <c r="A20" s="2" t="s">
        <v>27</v>
      </c>
    </row>
    <row r="21">
      <c r="A21" s="2" t="s">
        <v>28</v>
      </c>
    </row>
    <row r="22">
      <c r="A22" s="2" t="s">
        <v>29</v>
      </c>
    </row>
    <row r="23">
      <c r="A23" s="2" t="s">
        <v>30</v>
      </c>
    </row>
    <row r="24">
      <c r="A24" s="2"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5.29"/>
    <col customWidth="1" min="4" max="6" width="24.14"/>
    <col customWidth="1" min="7" max="7" width="17.0"/>
    <col customWidth="1" min="8" max="8" width="23.71"/>
  </cols>
  <sheetData>
    <row r="1" ht="24.0" customHeight="1">
      <c r="A1" s="3" t="s">
        <v>2</v>
      </c>
      <c r="B1" s="3" t="s">
        <v>9</v>
      </c>
      <c r="C1" s="3" t="s">
        <v>10</v>
      </c>
      <c r="D1" s="4" t="s">
        <v>12</v>
      </c>
      <c r="E1" s="5" t="s">
        <v>18</v>
      </c>
      <c r="F1" s="7" t="s">
        <v>19</v>
      </c>
      <c r="G1" s="7" t="s">
        <v>24</v>
      </c>
      <c r="H1" s="8" t="s">
        <v>26</v>
      </c>
    </row>
    <row r="2">
      <c r="A2" s="2" t="s">
        <v>32</v>
      </c>
      <c r="B2" s="9" t="s">
        <v>33</v>
      </c>
      <c r="C2" s="2" t="s">
        <v>34</v>
      </c>
      <c r="D2" s="10" t="s">
        <v>35</v>
      </c>
      <c r="E2" s="21" t="str">
        <f t="shared" ref="E2:E136" si="1">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136" si="2">IF(OR(NOT(D2="0"),NOT(E2="0")),B2,D2)</f>
        <v>0</v>
      </c>
      <c r="G2" s="23" t="str">
        <f t="shared" ref="G2:G136" si="3">IF(F2="0",F2,H2)</f>
        <v>0</v>
      </c>
      <c r="H2" s="24">
        <v>144.77</v>
      </c>
      <c r="I2" s="2" t="s">
        <v>50</v>
      </c>
    </row>
    <row r="3">
      <c r="A3" s="2" t="s">
        <v>32</v>
      </c>
      <c r="B3" s="9" t="s">
        <v>51</v>
      </c>
      <c r="C3" s="2" t="s">
        <v>52</v>
      </c>
      <c r="D3" s="21" t="str">
        <f t="shared" ref="D3:D136" si="4">if(and(or(B3="bp", ISNUMBER(SEARCH("BP ",B3))),NOT(ISNUMBER(SEARCH("?BP",B3)))), "BP", IF(AND(ISNUMBER(SEARCH("Shell",B3)),NOT(ISNUMBER(SEARCH("Shell Sek",B3)))),"Shell", IF(ISNUMBER(SEARCH("Gazprom",B3)),"Gazprom",IF(ISNUMBER(SEARCH("Rosneft",B3)),"Rosneft",IF(ISNUMBER(SEARCH("Exxon",B3)),"Exxon",IF(ISNUMBER(SEARCH("Lukoil",B3)),"Lukoil",IF(ISNUMBER(SEARCH("Petrochina",B3)),"Petrochina",IF(ISNUMBER(SEARCH("Lukoil",B3)),"Lukoil",IF(ISNUMBER(SEARCH("Petrobras",B3)),"Petrobras",IF(ISNUMBER(SEARCH("Chevron",B3)),"Chevron",IF(ISNUMBER(SEARCH("Novatek",B3)),"Novatek", 
IF(AND(ISNUMBER(SEARCH("Total",B3)),NOT(OR(ISNUMBER(SEARCH("Total Re",B3)),ISNUMBER(SEARCH("Total Sys",B3))))),"Total",IF(ISNUMBER(SEARCH("ConocoPhillips",B3)),"ConocoPhillips", IF(ISNUMBER(SEARCH("Tatneft",B3)),"Tatneft", IF(ISNUMBER(SEARCH("ONGC",B3)),"ONGC", 
IF(AND(ISNUMBER(SEARCH("ENI",B3)),NOT(ISNUMBER(SEARCH("?ENI",B3)))),"ENI", IF(ISNUMBER(SEARCH("Statoil ",B3)),"Statoil ", IF(ISNUMBER(SEARCH("Sinopec",B3)),"Sinopec", IF(ISNUMBER(SEARCH("CNOOC ",B3)),"CNOOC ", IF(ISNUMBER(SEARCH("Occidental",B3)),"Occidental", IF(ISNUMBER(SEARCH("BG Group",B3)),"BG Group",IF(ISNUMBER(SEARCH("Canadian Natural Resources ",B3)),"Canadian Natural Resources ",IF(ISNUMBER(SEARCH("Anadarko Petroleum ",B3)),"Anadarko Petroleum ",IF(ISNUMBER(SEARCH("Apache ",B3)),"Apache ",IF(ISNUMBER(SEARCH("Chesapeake Energy ",B3)),"Chesapeake Energy ",IF(ISNUMBER(SEARCH("Inpex ",B3)),"Inpex ",IF(ISNUMBER(SEARCH("Bashneft",B3)),"Bashneft",IF(ISNUMBER(SEARCH("Devon Energy ",B3)),"Devon Energy ",IF(ISNUMBER(SEARCH("BHP Billiton",B3)),"BHP Billiton",IF(ISNUMBER(SEARCH("Repsol",B3)),"Repsol",IF(ISNUMBER(SEARCH("Ecopetrol",B3)),"Ecopetrol",IF(ISNUMBER(SEARCH("EOG Resources",B3)),"EOG Resources",IF(ISNUMBER(SEARCH("Suncor Energy ",B3)),"Suncor Energy ",IF(ISNUMBER(SEARCH("Marathon Oil ",B3)),"Marathon Oil ",IF(ISNUMBER(SEARCH("Hess ",B3)),"Hess ",IF(ISNUMBER(SEARCH("Imperial Oil ",B3)),"Imperial Oil ",IF(ISNUMBER(SEARCH("Encana ",B3)),"Encana ",IF(ISNUMBER(SEARCH("Noble Energy",B3)),"Noble Energy",IF(ISNUMBER(SEARCH("BASF",B3)),"BASF",IF(ISNUMBER(SEARCH("EQT ",B3)),"EQT ",IF(AND(ISNUMBER(SEARCH("Range Resources",B3)),NOT(ISNUMBER(SEARCH("?Range Resources",B3)))),"Range Resources",IF(ISNUMBER(SEARCH("Continental Resources",B3)),"Continental Resources",IF(ISNUMBER(SEARCH("OMV",B3)),"OMV",IF(ISNUMBER(SEARCH("Antero Resources",B3)),"Antero Resources",IF(ISNUMBER(SEARCH("KazMunaiGas EP",B3)),"KazMunaiGas EP",IF(ISNUMBER(SEARCH("YPF ",B3)),"YPF ",IF(ISNUMBER(SEARCH("Southwestern Energy ",B3)),"Southwestern Energy ",IF(ISNUMBER(SEARCH("Cenovus Energy ",B3)),"Cenovus Energy ",IF(ISNUMBER(SEARCH("Linn Energy",B3)),"Linn Energy",IF(ISNUMBER(SEARCH("Woodside Petroleum",B3)),"Woodside Petroleum",IF(ISNUMBER(SEARCH("Husky Energy ",B3)),"Husky Energy ", IF(ISNUMBER(SEARCH("PTT ",B3)),"PTT ",IF(ISNUMBER(SEARCH("Consol Energy ",B3)),"Consol Energy ",IF(ISNUMBER(SEARCH("Pioneer Natural Resources ",B3)),"Pioneer Natural Resources ",IF(ISNUMBER(SEARCH("Cabot Oil &amp; Gas ",B3)),"Cabot Oil &amp; Gas ",IF(ISNUMBER(SEARCH("WPX Energy",B3)),"WPX Energy",IF(ISNUMBER(SEARCH("SK Innovation ",B3)),"SK Innovation ",IF(ISNUMBER(SEARCH("Whiting Petroleum ",B3)),"Whiting Petroleum ",IF(ISNUMBER(SEARCH("Murphy Oil ",B3)),"Murphy Oil ",IF(ISNUMBER(SEARCH("QEP Resources ",B3)),"QEP Resources ",IF(ISNUMBER(SEARCH("Newfield Exploration ",B3)),"Newfield Exploration ",IF(ISNUMBER(SEARCH("Dragon Oil",B3)),"Dragon Oil",IF(ISNUMBER(SEARCH("Sasol ",B3)),"Sasol ",IF(ISNUMBER(SEARCH("Ultra Petroleum ",B3)),"Ultra Petroleum ",IF(ISNUMBER(SEARCH("Santos",B3)),"Santos",IF(ISNUMBER(SEARCH("Concho Resources ",B3)),"Concho Resources ",IF(ISNUMBER(SEARCH("Denbury Resources ",B3)),"Denbury Resources ",IF(ISNUMBER(SEARCH("Freeport-McMoRan",B3)),"Freeport-McMoRan",IF(ISNUMBER(SEARCH("Maersk Group",B3)),"Maersk Group",IF(ISNUMBER(SEARCH("MEG Energy ",B3)),"MEG Energy ",IF(ISNUMBER(SEARCH("SandRidge Energy",B3)),"SandRidge Energy",IF(ISNUMBER(SEARCH("Crescent Point Energy ",B3)),"Crescent Point Energy ",IF(ISNUMBER(SEARCH("GDF SUEZ",B3)),"GDF SUEZ",IF(ISNUMBER(SEARCH("Pacific Rubiales Energy ",B3)),"Pacific Rubiales Energy ",IF(ISNUMBER(SEARCH("SM Energy ",B3)),"SM Energy ",IF(ISNUMBER(SEARCH("JX Holdings ",B3)),"JX Holdings ",IF(ISNUMBER(SEARCH("Cimarex Energy ",B3)),"Cimarex Energy ",IF(ISNUMBER(SEARCH("Mitsui &amp; Co ",B3)),"Mitsui &amp; Co ",IF(ISNUMBER(SEARCH("Penn West Petroleum ",B3)),"Penn West Petroleum ",IF(ISNUMBER(SEARCH("Polish Oil &amp; Gas",B3)),"Polish Oil &amp; Gas",IF(OR(B3="MOL", ISNUMBER(SEARCH("MOL ",B3))),"MOL",IF(ISNUMBER(SEARCH("Energen ",B3)),"Energen ",IF(ISNUMBER(SEARCH("TAQA",B3)),"TAQA",IF(ISNUMBER(SEARCH("Oil Search",B3)),"Oil Search",IF(ISNUMBER(SEARCH("Oil India",B3)),"Oil India",IF(ISNUMBER(SEARCH("ARC Resources ",B3)),"ARC Resources ",IF(ISNUMBER(SEARCH("Genel Energy ",B3)),"Genel Energy ",IF(ISNUMBER(SEARCH("Canadian Oil Sands ",B3)),"Canadian Oil Sands ",IF(ISNUMBER(SEARCH("Energy XXI",B3)),"Energy XXI",IF(ISNUMBER(SEARCH("PDC Energy",B3)),"PDC Energy",IF(ISNUMBER(SEARCH("Oasis Petroleum ",B3)),"Oasis Petroleum ",IF(ISNUMBER(SEARCH("Tourmaline Oil ",B3)),"Tourmaline Oil ",IF(ISNUMBER(SEARCH("Rosetta Resources",B3)),"Rosetta Resources",IF(ISNUMBER(SEARCH("RWE ",B3)),"RWE ",IF(ISNUMBER(SEARCH("National Fuel Gas",B3)),"National Fuel Gas",IF(ISNUMBER(SEARCH("Peyto E&amp;D ",B3)),"Peyto E&amp;D ",IF(ISNUMBER(SEARCH("Xcite Energy ",B3)),"Xcite Energy ",IF(ISNUMBER(SEARCH("Tullow Oil",B3)),"Tullow Oil",IF(ISNUMBER(SEARCH("Energi Mega Persada ",B3)),"Energi Mega Persada ",IF(ISNUMBER(SEARCH("Breitburn Energy Partners",B3)),"Breitburn Energy Partners",IF(ISNUMBER(SEARCH("Enerplus ",B3)),"Enerplus ","0")))))))))))))))))))))))))))))))))))))))))))))))))))))))))))))))))))))))))))))))))))))))))))))))))))))</f>
        <v>0</v>
      </c>
      <c r="E3" s="21" t="str">
        <f t="shared" si="1"/>
        <v>0</v>
      </c>
      <c r="F3" s="28" t="str">
        <f t="shared" si="2"/>
        <v>0</v>
      </c>
      <c r="G3" s="23" t="str">
        <f t="shared" si="3"/>
        <v>0</v>
      </c>
      <c r="H3" s="9">
        <v>795.08</v>
      </c>
      <c r="I3" s="2" t="s">
        <v>54</v>
      </c>
    </row>
    <row r="4">
      <c r="A4" s="2" t="s">
        <v>32</v>
      </c>
      <c r="B4" s="9" t="s">
        <v>55</v>
      </c>
      <c r="C4" s="2" t="s">
        <v>56</v>
      </c>
      <c r="D4" s="21" t="str">
        <f t="shared" si="4"/>
        <v>0</v>
      </c>
      <c r="E4" s="21" t="str">
        <f t="shared" si="1"/>
        <v>0</v>
      </c>
      <c r="F4" s="28" t="str">
        <f t="shared" si="2"/>
        <v>0</v>
      </c>
      <c r="G4" s="23" t="str">
        <f t="shared" si="3"/>
        <v>0</v>
      </c>
      <c r="H4" s="9">
        <v>445.81</v>
      </c>
      <c r="I4" s="2" t="s">
        <v>54</v>
      </c>
    </row>
    <row r="5">
      <c r="A5" s="2" t="s">
        <v>32</v>
      </c>
      <c r="B5" s="9" t="s">
        <v>57</v>
      </c>
      <c r="C5" s="2" t="s">
        <v>58</v>
      </c>
      <c r="D5" s="21" t="str">
        <f t="shared" si="4"/>
        <v>0</v>
      </c>
      <c r="E5" s="21" t="str">
        <f t="shared" si="1"/>
        <v>0</v>
      </c>
      <c r="F5" s="28" t="str">
        <f t="shared" si="2"/>
        <v>0</v>
      </c>
      <c r="G5" s="23" t="str">
        <f t="shared" si="3"/>
        <v>0</v>
      </c>
      <c r="H5" s="2">
        <v>3201.99</v>
      </c>
      <c r="I5" s="2" t="s">
        <v>54</v>
      </c>
    </row>
    <row r="6">
      <c r="A6" s="2" t="s">
        <v>32</v>
      </c>
      <c r="B6" s="9" t="s">
        <v>59</v>
      </c>
      <c r="C6" s="2" t="s">
        <v>58</v>
      </c>
      <c r="D6" s="21" t="str">
        <f t="shared" si="4"/>
        <v>0</v>
      </c>
      <c r="E6" s="21" t="str">
        <f t="shared" si="1"/>
        <v>0</v>
      </c>
      <c r="F6" s="28" t="str">
        <f t="shared" si="2"/>
        <v>0</v>
      </c>
      <c r="G6" s="23" t="str">
        <f t="shared" si="3"/>
        <v>0</v>
      </c>
      <c r="H6" s="29">
        <v>5543959.84</v>
      </c>
      <c r="I6" s="2" t="s">
        <v>60</v>
      </c>
    </row>
    <row r="7">
      <c r="A7" s="2" t="s">
        <v>32</v>
      </c>
      <c r="B7" s="9" t="s">
        <v>61</v>
      </c>
      <c r="C7" s="2" t="s">
        <v>62</v>
      </c>
      <c r="D7" s="21" t="str">
        <f t="shared" si="4"/>
        <v>0</v>
      </c>
      <c r="E7" s="21" t="str">
        <f t="shared" si="1"/>
        <v>0</v>
      </c>
      <c r="F7" s="28" t="str">
        <f t="shared" si="2"/>
        <v>0</v>
      </c>
      <c r="G7" s="23" t="str">
        <f t="shared" si="3"/>
        <v>0</v>
      </c>
      <c r="H7" s="9">
        <f>702.53/12.69</f>
        <v>55.36091411</v>
      </c>
      <c r="I7" s="2" t="s">
        <v>63</v>
      </c>
    </row>
    <row r="8">
      <c r="A8" s="2" t="s">
        <v>32</v>
      </c>
      <c r="B8" s="9" t="s">
        <v>64</v>
      </c>
      <c r="C8" s="2" t="s">
        <v>65</v>
      </c>
      <c r="D8" s="21" t="str">
        <f t="shared" si="4"/>
        <v>0</v>
      </c>
      <c r="E8" s="21" t="str">
        <f t="shared" si="1"/>
        <v>0</v>
      </c>
      <c r="F8" s="28" t="str">
        <f t="shared" si="2"/>
        <v>0</v>
      </c>
      <c r="G8" s="23" t="str">
        <f t="shared" si="3"/>
        <v>0</v>
      </c>
      <c r="H8" s="29">
        <f>1693.72+241.23</f>
        <v>1934.95</v>
      </c>
      <c r="I8" s="2" t="s">
        <v>54</v>
      </c>
    </row>
    <row r="9">
      <c r="A9" s="2" t="s">
        <v>32</v>
      </c>
      <c r="B9" s="9" t="s">
        <v>66</v>
      </c>
      <c r="C9" s="2" t="s">
        <v>67</v>
      </c>
      <c r="D9" s="21" t="str">
        <f t="shared" si="4"/>
        <v>0</v>
      </c>
      <c r="E9" s="21" t="str">
        <f t="shared" si="1"/>
        <v>0</v>
      </c>
      <c r="F9" s="28" t="str">
        <f t="shared" si="2"/>
        <v>0</v>
      </c>
      <c r="G9" s="23" t="str">
        <f t="shared" si="3"/>
        <v>0</v>
      </c>
      <c r="H9" s="9">
        <v>114.88</v>
      </c>
      <c r="I9" s="2" t="s">
        <v>54</v>
      </c>
    </row>
    <row r="10">
      <c r="A10" s="2" t="s">
        <v>32</v>
      </c>
      <c r="B10" s="9" t="s">
        <v>70</v>
      </c>
      <c r="C10" s="2" t="s">
        <v>71</v>
      </c>
      <c r="D10" s="21" t="str">
        <f t="shared" si="4"/>
        <v>0</v>
      </c>
      <c r="E10" s="21" t="str">
        <f t="shared" si="1"/>
        <v>Arcelor Mittal</v>
      </c>
      <c r="F10" s="28" t="str">
        <f t="shared" si="2"/>
        <v>ARCELOR MITTAL N.V. 'A'EUR0.01</v>
      </c>
      <c r="G10" s="23">
        <f t="shared" si="3"/>
        <v>110.958042</v>
      </c>
      <c r="H10" s="9">
        <f>158.67/1.43</f>
        <v>110.958042</v>
      </c>
      <c r="I10" s="2" t="s">
        <v>63</v>
      </c>
    </row>
    <row r="11">
      <c r="A11" s="2" t="s">
        <v>32</v>
      </c>
      <c r="B11" s="9" t="s">
        <v>73</v>
      </c>
      <c r="C11" s="2" t="s">
        <v>58</v>
      </c>
      <c r="D11" s="21" t="str">
        <f t="shared" si="4"/>
        <v>0</v>
      </c>
      <c r="E11" s="21" t="str">
        <f t="shared" si="1"/>
        <v>0</v>
      </c>
      <c r="F11" s="28" t="str">
        <f t="shared" si="2"/>
        <v>0</v>
      </c>
      <c r="G11" s="23" t="str">
        <f t="shared" si="3"/>
        <v>0</v>
      </c>
      <c r="H11" s="2">
        <v>842.44</v>
      </c>
      <c r="I11" s="2" t="s">
        <v>54</v>
      </c>
    </row>
    <row r="12">
      <c r="A12" s="2" t="s">
        <v>32</v>
      </c>
      <c r="B12" s="9" t="s">
        <v>74</v>
      </c>
      <c r="C12" s="2" t="s">
        <v>75</v>
      </c>
      <c r="D12" s="21" t="str">
        <f t="shared" si="4"/>
        <v>0</v>
      </c>
      <c r="E12" s="21" t="str">
        <f t="shared" si="1"/>
        <v>0</v>
      </c>
      <c r="F12" s="28" t="str">
        <f t="shared" si="2"/>
        <v>0</v>
      </c>
      <c r="G12" s="23" t="str">
        <f t="shared" si="3"/>
        <v>0</v>
      </c>
      <c r="H12" s="29">
        <v>5902627.68</v>
      </c>
      <c r="I12" s="2" t="s">
        <v>76</v>
      </c>
    </row>
    <row r="13">
      <c r="A13" s="2" t="s">
        <v>32</v>
      </c>
      <c r="B13" s="9" t="s">
        <v>77</v>
      </c>
      <c r="C13" s="2" t="s">
        <v>52</v>
      </c>
      <c r="D13" s="21" t="str">
        <f t="shared" si="4"/>
        <v>0</v>
      </c>
      <c r="E13" s="21" t="str">
        <f t="shared" si="1"/>
        <v>0</v>
      </c>
      <c r="F13" s="28" t="str">
        <f t="shared" si="2"/>
        <v>0</v>
      </c>
      <c r="G13" s="23" t="str">
        <f t="shared" si="3"/>
        <v>0</v>
      </c>
      <c r="H13" s="29">
        <v>1196.55</v>
      </c>
      <c r="I13" s="2" t="s">
        <v>54</v>
      </c>
    </row>
    <row r="14">
      <c r="A14" s="2" t="s">
        <v>32</v>
      </c>
      <c r="B14" s="9" t="s">
        <v>78</v>
      </c>
      <c r="C14" s="2" t="s">
        <v>52</v>
      </c>
      <c r="D14" s="21" t="str">
        <f t="shared" si="4"/>
        <v>0</v>
      </c>
      <c r="E14" s="21" t="str">
        <f t="shared" si="1"/>
        <v>0</v>
      </c>
      <c r="F14" s="28" t="str">
        <f t="shared" si="2"/>
        <v>0</v>
      </c>
      <c r="G14" s="23" t="str">
        <f t="shared" si="3"/>
        <v>0</v>
      </c>
      <c r="H14" s="29">
        <v>1.010631924E7</v>
      </c>
      <c r="I14" s="2" t="s">
        <v>79</v>
      </c>
    </row>
    <row r="15">
      <c r="A15" s="2" t="s">
        <v>32</v>
      </c>
      <c r="B15" s="9" t="s">
        <v>80</v>
      </c>
      <c r="C15" s="2" t="s">
        <v>52</v>
      </c>
      <c r="D15" s="21" t="str">
        <f t="shared" si="4"/>
        <v>0</v>
      </c>
      <c r="E15" s="21" t="str">
        <f t="shared" si="1"/>
        <v>0</v>
      </c>
      <c r="F15" s="28" t="str">
        <f t="shared" si="2"/>
        <v>0</v>
      </c>
      <c r="G15" s="23" t="str">
        <f t="shared" si="3"/>
        <v>0</v>
      </c>
      <c r="H15" s="9">
        <v>967.48</v>
      </c>
      <c r="I15" s="2" t="s">
        <v>54</v>
      </c>
    </row>
    <row r="16">
      <c r="A16" s="2" t="s">
        <v>32</v>
      </c>
      <c r="B16" s="29" t="s">
        <v>81</v>
      </c>
      <c r="C16" s="2" t="s">
        <v>82</v>
      </c>
      <c r="D16" s="21" t="str">
        <f t="shared" si="4"/>
        <v>0</v>
      </c>
      <c r="E16" s="21" t="str">
        <f t="shared" si="1"/>
        <v>0</v>
      </c>
      <c r="F16" s="28" t="str">
        <f t="shared" si="2"/>
        <v>0</v>
      </c>
      <c r="G16" s="23" t="str">
        <f t="shared" si="3"/>
        <v>0</v>
      </c>
      <c r="H16" s="29">
        <v>6884674.16</v>
      </c>
      <c r="I16" s="9" t="s">
        <v>79</v>
      </c>
    </row>
    <row r="17">
      <c r="A17" s="2" t="s">
        <v>32</v>
      </c>
      <c r="B17" s="29" t="s">
        <v>83</v>
      </c>
      <c r="C17" s="2" t="s">
        <v>62</v>
      </c>
      <c r="D17" s="21" t="str">
        <f t="shared" si="4"/>
        <v>BHP Billiton</v>
      </c>
      <c r="E17" s="21" t="str">
        <f t="shared" si="1"/>
        <v>BHP Billiton</v>
      </c>
      <c r="F17" s="23" t="str">
        <f t="shared" si="2"/>
        <v>BHP BILLITON PLC COMMON STOCK GBP 0.5</v>
      </c>
      <c r="G17" s="23">
        <f t="shared" si="3"/>
        <v>6460200.5</v>
      </c>
      <c r="H17" s="29">
        <v>6460200.5</v>
      </c>
      <c r="I17" s="2" t="s">
        <v>63</v>
      </c>
    </row>
    <row r="18">
      <c r="A18" s="2" t="s">
        <v>32</v>
      </c>
      <c r="B18" s="9" t="s">
        <v>84</v>
      </c>
      <c r="C18" s="2" t="s">
        <v>85</v>
      </c>
      <c r="D18" s="21" t="str">
        <f t="shared" si="4"/>
        <v>0</v>
      </c>
      <c r="E18" s="21" t="str">
        <f t="shared" si="1"/>
        <v>0</v>
      </c>
      <c r="F18" s="28" t="str">
        <f t="shared" si="2"/>
        <v>0</v>
      </c>
      <c r="G18" s="23" t="str">
        <f t="shared" si="3"/>
        <v>0</v>
      </c>
      <c r="H18" s="29">
        <v>1.2089528E7</v>
      </c>
      <c r="I18" s="2" t="s">
        <v>63</v>
      </c>
    </row>
    <row r="19">
      <c r="A19" s="2" t="s">
        <v>32</v>
      </c>
      <c r="B19" s="29" t="s">
        <v>86</v>
      </c>
      <c r="C19" s="2" t="s">
        <v>87</v>
      </c>
      <c r="D19" s="21" t="str">
        <f t="shared" si="4"/>
        <v>0</v>
      </c>
      <c r="E19" s="21" t="str">
        <f t="shared" si="1"/>
        <v>0</v>
      </c>
      <c r="F19" s="28" t="str">
        <f t="shared" si="2"/>
        <v>0</v>
      </c>
      <c r="G19" s="23" t="str">
        <f t="shared" si="3"/>
        <v>0</v>
      </c>
      <c r="H19" s="9">
        <f>783.95+1674.31+470.77</f>
        <v>2929.03</v>
      </c>
      <c r="I19" s="2" t="s">
        <v>63</v>
      </c>
    </row>
    <row r="20">
      <c r="A20" s="2" t="s">
        <v>32</v>
      </c>
      <c r="B20" s="9" t="s">
        <v>88</v>
      </c>
      <c r="C20" s="2" t="s">
        <v>89</v>
      </c>
      <c r="D20" s="21" t="str">
        <f t="shared" si="4"/>
        <v>0</v>
      </c>
      <c r="E20" s="21" t="str">
        <f t="shared" si="1"/>
        <v>0</v>
      </c>
      <c r="F20" s="28" t="str">
        <f t="shared" si="2"/>
        <v>0</v>
      </c>
      <c r="G20" s="23" t="str">
        <f t="shared" si="3"/>
        <v>0</v>
      </c>
      <c r="H20" s="29">
        <v>8640037.58</v>
      </c>
      <c r="I20" s="2" t="s">
        <v>90</v>
      </c>
    </row>
    <row r="21">
      <c r="A21" s="2" t="s">
        <v>32</v>
      </c>
      <c r="B21" s="9" t="s">
        <v>91</v>
      </c>
      <c r="C21" s="2" t="s">
        <v>92</v>
      </c>
      <c r="D21" s="21" t="str">
        <f t="shared" si="4"/>
        <v>0</v>
      </c>
      <c r="E21" s="21" t="str">
        <f t="shared" si="1"/>
        <v>0</v>
      </c>
      <c r="F21" s="28" t="str">
        <f t="shared" si="2"/>
        <v>0</v>
      </c>
      <c r="G21" s="23" t="str">
        <f t="shared" si="3"/>
        <v>0</v>
      </c>
      <c r="H21" s="29">
        <v>4596875.0</v>
      </c>
      <c r="I21" s="2" t="s">
        <v>63</v>
      </c>
    </row>
    <row r="22">
      <c r="A22" s="2" t="s">
        <v>32</v>
      </c>
      <c r="B22" s="9" t="s">
        <v>93</v>
      </c>
      <c r="C22" s="2" t="s">
        <v>62</v>
      </c>
      <c r="D22" s="21" t="str">
        <f t="shared" si="4"/>
        <v>Chevron</v>
      </c>
      <c r="E22" s="21" t="str">
        <f t="shared" si="1"/>
        <v>0</v>
      </c>
      <c r="F22" s="28" t="str">
        <f t="shared" si="2"/>
        <v>CHEVRON CORP USD0.75</v>
      </c>
      <c r="G22" s="23">
        <f t="shared" si="3"/>
        <v>3057791.878</v>
      </c>
      <c r="H22" s="29">
        <f>4770155.33/1.56</f>
        <v>3057791.878</v>
      </c>
      <c r="I22" s="2" t="s">
        <v>63</v>
      </c>
    </row>
    <row r="23">
      <c r="A23" s="2" t="s">
        <v>32</v>
      </c>
      <c r="B23" s="9" t="s">
        <v>94</v>
      </c>
      <c r="C23" s="2" t="s">
        <v>95</v>
      </c>
      <c r="D23" s="21" t="str">
        <f t="shared" si="4"/>
        <v>0</v>
      </c>
      <c r="E23" s="21" t="str">
        <f t="shared" si="1"/>
        <v>0</v>
      </c>
      <c r="F23" s="28" t="str">
        <f t="shared" si="2"/>
        <v>0</v>
      </c>
      <c r="G23" s="23" t="str">
        <f t="shared" si="3"/>
        <v>0</v>
      </c>
      <c r="H23" s="29">
        <v>2663581.97</v>
      </c>
      <c r="I23" s="2" t="s">
        <v>96</v>
      </c>
    </row>
    <row r="24">
      <c r="A24" s="2" t="s">
        <v>32</v>
      </c>
      <c r="B24" s="29" t="s">
        <v>97</v>
      </c>
      <c r="C24" s="2" t="s">
        <v>98</v>
      </c>
      <c r="D24" s="21" t="str">
        <f t="shared" si="4"/>
        <v>0</v>
      </c>
      <c r="E24" s="21" t="str">
        <f t="shared" si="1"/>
        <v>0</v>
      </c>
      <c r="F24" s="28" t="str">
        <f t="shared" si="2"/>
        <v>0</v>
      </c>
      <c r="G24" s="23" t="str">
        <f t="shared" si="3"/>
        <v>0</v>
      </c>
      <c r="H24" s="29">
        <v>5394125.56</v>
      </c>
      <c r="I24" s="2" t="s">
        <v>79</v>
      </c>
    </row>
    <row r="25">
      <c r="A25" s="2" t="s">
        <v>32</v>
      </c>
      <c r="B25" s="9" t="s">
        <v>99</v>
      </c>
      <c r="C25" s="2" t="s">
        <v>100</v>
      </c>
      <c r="D25" s="21" t="str">
        <f t="shared" si="4"/>
        <v>0</v>
      </c>
      <c r="E25" s="21" t="str">
        <f t="shared" si="1"/>
        <v>0</v>
      </c>
      <c r="F25" s="28" t="str">
        <f t="shared" si="2"/>
        <v>0</v>
      </c>
      <c r="G25" s="23" t="str">
        <f t="shared" si="3"/>
        <v>0</v>
      </c>
      <c r="H25" s="29">
        <v>9852340.37</v>
      </c>
      <c r="I25" s="2" t="s">
        <v>79</v>
      </c>
    </row>
    <row r="26">
      <c r="A26" s="2" t="s">
        <v>32</v>
      </c>
      <c r="B26" s="9" t="s">
        <v>101</v>
      </c>
      <c r="C26" s="2" t="s">
        <v>102</v>
      </c>
      <c r="D26" s="21" t="str">
        <f t="shared" si="4"/>
        <v>0</v>
      </c>
      <c r="E26" s="21" t="str">
        <f t="shared" si="1"/>
        <v>0</v>
      </c>
      <c r="F26" s="28" t="str">
        <f t="shared" si="2"/>
        <v>0</v>
      </c>
      <c r="G26" s="23" t="str">
        <f t="shared" si="3"/>
        <v>0</v>
      </c>
      <c r="H26" s="29">
        <v>3443326.75</v>
      </c>
      <c r="I26" s="2" t="s">
        <v>103</v>
      </c>
    </row>
    <row r="27">
      <c r="A27" s="2" t="s">
        <v>32</v>
      </c>
      <c r="B27" s="24" t="s">
        <v>104</v>
      </c>
      <c r="C27" s="2" t="s">
        <v>105</v>
      </c>
      <c r="D27" s="21" t="str">
        <f t="shared" si="4"/>
        <v>0</v>
      </c>
      <c r="E27" s="21" t="str">
        <f t="shared" si="1"/>
        <v>0</v>
      </c>
      <c r="F27" s="28" t="str">
        <f t="shared" si="2"/>
        <v>0</v>
      </c>
      <c r="G27" s="23" t="str">
        <f t="shared" si="3"/>
        <v>0</v>
      </c>
      <c r="H27" s="29">
        <v>1035.77</v>
      </c>
      <c r="I27" s="2" t="s">
        <v>106</v>
      </c>
    </row>
    <row r="28">
      <c r="A28" s="2" t="s">
        <v>32</v>
      </c>
      <c r="B28" s="9" t="s">
        <v>107</v>
      </c>
      <c r="C28" s="2" t="s">
        <v>92</v>
      </c>
      <c r="D28" s="21" t="str">
        <f t="shared" si="4"/>
        <v>0</v>
      </c>
      <c r="E28" s="21" t="str">
        <f t="shared" si="1"/>
        <v>0</v>
      </c>
      <c r="F28" s="28" t="str">
        <f t="shared" si="2"/>
        <v>0</v>
      </c>
      <c r="G28" s="23" t="str">
        <f t="shared" si="3"/>
        <v>0</v>
      </c>
      <c r="H28" s="9">
        <f>125.22/1.56</f>
        <v>80.26923077</v>
      </c>
      <c r="I28" s="2" t="s">
        <v>63</v>
      </c>
    </row>
    <row r="29">
      <c r="A29" s="2" t="s">
        <v>32</v>
      </c>
      <c r="B29" s="24" t="s">
        <v>108</v>
      </c>
      <c r="C29" s="2" t="s">
        <v>62</v>
      </c>
      <c r="D29" s="21" t="str">
        <f t="shared" si="4"/>
        <v>ENI</v>
      </c>
      <c r="E29" s="21" t="str">
        <f t="shared" si="1"/>
        <v>0</v>
      </c>
      <c r="F29" s="28" t="str">
        <f t="shared" si="2"/>
        <v>ENI NPV</v>
      </c>
      <c r="G29" s="23">
        <f t="shared" si="3"/>
        <v>5596292.084</v>
      </c>
      <c r="H29" s="29">
        <f>(5682.18+7997015.5)/1.43</f>
        <v>5596292.084</v>
      </c>
      <c r="I29" s="2" t="s">
        <v>63</v>
      </c>
    </row>
    <row r="30">
      <c r="A30" s="2" t="s">
        <v>32</v>
      </c>
      <c r="B30" s="9" t="s">
        <v>109</v>
      </c>
      <c r="C30" s="2" t="s">
        <v>62</v>
      </c>
      <c r="D30" s="21" t="str">
        <f t="shared" si="4"/>
        <v>EOG Resources</v>
      </c>
      <c r="E30" s="21" t="str">
        <f t="shared" si="1"/>
        <v>0</v>
      </c>
      <c r="F30" s="28" t="str">
        <f t="shared" si="2"/>
        <v>EOG RESOURCES INC USD0.01</v>
      </c>
      <c r="G30" s="23">
        <f t="shared" si="3"/>
        <v>5921221.218</v>
      </c>
      <c r="H30" s="29">
        <f>9237105.1/1.56</f>
        <v>5921221.218</v>
      </c>
      <c r="I30" s="2" t="s">
        <v>63</v>
      </c>
    </row>
    <row r="31">
      <c r="A31" s="2" t="s">
        <v>32</v>
      </c>
      <c r="B31" s="9" t="s">
        <v>110</v>
      </c>
      <c r="C31" s="2" t="s">
        <v>75</v>
      </c>
      <c r="D31" s="21" t="str">
        <f t="shared" si="4"/>
        <v>0</v>
      </c>
      <c r="E31" s="21" t="str">
        <f t="shared" si="1"/>
        <v>0</v>
      </c>
      <c r="F31" s="28" t="str">
        <f t="shared" si="2"/>
        <v>0</v>
      </c>
      <c r="G31" s="23" t="str">
        <f t="shared" si="3"/>
        <v>0</v>
      </c>
      <c r="H31" s="29">
        <v>5101879.74</v>
      </c>
      <c r="I31" s="2" t="s">
        <v>103</v>
      </c>
    </row>
    <row r="32">
      <c r="A32" s="2" t="s">
        <v>32</v>
      </c>
      <c r="B32" s="9" t="s">
        <v>111</v>
      </c>
      <c r="C32" s="2" t="s">
        <v>112</v>
      </c>
      <c r="D32" s="21" t="str">
        <f t="shared" si="4"/>
        <v>0</v>
      </c>
      <c r="E32" s="21" t="str">
        <f t="shared" si="1"/>
        <v>0</v>
      </c>
      <c r="F32" s="28" t="str">
        <f t="shared" si="2"/>
        <v>0</v>
      </c>
      <c r="G32" s="23" t="str">
        <f t="shared" si="3"/>
        <v>0</v>
      </c>
      <c r="H32" s="29">
        <v>6495827.19</v>
      </c>
      <c r="I32" s="2" t="s">
        <v>79</v>
      </c>
    </row>
    <row r="33">
      <c r="A33" s="2" t="s">
        <v>32</v>
      </c>
      <c r="B33" s="9" t="s">
        <v>113</v>
      </c>
      <c r="C33" s="2" t="s">
        <v>114</v>
      </c>
      <c r="D33" s="21" t="str">
        <f t="shared" si="4"/>
        <v>0</v>
      </c>
      <c r="E33" s="21" t="str">
        <f t="shared" si="1"/>
        <v>0</v>
      </c>
      <c r="F33" s="28" t="str">
        <f t="shared" si="2"/>
        <v>0</v>
      </c>
      <c r="G33" s="23" t="str">
        <f t="shared" si="3"/>
        <v>0</v>
      </c>
      <c r="H33" s="9">
        <v>298.96</v>
      </c>
      <c r="I33" s="2" t="s">
        <v>54</v>
      </c>
    </row>
    <row r="34">
      <c r="A34" s="2" t="s">
        <v>32</v>
      </c>
      <c r="B34" s="9" t="s">
        <v>115</v>
      </c>
      <c r="C34" s="2" t="s">
        <v>92</v>
      </c>
      <c r="D34" s="21" t="str">
        <f t="shared" si="4"/>
        <v>0</v>
      </c>
      <c r="E34" s="21" t="str">
        <f t="shared" si="1"/>
        <v>0</v>
      </c>
      <c r="F34" s="28" t="str">
        <f t="shared" si="2"/>
        <v>0</v>
      </c>
      <c r="G34" s="23" t="str">
        <f t="shared" si="3"/>
        <v>0</v>
      </c>
      <c r="H34" s="9">
        <f>253.57/1.43</f>
        <v>177.3216783</v>
      </c>
      <c r="I34" s="2" t="s">
        <v>63</v>
      </c>
    </row>
    <row r="35">
      <c r="A35" s="2" t="s">
        <v>32</v>
      </c>
      <c r="B35" s="9" t="s">
        <v>116</v>
      </c>
      <c r="C35" s="2" t="s">
        <v>117</v>
      </c>
      <c r="D35" s="21" t="str">
        <f t="shared" si="4"/>
        <v>0</v>
      </c>
      <c r="E35" s="21" t="str">
        <f t="shared" si="1"/>
        <v>0</v>
      </c>
      <c r="F35" s="28" t="str">
        <f t="shared" si="2"/>
        <v>0</v>
      </c>
      <c r="G35" s="23" t="str">
        <f t="shared" si="3"/>
        <v>0</v>
      </c>
      <c r="H35" s="9">
        <v>16.16</v>
      </c>
      <c r="I35" s="2" t="s">
        <v>50</v>
      </c>
    </row>
    <row r="36">
      <c r="A36" s="2" t="s">
        <v>32</v>
      </c>
      <c r="B36" s="9" t="s">
        <v>118</v>
      </c>
      <c r="C36" s="2" t="s">
        <v>52</v>
      </c>
      <c r="D36" s="21" t="str">
        <f t="shared" si="4"/>
        <v>0</v>
      </c>
      <c r="E36" s="21" t="str">
        <f t="shared" si="1"/>
        <v>0</v>
      </c>
      <c r="F36" s="28" t="str">
        <f t="shared" si="2"/>
        <v>0</v>
      </c>
      <c r="G36" s="23" t="str">
        <f t="shared" si="3"/>
        <v>0</v>
      </c>
      <c r="H36" s="29">
        <v>6642829.82</v>
      </c>
      <c r="I36" s="2" t="s">
        <v>63</v>
      </c>
    </row>
    <row r="37">
      <c r="A37" s="2" t="s">
        <v>32</v>
      </c>
      <c r="B37" s="9" t="s">
        <v>119</v>
      </c>
      <c r="C37" s="2" t="s">
        <v>120</v>
      </c>
      <c r="D37" s="21" t="str">
        <f t="shared" si="4"/>
        <v>0</v>
      </c>
      <c r="E37" s="21" t="str">
        <f t="shared" si="1"/>
        <v>0</v>
      </c>
      <c r="F37" s="28" t="str">
        <f t="shared" si="2"/>
        <v>0</v>
      </c>
      <c r="G37" s="23" t="str">
        <f t="shared" si="3"/>
        <v>0</v>
      </c>
      <c r="H37" s="9">
        <v>251.22</v>
      </c>
      <c r="I37" s="2" t="s">
        <v>54</v>
      </c>
    </row>
    <row r="38">
      <c r="A38" s="2" t="s">
        <v>32</v>
      </c>
      <c r="B38" s="9" t="s">
        <v>121</v>
      </c>
      <c r="C38" s="2" t="s">
        <v>122</v>
      </c>
      <c r="D38" s="21" t="str">
        <f t="shared" si="4"/>
        <v>0</v>
      </c>
      <c r="E38" s="21" t="str">
        <f t="shared" si="1"/>
        <v>0</v>
      </c>
      <c r="F38" s="28" t="str">
        <f t="shared" si="2"/>
        <v>0</v>
      </c>
      <c r="G38" s="23" t="str">
        <f t="shared" si="3"/>
        <v>0</v>
      </c>
      <c r="H38" s="9">
        <v>528.2</v>
      </c>
      <c r="I38" s="2" t="s">
        <v>54</v>
      </c>
    </row>
    <row r="39">
      <c r="A39" s="2" t="s">
        <v>32</v>
      </c>
      <c r="B39" s="9" t="s">
        <v>123</v>
      </c>
      <c r="C39" s="2" t="s">
        <v>87</v>
      </c>
      <c r="D39" s="21" t="str">
        <f t="shared" si="4"/>
        <v>0</v>
      </c>
      <c r="E39" s="21" t="str">
        <f t="shared" si="1"/>
        <v>0</v>
      </c>
      <c r="F39" s="28" t="str">
        <f t="shared" si="2"/>
        <v>0</v>
      </c>
      <c r="G39" s="23" t="str">
        <f t="shared" si="3"/>
        <v>0</v>
      </c>
      <c r="H39" s="29">
        <v>8225.95</v>
      </c>
      <c r="I39" s="2" t="s">
        <v>54</v>
      </c>
    </row>
    <row r="40">
      <c r="A40" s="2" t="s">
        <v>32</v>
      </c>
      <c r="B40" s="9" t="s">
        <v>124</v>
      </c>
      <c r="C40" s="2" t="s">
        <v>117</v>
      </c>
      <c r="D40" s="21" t="str">
        <f t="shared" si="4"/>
        <v>0</v>
      </c>
      <c r="E40" s="21" t="str">
        <f t="shared" si="1"/>
        <v>0</v>
      </c>
      <c r="F40" s="28" t="str">
        <f t="shared" si="2"/>
        <v>0</v>
      </c>
      <c r="G40" s="23" t="str">
        <f t="shared" si="3"/>
        <v>0</v>
      </c>
      <c r="H40" s="9">
        <v>82.5</v>
      </c>
      <c r="I40" s="2" t="s">
        <v>63</v>
      </c>
    </row>
    <row r="41">
      <c r="A41" s="2" t="s">
        <v>32</v>
      </c>
      <c r="B41" s="9" t="s">
        <v>125</v>
      </c>
      <c r="C41" s="2" t="s">
        <v>126</v>
      </c>
      <c r="D41" s="21" t="str">
        <f t="shared" si="4"/>
        <v>0</v>
      </c>
      <c r="E41" s="21" t="str">
        <f t="shared" si="1"/>
        <v>0</v>
      </c>
      <c r="F41" s="28" t="str">
        <f t="shared" si="2"/>
        <v>0</v>
      </c>
      <c r="G41" s="23" t="str">
        <f t="shared" si="3"/>
        <v>0</v>
      </c>
      <c r="H41" s="29">
        <v>1.081978079E7</v>
      </c>
      <c r="I41" s="2" t="s">
        <v>79</v>
      </c>
    </row>
    <row r="42">
      <c r="A42" s="2" t="s">
        <v>32</v>
      </c>
      <c r="B42" s="9" t="s">
        <v>127</v>
      </c>
      <c r="C42" s="2" t="s">
        <v>128</v>
      </c>
      <c r="D42" s="21" t="str">
        <f t="shared" si="4"/>
        <v>0</v>
      </c>
      <c r="E42" s="21" t="str">
        <f t="shared" si="1"/>
        <v>0</v>
      </c>
      <c r="F42" s="28" t="str">
        <f t="shared" si="2"/>
        <v>0</v>
      </c>
      <c r="G42" s="23" t="str">
        <f t="shared" si="3"/>
        <v>0</v>
      </c>
      <c r="H42" s="9">
        <v>437.21</v>
      </c>
      <c r="I42" s="2" t="s">
        <v>54</v>
      </c>
    </row>
    <row r="43">
      <c r="A43" s="2" t="s">
        <v>32</v>
      </c>
      <c r="B43" s="9" t="s">
        <v>129</v>
      </c>
      <c r="C43" s="2" t="s">
        <v>130</v>
      </c>
      <c r="D43" s="21" t="str">
        <f t="shared" si="4"/>
        <v>0</v>
      </c>
      <c r="E43" s="21" t="str">
        <f t="shared" si="1"/>
        <v>0</v>
      </c>
      <c r="F43" s="28" t="str">
        <f t="shared" si="2"/>
        <v>0</v>
      </c>
      <c r="G43" s="23" t="str">
        <f t="shared" si="3"/>
        <v>0</v>
      </c>
      <c r="H43" s="29">
        <v>1149.23</v>
      </c>
      <c r="I43" s="2" t="s">
        <v>54</v>
      </c>
    </row>
    <row r="44">
      <c r="A44" s="2" t="s">
        <v>32</v>
      </c>
      <c r="B44" s="9" t="s">
        <v>131</v>
      </c>
      <c r="C44" s="2" t="s">
        <v>132</v>
      </c>
      <c r="D44" s="21" t="str">
        <f t="shared" si="4"/>
        <v>0</v>
      </c>
      <c r="E44" s="21" t="str">
        <f t="shared" si="1"/>
        <v>0</v>
      </c>
      <c r="F44" s="28" t="str">
        <f t="shared" si="2"/>
        <v>0</v>
      </c>
      <c r="G44" s="23" t="str">
        <f t="shared" si="3"/>
        <v>0</v>
      </c>
      <c r="H44" s="2">
        <v>2317.17</v>
      </c>
      <c r="I44" s="2" t="s">
        <v>54</v>
      </c>
    </row>
    <row r="45">
      <c r="A45" s="2" t="s">
        <v>32</v>
      </c>
      <c r="B45" s="9" t="s">
        <v>133</v>
      </c>
      <c r="C45" s="2" t="s">
        <v>117</v>
      </c>
      <c r="D45" s="21" t="str">
        <f t="shared" si="4"/>
        <v>0</v>
      </c>
      <c r="E45" s="21" t="str">
        <f t="shared" si="1"/>
        <v>0</v>
      </c>
      <c r="F45" s="28" t="str">
        <f t="shared" si="2"/>
        <v>0</v>
      </c>
      <c r="G45" s="23" t="str">
        <f t="shared" si="3"/>
        <v>0</v>
      </c>
      <c r="H45" s="9">
        <v>291.2</v>
      </c>
      <c r="I45" s="2" t="s">
        <v>63</v>
      </c>
    </row>
    <row r="46">
      <c r="A46" s="2" t="s">
        <v>32</v>
      </c>
      <c r="B46" s="9" t="s">
        <v>134</v>
      </c>
      <c r="C46" s="2" t="s">
        <v>135</v>
      </c>
      <c r="D46" s="21" t="str">
        <f t="shared" si="4"/>
        <v>0</v>
      </c>
      <c r="E46" s="21" t="str">
        <f t="shared" si="1"/>
        <v>0</v>
      </c>
      <c r="F46" s="28" t="str">
        <f t="shared" si="2"/>
        <v>0</v>
      </c>
      <c r="G46" s="23" t="str">
        <f t="shared" si="3"/>
        <v>0</v>
      </c>
      <c r="H46" s="9">
        <v>646.43</v>
      </c>
      <c r="I46" s="2" t="s">
        <v>54</v>
      </c>
    </row>
    <row r="47">
      <c r="A47" s="2" t="s">
        <v>32</v>
      </c>
      <c r="B47" s="9" t="s">
        <v>136</v>
      </c>
      <c r="C47" s="2" t="s">
        <v>135</v>
      </c>
      <c r="D47" s="21" t="str">
        <f t="shared" si="4"/>
        <v>0</v>
      </c>
      <c r="E47" s="21" t="str">
        <f t="shared" si="1"/>
        <v>0</v>
      </c>
      <c r="F47" s="28" t="str">
        <f t="shared" si="2"/>
        <v>0</v>
      </c>
      <c r="G47" s="23" t="str">
        <f t="shared" si="3"/>
        <v>0</v>
      </c>
      <c r="H47" s="29">
        <v>1055.42</v>
      </c>
      <c r="I47" s="2" t="s">
        <v>79</v>
      </c>
    </row>
    <row r="48">
      <c r="A48" s="2" t="s">
        <v>32</v>
      </c>
      <c r="B48" s="9" t="s">
        <v>137</v>
      </c>
      <c r="C48" s="2" t="s">
        <v>138</v>
      </c>
      <c r="D48" s="21" t="str">
        <f t="shared" si="4"/>
        <v>0</v>
      </c>
      <c r="E48" s="21" t="str">
        <f t="shared" si="1"/>
        <v>0</v>
      </c>
      <c r="F48" s="28" t="str">
        <f t="shared" si="2"/>
        <v>0</v>
      </c>
      <c r="G48" s="23" t="str">
        <f t="shared" si="3"/>
        <v>0</v>
      </c>
      <c r="H48" s="9">
        <f>39.57/2.11</f>
        <v>18.7535545</v>
      </c>
      <c r="I48" s="2" t="s">
        <v>63</v>
      </c>
    </row>
    <row r="49">
      <c r="A49" s="2" t="s">
        <v>32</v>
      </c>
      <c r="B49" s="9" t="s">
        <v>139</v>
      </c>
      <c r="C49" s="2" t="s">
        <v>140</v>
      </c>
      <c r="D49" s="21" t="str">
        <f t="shared" si="4"/>
        <v>0</v>
      </c>
      <c r="E49" s="21" t="str">
        <f t="shared" si="1"/>
        <v>0</v>
      </c>
      <c r="F49" s="28" t="str">
        <f t="shared" si="2"/>
        <v>0</v>
      </c>
      <c r="G49" s="23" t="str">
        <f t="shared" si="3"/>
        <v>0</v>
      </c>
      <c r="H49" s="9">
        <v>76.9</v>
      </c>
      <c r="I49" s="2" t="s">
        <v>50</v>
      </c>
    </row>
    <row r="50">
      <c r="A50" s="2" t="s">
        <v>32</v>
      </c>
      <c r="B50" s="9" t="s">
        <v>141</v>
      </c>
      <c r="C50" s="2" t="s">
        <v>142</v>
      </c>
      <c r="D50" s="21" t="str">
        <f t="shared" si="4"/>
        <v>0</v>
      </c>
      <c r="E50" s="21" t="str">
        <f t="shared" si="1"/>
        <v>0</v>
      </c>
      <c r="F50" s="28" t="str">
        <f t="shared" si="2"/>
        <v>0</v>
      </c>
      <c r="G50" s="23" t="str">
        <f t="shared" si="3"/>
        <v>0</v>
      </c>
      <c r="H50" s="9">
        <v>166.09</v>
      </c>
      <c r="I50" s="2" t="s">
        <v>143</v>
      </c>
    </row>
    <row r="51">
      <c r="A51" s="2" t="s">
        <v>32</v>
      </c>
      <c r="B51" s="9" t="s">
        <v>144</v>
      </c>
      <c r="C51" s="2" t="s">
        <v>130</v>
      </c>
      <c r="D51" s="21" t="str">
        <f t="shared" si="4"/>
        <v>0</v>
      </c>
      <c r="E51" s="21" t="str">
        <f t="shared" si="1"/>
        <v>0</v>
      </c>
      <c r="F51" s="28" t="str">
        <f t="shared" si="2"/>
        <v>0</v>
      </c>
      <c r="G51" s="23" t="str">
        <f t="shared" si="3"/>
        <v>0</v>
      </c>
      <c r="H51" s="29">
        <v>5163726.68</v>
      </c>
      <c r="I51" s="2" t="s">
        <v>145</v>
      </c>
    </row>
    <row r="52">
      <c r="A52" s="2" t="s">
        <v>32</v>
      </c>
      <c r="B52" s="9" t="s">
        <v>146</v>
      </c>
      <c r="C52" s="2" t="s">
        <v>147</v>
      </c>
      <c r="D52" s="21" t="str">
        <f t="shared" si="4"/>
        <v>0</v>
      </c>
      <c r="E52" s="21" t="str">
        <f t="shared" si="1"/>
        <v>0</v>
      </c>
      <c r="F52" s="28" t="str">
        <f t="shared" si="2"/>
        <v>0</v>
      </c>
      <c r="G52" s="23" t="str">
        <f t="shared" si="3"/>
        <v>0</v>
      </c>
      <c r="H52" s="29">
        <v>6833969.15</v>
      </c>
      <c r="I52" s="9" t="s">
        <v>148</v>
      </c>
    </row>
    <row r="53">
      <c r="A53" s="2" t="s">
        <v>32</v>
      </c>
      <c r="B53" s="9" t="s">
        <v>149</v>
      </c>
      <c r="C53" s="2" t="s">
        <v>138</v>
      </c>
      <c r="D53" s="21" t="str">
        <f t="shared" si="4"/>
        <v>0</v>
      </c>
      <c r="E53" s="21" t="str">
        <f t="shared" si="1"/>
        <v>0</v>
      </c>
      <c r="F53" s="28" t="str">
        <f t="shared" si="2"/>
        <v>0</v>
      </c>
      <c r="G53" s="23" t="str">
        <f t="shared" si="3"/>
        <v>0</v>
      </c>
      <c r="H53" s="9">
        <f>6.39/2.11</f>
        <v>3.028436019</v>
      </c>
      <c r="I53" s="30" t="s">
        <v>63</v>
      </c>
    </row>
    <row r="54">
      <c r="A54" s="2" t="s">
        <v>32</v>
      </c>
      <c r="B54" s="9" t="s">
        <v>150</v>
      </c>
      <c r="C54" s="2" t="s">
        <v>52</v>
      </c>
      <c r="D54" s="21" t="str">
        <f t="shared" si="4"/>
        <v>0</v>
      </c>
      <c r="E54" s="21" t="str">
        <f t="shared" si="1"/>
        <v>0</v>
      </c>
      <c r="F54" s="28" t="str">
        <f t="shared" si="2"/>
        <v>0</v>
      </c>
      <c r="G54" s="23" t="str">
        <f t="shared" si="3"/>
        <v>0</v>
      </c>
      <c r="H54" s="29">
        <v>4700585.76</v>
      </c>
      <c r="I54" s="2" t="s">
        <v>76</v>
      </c>
    </row>
    <row r="55">
      <c r="A55" s="2" t="s">
        <v>32</v>
      </c>
      <c r="B55" s="9" t="s">
        <v>151</v>
      </c>
      <c r="C55" s="2" t="s">
        <v>128</v>
      </c>
      <c r="D55" s="21" t="str">
        <f t="shared" si="4"/>
        <v>0</v>
      </c>
      <c r="E55" s="21" t="str">
        <f t="shared" si="1"/>
        <v>0</v>
      </c>
      <c r="F55" s="28" t="str">
        <f t="shared" si="2"/>
        <v>0</v>
      </c>
      <c r="G55" s="23" t="str">
        <f t="shared" si="3"/>
        <v>0</v>
      </c>
      <c r="H55" s="29">
        <v>1.026915433E7</v>
      </c>
      <c r="I55" s="2" t="s">
        <v>148</v>
      </c>
    </row>
    <row r="56">
      <c r="A56" s="2" t="s">
        <v>32</v>
      </c>
      <c r="B56" s="9" t="s">
        <v>152</v>
      </c>
      <c r="C56" s="2" t="s">
        <v>67</v>
      </c>
      <c r="D56" s="21" t="str">
        <f t="shared" si="4"/>
        <v>0</v>
      </c>
      <c r="E56" s="21" t="str">
        <f t="shared" si="1"/>
        <v>0</v>
      </c>
      <c r="F56" s="28" t="str">
        <f t="shared" si="2"/>
        <v>0</v>
      </c>
      <c r="G56" s="23" t="str">
        <f t="shared" si="3"/>
        <v>0</v>
      </c>
      <c r="H56" s="29">
        <v>8126039.21</v>
      </c>
      <c r="I56" s="2" t="s">
        <v>79</v>
      </c>
    </row>
    <row r="57">
      <c r="A57" s="2" t="s">
        <v>32</v>
      </c>
      <c r="B57" s="9" t="s">
        <v>153</v>
      </c>
      <c r="C57" s="2" t="s">
        <v>154</v>
      </c>
      <c r="D57" s="21" t="str">
        <f t="shared" si="4"/>
        <v>0</v>
      </c>
      <c r="E57" s="21" t="str">
        <f t="shared" si="1"/>
        <v>0</v>
      </c>
      <c r="F57" s="28" t="str">
        <f t="shared" si="2"/>
        <v>0</v>
      </c>
      <c r="G57" s="23" t="str">
        <f t="shared" si="3"/>
        <v>0</v>
      </c>
      <c r="H57" s="9">
        <v>707.67</v>
      </c>
      <c r="I57" s="9" t="s">
        <v>106</v>
      </c>
    </row>
    <row r="58">
      <c r="A58" s="2" t="s">
        <v>32</v>
      </c>
      <c r="B58" s="9" t="s">
        <v>155</v>
      </c>
      <c r="C58" s="2" t="s">
        <v>156</v>
      </c>
      <c r="D58" s="21" t="str">
        <f t="shared" si="4"/>
        <v>0</v>
      </c>
      <c r="E58" s="21" t="str">
        <f t="shared" si="1"/>
        <v>0</v>
      </c>
      <c r="F58" s="28" t="str">
        <f t="shared" si="2"/>
        <v>0</v>
      </c>
      <c r="G58" s="23" t="str">
        <f t="shared" si="3"/>
        <v>0</v>
      </c>
      <c r="H58" s="29">
        <v>7621597.29</v>
      </c>
      <c r="I58" s="2" t="s">
        <v>79</v>
      </c>
    </row>
    <row r="59">
      <c r="A59" s="2" t="s">
        <v>32</v>
      </c>
      <c r="B59" s="9" t="s">
        <v>157</v>
      </c>
      <c r="C59" s="2" t="s">
        <v>62</v>
      </c>
      <c r="D59" s="21" t="str">
        <f t="shared" si="4"/>
        <v>Petrochina</v>
      </c>
      <c r="E59" s="21" t="str">
        <f t="shared" si="1"/>
        <v>0</v>
      </c>
      <c r="F59" s="28" t="str">
        <f t="shared" si="2"/>
        <v>PETROCHINA CO CNY1'H'</v>
      </c>
      <c r="G59" s="23">
        <f t="shared" si="3"/>
        <v>409109.3209</v>
      </c>
      <c r="H59" s="29">
        <f>4946131.69/12.09</f>
        <v>409109.3209</v>
      </c>
      <c r="I59" s="2" t="s">
        <v>63</v>
      </c>
    </row>
    <row r="60">
      <c r="A60" s="2" t="s">
        <v>32</v>
      </c>
      <c r="B60" s="9" t="s">
        <v>158</v>
      </c>
      <c r="C60" s="2" t="s">
        <v>62</v>
      </c>
      <c r="D60" s="21" t="str">
        <f t="shared" si="4"/>
        <v>Petrobras</v>
      </c>
      <c r="E60" s="21" t="str">
        <f t="shared" si="1"/>
        <v>0</v>
      </c>
      <c r="F60" s="28" t="str">
        <f t="shared" si="2"/>
        <v>PETROLEO BRASILEIRO SA PETROBRAS SPONS ADR-EACH</v>
      </c>
      <c r="G60" s="23">
        <f t="shared" si="3"/>
        <v>3116781.532</v>
      </c>
      <c r="H60" s="29">
        <f>4862179.19/1.56</f>
        <v>3116781.532</v>
      </c>
      <c r="I60" s="2" t="s">
        <v>63</v>
      </c>
    </row>
    <row r="61">
      <c r="A61" s="2" t="s">
        <v>32</v>
      </c>
      <c r="B61" s="9" t="s">
        <v>159</v>
      </c>
      <c r="C61" s="2" t="s">
        <v>160</v>
      </c>
      <c r="D61" s="21" t="str">
        <f t="shared" si="4"/>
        <v>0</v>
      </c>
      <c r="E61" s="21" t="str">
        <f t="shared" si="1"/>
        <v>0</v>
      </c>
      <c r="F61" s="28" t="str">
        <f t="shared" si="2"/>
        <v>0</v>
      </c>
      <c r="G61" s="23" t="str">
        <f t="shared" si="3"/>
        <v>0</v>
      </c>
      <c r="H61" s="29">
        <v>9684034.37</v>
      </c>
      <c r="I61" s="2" t="s">
        <v>79</v>
      </c>
    </row>
    <row r="62">
      <c r="A62" s="2" t="s">
        <v>32</v>
      </c>
      <c r="B62" s="9" t="s">
        <v>161</v>
      </c>
      <c r="C62" s="2" t="s">
        <v>162</v>
      </c>
      <c r="D62" s="21" t="str">
        <f t="shared" si="4"/>
        <v>0</v>
      </c>
      <c r="E62" s="21" t="str">
        <f t="shared" si="1"/>
        <v>0</v>
      </c>
      <c r="F62" s="28" t="str">
        <f t="shared" si="2"/>
        <v>0</v>
      </c>
      <c r="G62" s="23" t="str">
        <f t="shared" si="3"/>
        <v>0</v>
      </c>
      <c r="H62">
        <f>1635.2+110.26</f>
        <v>1745.46</v>
      </c>
      <c r="I62" s="2" t="s">
        <v>54</v>
      </c>
    </row>
    <row r="63">
      <c r="A63" s="2" t="s">
        <v>32</v>
      </c>
      <c r="B63" s="2" t="s">
        <v>163</v>
      </c>
      <c r="C63" s="2" t="s">
        <v>164</v>
      </c>
      <c r="D63" s="21" t="str">
        <f t="shared" si="4"/>
        <v>0</v>
      </c>
      <c r="E63" s="21" t="str">
        <f t="shared" si="1"/>
        <v>0</v>
      </c>
      <c r="F63" s="28" t="str">
        <f t="shared" si="2"/>
        <v>0</v>
      </c>
      <c r="G63" s="23" t="str">
        <f t="shared" si="3"/>
        <v>0</v>
      </c>
      <c r="H63" s="29">
        <f>7508122.83/2.02</f>
        <v>3716892.49</v>
      </c>
      <c r="I63" s="2" t="s">
        <v>63</v>
      </c>
    </row>
    <row r="64">
      <c r="A64" s="2" t="s">
        <v>32</v>
      </c>
      <c r="B64" s="9" t="s">
        <v>165</v>
      </c>
      <c r="C64" s="2" t="s">
        <v>166</v>
      </c>
      <c r="D64" s="21" t="str">
        <f t="shared" si="4"/>
        <v>0</v>
      </c>
      <c r="E64" s="21" t="str">
        <f t="shared" si="1"/>
        <v>0</v>
      </c>
      <c r="F64" s="28" t="str">
        <f t="shared" si="2"/>
        <v>0</v>
      </c>
      <c r="G64" s="23" t="str">
        <f t="shared" si="3"/>
        <v>0</v>
      </c>
      <c r="H64" s="29">
        <f>3285588.24/1.56</f>
        <v>2106146.308</v>
      </c>
      <c r="I64" s="2" t="s">
        <v>63</v>
      </c>
    </row>
    <row r="65">
      <c r="A65" s="2" t="s">
        <v>32</v>
      </c>
      <c r="B65" s="9" t="s">
        <v>167</v>
      </c>
      <c r="C65" s="2" t="s">
        <v>168</v>
      </c>
      <c r="D65" s="21" t="str">
        <f t="shared" si="4"/>
        <v>0</v>
      </c>
      <c r="E65" s="21" t="str">
        <f t="shared" si="1"/>
        <v>0</v>
      </c>
      <c r="F65" s="28" t="str">
        <f t="shared" si="2"/>
        <v>0</v>
      </c>
      <c r="G65" s="23" t="str">
        <f t="shared" si="3"/>
        <v>0</v>
      </c>
      <c r="H65" s="29">
        <v>1840.95</v>
      </c>
      <c r="I65" s="2" t="s">
        <v>54</v>
      </c>
    </row>
    <row r="66">
      <c r="A66" s="2" t="s">
        <v>32</v>
      </c>
      <c r="B66" s="9" t="s">
        <v>169</v>
      </c>
      <c r="C66" s="2" t="s">
        <v>170</v>
      </c>
      <c r="D66" s="21" t="str">
        <f t="shared" si="4"/>
        <v>0</v>
      </c>
      <c r="E66" s="21" t="str">
        <f t="shared" si="1"/>
        <v>0</v>
      </c>
      <c r="F66" s="28" t="str">
        <f t="shared" si="2"/>
        <v>0</v>
      </c>
      <c r="G66" s="23" t="str">
        <f t="shared" si="3"/>
        <v>0</v>
      </c>
      <c r="H66" s="29">
        <v>1086.02</v>
      </c>
      <c r="I66" s="2" t="s">
        <v>54</v>
      </c>
    </row>
    <row r="67">
      <c r="A67" s="2" t="s">
        <v>32</v>
      </c>
      <c r="B67" s="9" t="s">
        <v>171</v>
      </c>
      <c r="C67" s="2" t="s">
        <v>172</v>
      </c>
      <c r="D67" s="21" t="str">
        <f t="shared" si="4"/>
        <v>Repsol</v>
      </c>
      <c r="E67" s="21" t="str">
        <f t="shared" si="1"/>
        <v>0</v>
      </c>
      <c r="F67" s="28" t="str">
        <f t="shared" si="2"/>
        <v>REPSOL SA EUR1</v>
      </c>
      <c r="G67" s="23">
        <f t="shared" si="3"/>
        <v>633.6363636</v>
      </c>
      <c r="H67" s="9">
        <f>906.1/1.43</f>
        <v>633.6363636</v>
      </c>
      <c r="I67" s="2" t="s">
        <v>63</v>
      </c>
    </row>
    <row r="68">
      <c r="A68" s="2" t="s">
        <v>32</v>
      </c>
      <c r="B68" s="9" t="s">
        <v>173</v>
      </c>
      <c r="C68" s="2" t="s">
        <v>128</v>
      </c>
      <c r="D68" s="21" t="str">
        <f t="shared" si="4"/>
        <v>0</v>
      </c>
      <c r="E68" s="21" t="str">
        <f t="shared" si="1"/>
        <v>0</v>
      </c>
      <c r="F68" s="28" t="str">
        <f t="shared" si="2"/>
        <v>0</v>
      </c>
      <c r="G68" s="23" t="str">
        <f t="shared" si="3"/>
        <v>0</v>
      </c>
      <c r="H68" s="29">
        <v>1.323553364E7</v>
      </c>
      <c r="I68" s="2" t="s">
        <v>148</v>
      </c>
    </row>
    <row r="69">
      <c r="A69" s="2" t="s">
        <v>32</v>
      </c>
      <c r="B69" s="2" t="s">
        <v>174</v>
      </c>
      <c r="C69" s="2" t="s">
        <v>62</v>
      </c>
      <c r="D69" s="21" t="str">
        <f t="shared" si="4"/>
        <v>Shell</v>
      </c>
      <c r="E69" s="21" t="str">
        <f t="shared" si="1"/>
        <v>0</v>
      </c>
      <c r="F69" s="28" t="str">
        <f t="shared" si="2"/>
        <v>ROYAL DUTCH SHELL 'A'ORD EUR0.07</v>
      </c>
      <c r="G69" s="23">
        <f t="shared" si="3"/>
        <v>10257860.71</v>
      </c>
      <c r="H69">
        <f>2542.08+10236359.25+18959.38</f>
        <v>10257860.71</v>
      </c>
      <c r="I69" s="2" t="s">
        <v>63</v>
      </c>
    </row>
    <row r="70">
      <c r="A70" s="2" t="s">
        <v>32</v>
      </c>
      <c r="B70" s="2" t="s">
        <v>174</v>
      </c>
      <c r="C70" s="2" t="s">
        <v>62</v>
      </c>
      <c r="D70" s="21" t="str">
        <f t="shared" si="4"/>
        <v>Shell</v>
      </c>
      <c r="E70" s="21" t="str">
        <f t="shared" si="1"/>
        <v>0</v>
      </c>
      <c r="F70" s="28" t="str">
        <f t="shared" si="2"/>
        <v>ROYAL DUTCH SHELL 'A'ORD EUR0.07</v>
      </c>
      <c r="G70" s="23">
        <f t="shared" si="3"/>
        <v>757.7516779</v>
      </c>
      <c r="H70" s="29">
        <f>1129.05/1.49</f>
        <v>757.7516779</v>
      </c>
      <c r="I70" s="2" t="s">
        <v>63</v>
      </c>
    </row>
    <row r="71">
      <c r="A71" s="2" t="s">
        <v>32</v>
      </c>
      <c r="B71" s="9" t="s">
        <v>175</v>
      </c>
      <c r="C71" s="2" t="s">
        <v>62</v>
      </c>
      <c r="D71" s="21" t="str">
        <f t="shared" si="4"/>
        <v>Shell</v>
      </c>
      <c r="E71" s="21" t="str">
        <f t="shared" si="1"/>
        <v>0</v>
      </c>
      <c r="F71" s="28" t="str">
        <f t="shared" si="2"/>
        <v>ROYAL DUTCH SHELL PLC COMMON STOCK GBP</v>
      </c>
      <c r="G71" s="23">
        <f t="shared" si="3"/>
        <v>156.7552448</v>
      </c>
      <c r="H71" s="9">
        <f>224.16/1.43</f>
        <v>156.7552448</v>
      </c>
      <c r="I71" s="2" t="s">
        <v>63</v>
      </c>
    </row>
    <row r="72">
      <c r="A72" s="2" t="s">
        <v>32</v>
      </c>
      <c r="B72" s="24" t="s">
        <v>176</v>
      </c>
      <c r="C72" s="2" t="s">
        <v>177</v>
      </c>
      <c r="D72" s="21" t="str">
        <f t="shared" si="4"/>
        <v>0</v>
      </c>
      <c r="E72" s="21" t="str">
        <f t="shared" si="1"/>
        <v>0</v>
      </c>
      <c r="F72" s="28" t="str">
        <f t="shared" si="2"/>
        <v>0</v>
      </c>
      <c r="G72" s="23" t="str">
        <f t="shared" si="3"/>
        <v>0</v>
      </c>
      <c r="H72" s="29">
        <v>8371487.06</v>
      </c>
      <c r="I72" s="9" t="s">
        <v>79</v>
      </c>
    </row>
    <row r="73">
      <c r="A73" s="2" t="s">
        <v>32</v>
      </c>
      <c r="B73" s="9" t="s">
        <v>178</v>
      </c>
      <c r="C73" s="2" t="s">
        <v>179</v>
      </c>
      <c r="D73" s="21" t="str">
        <f t="shared" si="4"/>
        <v>0</v>
      </c>
      <c r="E73" s="21" t="str">
        <f t="shared" si="1"/>
        <v>0</v>
      </c>
      <c r="F73" s="28" t="str">
        <f t="shared" si="2"/>
        <v>0</v>
      </c>
      <c r="G73" s="23" t="str">
        <f t="shared" si="3"/>
        <v>0</v>
      </c>
      <c r="H73" s="29">
        <f>1765.84/1.43</f>
        <v>1234.853147</v>
      </c>
      <c r="I73" s="2" t="s">
        <v>63</v>
      </c>
    </row>
    <row r="74">
      <c r="A74" s="2" t="s">
        <v>32</v>
      </c>
      <c r="B74" s="9" t="s">
        <v>180</v>
      </c>
      <c r="C74" s="2" t="s">
        <v>181</v>
      </c>
      <c r="D74" s="21" t="str">
        <f t="shared" si="4"/>
        <v>0</v>
      </c>
      <c r="E74" s="21" t="str">
        <f t="shared" si="1"/>
        <v>0</v>
      </c>
      <c r="F74" s="28" t="str">
        <f t="shared" si="2"/>
        <v>0</v>
      </c>
      <c r="G74" s="23" t="str">
        <f t="shared" si="3"/>
        <v>0</v>
      </c>
      <c r="H74" s="29">
        <f>9448065.72/1.56</f>
        <v>6056452.385</v>
      </c>
      <c r="I74" s="2" t="s">
        <v>63</v>
      </c>
    </row>
    <row r="75">
      <c r="A75" s="2" t="s">
        <v>32</v>
      </c>
      <c r="B75" s="9" t="s">
        <v>182</v>
      </c>
      <c r="C75" s="2" t="s">
        <v>177</v>
      </c>
      <c r="D75" s="21" t="str">
        <f t="shared" si="4"/>
        <v>0</v>
      </c>
      <c r="E75" s="21" t="str">
        <f t="shared" si="1"/>
        <v>0</v>
      </c>
      <c r="F75" s="28" t="str">
        <f t="shared" si="2"/>
        <v>0</v>
      </c>
      <c r="G75" s="23" t="str">
        <f t="shared" si="3"/>
        <v>0</v>
      </c>
      <c r="H75" s="29">
        <v>4359410.12</v>
      </c>
      <c r="I75" s="2" t="s">
        <v>54</v>
      </c>
    </row>
    <row r="76">
      <c r="A76" s="2" t="s">
        <v>32</v>
      </c>
      <c r="B76" s="9" t="s">
        <v>183</v>
      </c>
      <c r="C76" s="2" t="s">
        <v>140</v>
      </c>
      <c r="D76" s="21" t="str">
        <f t="shared" si="4"/>
        <v>0</v>
      </c>
      <c r="E76" s="21" t="str">
        <f t="shared" si="1"/>
        <v>0</v>
      </c>
      <c r="F76" s="28" t="str">
        <f t="shared" si="2"/>
        <v>0</v>
      </c>
      <c r="G76" s="23" t="str">
        <f t="shared" si="3"/>
        <v>0</v>
      </c>
      <c r="H76" s="9">
        <v>63.6</v>
      </c>
      <c r="I76" s="2" t="s">
        <v>63</v>
      </c>
    </row>
    <row r="77">
      <c r="A77" s="2" t="s">
        <v>32</v>
      </c>
      <c r="B77" s="9" t="s">
        <v>184</v>
      </c>
      <c r="C77" s="2" t="s">
        <v>135</v>
      </c>
      <c r="D77" s="21" t="str">
        <f t="shared" si="4"/>
        <v>0</v>
      </c>
      <c r="E77" s="21" t="str">
        <f t="shared" si="1"/>
        <v>0</v>
      </c>
      <c r="F77" s="28" t="str">
        <f t="shared" si="2"/>
        <v>0</v>
      </c>
      <c r="G77" s="23" t="str">
        <f t="shared" si="3"/>
        <v>0</v>
      </c>
      <c r="H77" s="29">
        <v>8411621.53</v>
      </c>
      <c r="I77" s="2" t="s">
        <v>103</v>
      </c>
    </row>
    <row r="78">
      <c r="A78" s="2" t="s">
        <v>32</v>
      </c>
      <c r="B78" s="9" t="s">
        <v>185</v>
      </c>
      <c r="C78" s="2" t="s">
        <v>186</v>
      </c>
      <c r="D78" s="21" t="str">
        <f t="shared" si="4"/>
        <v>0</v>
      </c>
      <c r="E78" s="21" t="str">
        <f t="shared" si="1"/>
        <v>0</v>
      </c>
      <c r="F78" s="28" t="str">
        <f t="shared" si="2"/>
        <v>0</v>
      </c>
      <c r="G78" s="23" t="str">
        <f t="shared" si="3"/>
        <v>0</v>
      </c>
      <c r="H78" s="9">
        <v>20.74</v>
      </c>
      <c r="I78" s="2" t="s">
        <v>50</v>
      </c>
    </row>
    <row r="79">
      <c r="A79" s="2" t="s">
        <v>32</v>
      </c>
      <c r="B79" s="9" t="s">
        <v>187</v>
      </c>
      <c r="C79" s="2" t="s">
        <v>52</v>
      </c>
      <c r="D79" s="21" t="str">
        <f t="shared" si="4"/>
        <v>0</v>
      </c>
      <c r="E79" s="21" t="str">
        <f t="shared" si="1"/>
        <v>0</v>
      </c>
      <c r="F79" s="28" t="str">
        <f t="shared" si="2"/>
        <v>0</v>
      </c>
      <c r="G79" s="23" t="str">
        <f t="shared" si="3"/>
        <v>0</v>
      </c>
      <c r="H79" s="29">
        <v>8075941.38</v>
      </c>
      <c r="I79" s="2" t="s">
        <v>63</v>
      </c>
    </row>
    <row r="80">
      <c r="A80" s="2" t="s">
        <v>32</v>
      </c>
      <c r="B80" s="9" t="s">
        <v>188</v>
      </c>
      <c r="C80" s="2" t="s">
        <v>62</v>
      </c>
      <c r="D80" s="21" t="str">
        <f t="shared" si="4"/>
        <v>Statoil </v>
      </c>
      <c r="E80" s="21" t="str">
        <f t="shared" si="1"/>
        <v>0</v>
      </c>
      <c r="F80" s="28" t="str">
        <f t="shared" si="2"/>
        <v>STATOIL ASA NOK2.50</v>
      </c>
      <c r="G80" s="23">
        <f t="shared" si="3"/>
        <v>107.4760031</v>
      </c>
      <c r="H80" s="29">
        <f>1366.02/12.71</f>
        <v>107.4760031</v>
      </c>
      <c r="I80" s="2" t="s">
        <v>63</v>
      </c>
    </row>
    <row r="81">
      <c r="A81" s="2" t="s">
        <v>32</v>
      </c>
      <c r="B81" s="9" t="s">
        <v>189</v>
      </c>
      <c r="C81" s="2" t="s">
        <v>177</v>
      </c>
      <c r="D81" s="21" t="str">
        <f t="shared" si="4"/>
        <v>0</v>
      </c>
      <c r="E81" s="21" t="str">
        <f t="shared" si="1"/>
        <v>0</v>
      </c>
      <c r="F81" s="28" t="str">
        <f t="shared" si="2"/>
        <v>0</v>
      </c>
      <c r="G81" s="23" t="str">
        <f t="shared" si="3"/>
        <v>0</v>
      </c>
      <c r="H81" s="9">
        <v>75.45</v>
      </c>
      <c r="I81" s="2" t="s">
        <v>54</v>
      </c>
    </row>
    <row r="82">
      <c r="A82" s="2" t="s">
        <v>32</v>
      </c>
      <c r="B82" s="9" t="s">
        <v>190</v>
      </c>
      <c r="C82" s="2" t="s">
        <v>191</v>
      </c>
      <c r="D82" s="21" t="str">
        <f t="shared" si="4"/>
        <v>0</v>
      </c>
      <c r="E82" s="21" t="str">
        <f t="shared" si="1"/>
        <v>0</v>
      </c>
      <c r="F82" s="28" t="str">
        <f t="shared" si="2"/>
        <v>0</v>
      </c>
      <c r="G82" s="23" t="str">
        <f t="shared" si="3"/>
        <v>0</v>
      </c>
      <c r="H82" s="29">
        <f>3823818.7/12.09</f>
        <v>316279.4624</v>
      </c>
      <c r="I82" s="2" t="s">
        <v>63</v>
      </c>
    </row>
    <row r="83">
      <c r="A83" s="2" t="s">
        <v>32</v>
      </c>
      <c r="B83" s="9" t="s">
        <v>192</v>
      </c>
      <c r="C83" s="2" t="s">
        <v>193</v>
      </c>
      <c r="D83" s="21" t="str">
        <f t="shared" si="4"/>
        <v>0</v>
      </c>
      <c r="E83" s="21" t="str">
        <f t="shared" si="1"/>
        <v>0</v>
      </c>
      <c r="F83" s="28" t="str">
        <f t="shared" si="2"/>
        <v>0</v>
      </c>
      <c r="G83" s="23" t="str">
        <f t="shared" si="3"/>
        <v>0</v>
      </c>
      <c r="H83" s="29">
        <v>1753.67</v>
      </c>
      <c r="I83" s="2" t="s">
        <v>50</v>
      </c>
    </row>
    <row r="84">
      <c r="A84" s="2" t="s">
        <v>32</v>
      </c>
      <c r="B84" s="9" t="s">
        <v>194</v>
      </c>
      <c r="C84" s="2" t="s">
        <v>177</v>
      </c>
      <c r="D84" s="21" t="str">
        <f t="shared" si="4"/>
        <v>0</v>
      </c>
      <c r="E84" s="21" t="str">
        <f t="shared" si="1"/>
        <v>0</v>
      </c>
      <c r="F84" s="28" t="str">
        <f t="shared" si="2"/>
        <v>0</v>
      </c>
      <c r="G84" s="23" t="str">
        <f t="shared" si="3"/>
        <v>0</v>
      </c>
      <c r="H84" s="29">
        <v>1.013200818E7</v>
      </c>
      <c r="I84" s="2" t="s">
        <v>79</v>
      </c>
    </row>
    <row r="85">
      <c r="A85" s="2" t="s">
        <v>32</v>
      </c>
      <c r="B85" s="9" t="s">
        <v>195</v>
      </c>
      <c r="C85" s="2" t="s">
        <v>196</v>
      </c>
      <c r="D85" s="21" t="str">
        <f t="shared" si="4"/>
        <v>0</v>
      </c>
      <c r="E85" s="21" t="str">
        <f t="shared" si="1"/>
        <v>0</v>
      </c>
      <c r="F85" s="28" t="str">
        <f t="shared" si="2"/>
        <v>0</v>
      </c>
      <c r="G85" s="23" t="str">
        <f t="shared" si="3"/>
        <v>0</v>
      </c>
      <c r="H85" s="29">
        <v>3296918.85</v>
      </c>
      <c r="I85" s="2" t="s">
        <v>76</v>
      </c>
    </row>
    <row r="86">
      <c r="A86" s="2" t="s">
        <v>32</v>
      </c>
      <c r="B86" s="9" t="s">
        <v>197</v>
      </c>
      <c r="C86" s="2" t="s">
        <v>98</v>
      </c>
      <c r="D86" s="21" t="str">
        <f t="shared" si="4"/>
        <v>0</v>
      </c>
      <c r="E86" s="21" t="str">
        <f t="shared" si="1"/>
        <v>0</v>
      </c>
      <c r="F86" s="28" t="str">
        <f t="shared" si="2"/>
        <v>0</v>
      </c>
      <c r="G86" s="23" t="str">
        <f t="shared" si="3"/>
        <v>0</v>
      </c>
      <c r="H86" s="29">
        <v>1351.18</v>
      </c>
      <c r="I86" s="2" t="s">
        <v>54</v>
      </c>
    </row>
    <row r="87">
      <c r="A87" s="2" t="s">
        <v>32</v>
      </c>
      <c r="B87" s="9" t="s">
        <v>198</v>
      </c>
      <c r="C87" s="2" t="s">
        <v>98</v>
      </c>
      <c r="D87" s="21" t="str">
        <f t="shared" si="4"/>
        <v>0</v>
      </c>
      <c r="E87" s="21" t="str">
        <f t="shared" si="1"/>
        <v>0</v>
      </c>
      <c r="F87" s="28" t="str">
        <f t="shared" si="2"/>
        <v>0</v>
      </c>
      <c r="G87" s="23" t="str">
        <f t="shared" si="3"/>
        <v>0</v>
      </c>
      <c r="H87" s="29">
        <v>1601.19</v>
      </c>
      <c r="I87" s="2" t="s">
        <v>106</v>
      </c>
    </row>
    <row r="88">
      <c r="A88" s="2" t="s">
        <v>32</v>
      </c>
      <c r="B88" s="9" t="s">
        <v>199</v>
      </c>
      <c r="C88" s="2" t="s">
        <v>200</v>
      </c>
      <c r="D88" s="21" t="str">
        <f t="shared" si="4"/>
        <v>0</v>
      </c>
      <c r="E88" s="21" t="str">
        <f t="shared" si="1"/>
        <v>0</v>
      </c>
      <c r="F88" s="28" t="str">
        <f t="shared" si="2"/>
        <v>0</v>
      </c>
      <c r="G88" s="23" t="str">
        <f t="shared" si="3"/>
        <v>0</v>
      </c>
      <c r="H88" s="29">
        <f>11035304.97/1.56</f>
        <v>7073913.442</v>
      </c>
      <c r="I88" s="2" t="s">
        <v>63</v>
      </c>
    </row>
    <row r="89">
      <c r="A89" s="2" t="s">
        <v>32</v>
      </c>
      <c r="B89" s="9" t="s">
        <v>201</v>
      </c>
      <c r="C89" s="2" t="s">
        <v>202</v>
      </c>
      <c r="D89" s="21" t="str">
        <f t="shared" si="4"/>
        <v>0</v>
      </c>
      <c r="E89" s="21" t="str">
        <f t="shared" si="1"/>
        <v>0</v>
      </c>
      <c r="F89" s="28" t="str">
        <f t="shared" si="2"/>
        <v>0</v>
      </c>
      <c r="G89" s="23" t="str">
        <f t="shared" si="3"/>
        <v>0</v>
      </c>
      <c r="H89" s="9">
        <v>209.79</v>
      </c>
      <c r="I89" s="2" t="s">
        <v>50</v>
      </c>
    </row>
    <row r="90">
      <c r="A90" s="2" t="s">
        <v>32</v>
      </c>
      <c r="B90" s="9" t="s">
        <v>203</v>
      </c>
      <c r="C90" s="2" t="s">
        <v>204</v>
      </c>
      <c r="D90" s="21" t="str">
        <f t="shared" si="4"/>
        <v>0</v>
      </c>
      <c r="E90" s="21" t="str">
        <f t="shared" si="1"/>
        <v>0</v>
      </c>
      <c r="F90" s="28" t="str">
        <f t="shared" si="2"/>
        <v>0</v>
      </c>
      <c r="G90" s="23" t="str">
        <f t="shared" si="3"/>
        <v>0</v>
      </c>
      <c r="H90" s="9">
        <v>171.11</v>
      </c>
      <c r="I90" s="2" t="s">
        <v>50</v>
      </c>
    </row>
    <row r="91">
      <c r="A91" s="2" t="s">
        <v>32</v>
      </c>
      <c r="B91" s="9" t="s">
        <v>205</v>
      </c>
      <c r="C91" s="2" t="s">
        <v>206</v>
      </c>
      <c r="D91" s="21" t="str">
        <f t="shared" si="4"/>
        <v>0</v>
      </c>
      <c r="E91" s="21" t="str">
        <f t="shared" si="1"/>
        <v>0</v>
      </c>
      <c r="F91" s="28" t="str">
        <f t="shared" si="2"/>
        <v>0</v>
      </c>
      <c r="G91" s="23" t="str">
        <f t="shared" si="3"/>
        <v>0</v>
      </c>
      <c r="H91" s="29">
        <v>2480.73</v>
      </c>
      <c r="I91" s="2" t="s">
        <v>54</v>
      </c>
    </row>
    <row r="92">
      <c r="A92" s="2" t="s">
        <v>32</v>
      </c>
      <c r="B92" s="9" t="s">
        <v>207</v>
      </c>
      <c r="C92" s="2" t="s">
        <v>208</v>
      </c>
      <c r="D92" s="21" t="str">
        <f t="shared" si="4"/>
        <v>0</v>
      </c>
      <c r="E92" s="21" t="str">
        <f t="shared" si="1"/>
        <v>0</v>
      </c>
      <c r="F92" s="28" t="str">
        <f t="shared" si="2"/>
        <v>0</v>
      </c>
      <c r="G92" s="23" t="str">
        <f t="shared" si="3"/>
        <v>0</v>
      </c>
      <c r="H92" s="29">
        <f>2718.97+1608.86</f>
        <v>4327.83</v>
      </c>
      <c r="I92" s="2" t="s">
        <v>54</v>
      </c>
    </row>
    <row r="93">
      <c r="A93" s="2" t="s">
        <v>32</v>
      </c>
      <c r="B93" s="9" t="s">
        <v>209</v>
      </c>
      <c r="C93" s="2" t="s">
        <v>210</v>
      </c>
      <c r="D93" s="21" t="str">
        <f t="shared" si="4"/>
        <v>0</v>
      </c>
      <c r="E93" s="21" t="str">
        <f t="shared" si="1"/>
        <v>0</v>
      </c>
      <c r="F93" s="28" t="str">
        <f t="shared" si="2"/>
        <v>0</v>
      </c>
      <c r="G93" s="23" t="str">
        <f t="shared" si="3"/>
        <v>0</v>
      </c>
      <c r="H93" s="29">
        <v>6892653.23</v>
      </c>
      <c r="I93" s="2" t="s">
        <v>79</v>
      </c>
    </row>
    <row r="94">
      <c r="A94" s="2" t="s">
        <v>32</v>
      </c>
      <c r="B94" s="9" t="s">
        <v>211</v>
      </c>
      <c r="C94" s="2" t="s">
        <v>212</v>
      </c>
      <c r="D94" s="21" t="str">
        <f t="shared" si="4"/>
        <v>0</v>
      </c>
      <c r="E94" s="21" t="str">
        <f t="shared" si="1"/>
        <v>Vale</v>
      </c>
      <c r="F94" s="28" t="str">
        <f t="shared" si="2"/>
        <v>VALE SA ADR REPR 1 PREF SHS NPV SPON</v>
      </c>
      <c r="G94" s="23">
        <f t="shared" si="3"/>
        <v>6679786.01</v>
      </c>
      <c r="H94" s="29">
        <v>6679786.01</v>
      </c>
      <c r="I94" s="2" t="s">
        <v>79</v>
      </c>
    </row>
    <row r="95">
      <c r="A95" s="2" t="s">
        <v>32</v>
      </c>
      <c r="B95" s="9" t="s">
        <v>213</v>
      </c>
      <c r="C95" s="2" t="s">
        <v>214</v>
      </c>
      <c r="D95" s="21" t="str">
        <f t="shared" si="4"/>
        <v>0</v>
      </c>
      <c r="E95" s="21" t="str">
        <f t="shared" si="1"/>
        <v>0</v>
      </c>
      <c r="F95" s="28" t="str">
        <f t="shared" si="2"/>
        <v>0</v>
      </c>
      <c r="G95" s="23" t="str">
        <f t="shared" si="3"/>
        <v>0</v>
      </c>
      <c r="H95" s="29">
        <v>3376264.62</v>
      </c>
      <c r="I95" s="2" t="s">
        <v>79</v>
      </c>
    </row>
    <row r="96">
      <c r="A96" s="2" t="s">
        <v>32</v>
      </c>
      <c r="B96" s="24" t="s">
        <v>215</v>
      </c>
      <c r="C96" s="2" t="s">
        <v>216</v>
      </c>
      <c r="D96" s="21" t="str">
        <f t="shared" si="4"/>
        <v>0</v>
      </c>
      <c r="E96" s="21" t="str">
        <f t="shared" si="1"/>
        <v>0</v>
      </c>
      <c r="F96" s="28" t="str">
        <f t="shared" si="2"/>
        <v>0</v>
      </c>
      <c r="G96" s="23" t="str">
        <f t="shared" si="3"/>
        <v>0</v>
      </c>
      <c r="H96" s="29">
        <v>5897045.18</v>
      </c>
      <c r="I96" s="2" t="s">
        <v>63</v>
      </c>
    </row>
    <row r="97">
      <c r="A97" s="2" t="s">
        <v>32</v>
      </c>
      <c r="B97" s="9" t="s">
        <v>217</v>
      </c>
      <c r="C97" s="2" t="s">
        <v>140</v>
      </c>
      <c r="D97" s="21" t="str">
        <f t="shared" si="4"/>
        <v>0</v>
      </c>
      <c r="E97" s="21" t="str">
        <f t="shared" si="1"/>
        <v>0</v>
      </c>
      <c r="F97" s="28" t="str">
        <f t="shared" si="2"/>
        <v>0</v>
      </c>
      <c r="G97" s="23" t="str">
        <f t="shared" si="3"/>
        <v>0</v>
      </c>
      <c r="H97" s="9">
        <v>929.24</v>
      </c>
      <c r="I97" s="2" t="s">
        <v>50</v>
      </c>
    </row>
    <row r="98">
      <c r="A98" s="2" t="s">
        <v>32</v>
      </c>
      <c r="B98" s="9" t="s">
        <v>218</v>
      </c>
      <c r="C98" s="2" t="s">
        <v>58</v>
      </c>
      <c r="D98" s="21" t="str">
        <f t="shared" si="4"/>
        <v>0</v>
      </c>
      <c r="E98" s="21" t="str">
        <f t="shared" si="1"/>
        <v>0</v>
      </c>
      <c r="F98" s="28" t="str">
        <f t="shared" si="2"/>
        <v>0</v>
      </c>
      <c r="G98" s="23" t="str">
        <f t="shared" si="3"/>
        <v>0</v>
      </c>
      <c r="H98" s="29">
        <v>8279193.89</v>
      </c>
      <c r="I98" s="2" t="s">
        <v>148</v>
      </c>
    </row>
    <row r="99">
      <c r="A99" s="2" t="s">
        <v>32</v>
      </c>
      <c r="B99" s="2" t="s">
        <v>219</v>
      </c>
      <c r="C99" s="2" t="s">
        <v>87</v>
      </c>
      <c r="D99" s="21" t="str">
        <f t="shared" si="4"/>
        <v>0</v>
      </c>
      <c r="E99" s="21" t="str">
        <f t="shared" si="1"/>
        <v>0</v>
      </c>
      <c r="F99" s="28" t="str">
        <f t="shared" si="2"/>
        <v>0</v>
      </c>
      <c r="G99" s="23" t="str">
        <f t="shared" si="3"/>
        <v>0</v>
      </c>
      <c r="H99" s="29">
        <v>1.0392843278E8</v>
      </c>
      <c r="I99" s="2" t="s">
        <v>63</v>
      </c>
    </row>
    <row r="100">
      <c r="A100" s="2" t="s">
        <v>32</v>
      </c>
      <c r="B100" s="9" t="s">
        <v>220</v>
      </c>
      <c r="C100" s="2" t="s">
        <v>87</v>
      </c>
      <c r="D100" s="21" t="str">
        <f t="shared" si="4"/>
        <v>0</v>
      </c>
      <c r="E100" s="21" t="str">
        <f t="shared" si="1"/>
        <v>0</v>
      </c>
      <c r="F100" s="28" t="str">
        <f t="shared" si="2"/>
        <v>0</v>
      </c>
      <c r="G100" s="23" t="str">
        <f t="shared" si="3"/>
        <v>0</v>
      </c>
      <c r="H100" s="29">
        <v>5.530582986E7</v>
      </c>
      <c r="I100" s="2" t="s">
        <v>63</v>
      </c>
    </row>
    <row r="101">
      <c r="A101" s="2" t="s">
        <v>32</v>
      </c>
      <c r="B101" s="9" t="s">
        <v>221</v>
      </c>
      <c r="C101" s="2" t="s">
        <v>87</v>
      </c>
      <c r="D101" s="21" t="str">
        <f t="shared" si="4"/>
        <v>0</v>
      </c>
      <c r="E101" s="21" t="str">
        <f t="shared" si="1"/>
        <v>0</v>
      </c>
      <c r="F101" s="28" t="str">
        <f t="shared" si="2"/>
        <v>0</v>
      </c>
      <c r="G101" s="23" t="str">
        <f t="shared" si="3"/>
        <v>0</v>
      </c>
      <c r="H101" s="29">
        <v>5.110288329E7</v>
      </c>
      <c r="I101" s="2" t="s">
        <v>63</v>
      </c>
    </row>
    <row r="102">
      <c r="A102" s="2" t="s">
        <v>32</v>
      </c>
      <c r="B102" s="9" t="s">
        <v>222</v>
      </c>
      <c r="C102" s="2" t="s">
        <v>87</v>
      </c>
      <c r="D102" s="21" t="str">
        <f t="shared" si="4"/>
        <v>0</v>
      </c>
      <c r="E102" s="21" t="str">
        <f t="shared" si="1"/>
        <v>0</v>
      </c>
      <c r="F102" s="28" t="str">
        <f t="shared" si="2"/>
        <v>0</v>
      </c>
      <c r="G102" s="23" t="str">
        <f t="shared" si="3"/>
        <v>0</v>
      </c>
      <c r="H102" s="29">
        <v>1.2374649335E8</v>
      </c>
      <c r="I102" s="2" t="s">
        <v>63</v>
      </c>
    </row>
    <row r="103">
      <c r="A103" s="2" t="s">
        <v>32</v>
      </c>
      <c r="B103" s="9" t="s">
        <v>223</v>
      </c>
      <c r="C103" s="2" t="s">
        <v>87</v>
      </c>
      <c r="D103" s="21" t="str">
        <f t="shared" si="4"/>
        <v>0</v>
      </c>
      <c r="E103" s="21" t="str">
        <f t="shared" si="1"/>
        <v>0</v>
      </c>
      <c r="F103" s="28" t="str">
        <f t="shared" si="2"/>
        <v>0</v>
      </c>
      <c r="G103" s="23" t="str">
        <f t="shared" si="3"/>
        <v>0</v>
      </c>
      <c r="H103" s="29">
        <v>8084172.5</v>
      </c>
      <c r="I103" s="2" t="s">
        <v>63</v>
      </c>
    </row>
    <row r="104">
      <c r="A104" s="2" t="s">
        <v>32</v>
      </c>
      <c r="B104" s="9" t="s">
        <v>224</v>
      </c>
      <c r="C104" s="2" t="s">
        <v>87</v>
      </c>
      <c r="D104" s="21" t="str">
        <f t="shared" si="4"/>
        <v>0</v>
      </c>
      <c r="E104" s="21" t="str">
        <f t="shared" si="1"/>
        <v>0</v>
      </c>
      <c r="F104" s="28" t="str">
        <f t="shared" si="2"/>
        <v>0</v>
      </c>
      <c r="G104" s="23" t="str">
        <f t="shared" si="3"/>
        <v>0</v>
      </c>
      <c r="H104" s="29">
        <v>3244731.0</v>
      </c>
      <c r="I104" s="2" t="s">
        <v>63</v>
      </c>
    </row>
    <row r="105">
      <c r="A105" s="2" t="s">
        <v>32</v>
      </c>
      <c r="B105" s="9" t="s">
        <v>225</v>
      </c>
      <c r="C105" s="2" t="s">
        <v>87</v>
      </c>
      <c r="D105" s="21" t="str">
        <f t="shared" si="4"/>
        <v>0</v>
      </c>
      <c r="E105" s="21" t="str">
        <f t="shared" si="1"/>
        <v>0</v>
      </c>
      <c r="F105" s="28" t="str">
        <f t="shared" si="2"/>
        <v>0</v>
      </c>
      <c r="G105" s="23" t="str">
        <f t="shared" si="3"/>
        <v>0</v>
      </c>
      <c r="H105" s="31">
        <v>3886285.19</v>
      </c>
      <c r="I105" s="2" t="s">
        <v>63</v>
      </c>
    </row>
    <row r="106">
      <c r="A106" s="2" t="s">
        <v>32</v>
      </c>
      <c r="B106" s="9" t="s">
        <v>226</v>
      </c>
      <c r="C106" s="2" t="s">
        <v>87</v>
      </c>
      <c r="D106" s="21" t="str">
        <f t="shared" si="4"/>
        <v>0</v>
      </c>
      <c r="E106" s="21" t="str">
        <f t="shared" si="1"/>
        <v>0</v>
      </c>
      <c r="F106" s="28" t="str">
        <f t="shared" si="2"/>
        <v>0</v>
      </c>
      <c r="G106" s="23" t="str">
        <f t="shared" si="3"/>
        <v>0</v>
      </c>
      <c r="H106" s="31">
        <v>115212.79</v>
      </c>
      <c r="I106" s="2" t="s">
        <v>63</v>
      </c>
    </row>
    <row r="107">
      <c r="A107" s="2" t="s">
        <v>32</v>
      </c>
      <c r="B107" s="9" t="s">
        <v>227</v>
      </c>
      <c r="C107" s="2" t="s">
        <v>87</v>
      </c>
      <c r="D107" s="21" t="str">
        <f t="shared" si="4"/>
        <v>0</v>
      </c>
      <c r="E107" s="21" t="str">
        <f t="shared" si="1"/>
        <v>0</v>
      </c>
      <c r="F107" s="28" t="str">
        <f t="shared" si="2"/>
        <v>0</v>
      </c>
      <c r="G107" s="23" t="str">
        <f t="shared" si="3"/>
        <v>0</v>
      </c>
      <c r="H107" s="29">
        <v>2.546337496E7</v>
      </c>
      <c r="I107" s="2" t="s">
        <v>63</v>
      </c>
    </row>
    <row r="108">
      <c r="A108" s="2" t="s">
        <v>32</v>
      </c>
      <c r="B108" s="9" t="s">
        <v>228</v>
      </c>
      <c r="C108" s="2" t="s">
        <v>87</v>
      </c>
      <c r="D108" s="21" t="str">
        <f t="shared" si="4"/>
        <v>0</v>
      </c>
      <c r="E108" s="21" t="str">
        <f t="shared" si="1"/>
        <v>0</v>
      </c>
      <c r="F108" s="28" t="str">
        <f t="shared" si="2"/>
        <v>0</v>
      </c>
      <c r="G108" s="23" t="str">
        <f t="shared" si="3"/>
        <v>0</v>
      </c>
      <c r="H108" s="29">
        <v>2.614569149E7</v>
      </c>
      <c r="I108" s="2" t="s">
        <v>63</v>
      </c>
    </row>
    <row r="109">
      <c r="A109" s="2" t="s">
        <v>32</v>
      </c>
      <c r="B109" s="9" t="s">
        <v>229</v>
      </c>
      <c r="C109" s="2" t="s">
        <v>87</v>
      </c>
      <c r="D109" s="21" t="str">
        <f t="shared" si="4"/>
        <v>0</v>
      </c>
      <c r="E109" s="21" t="str">
        <f t="shared" si="1"/>
        <v>0</v>
      </c>
      <c r="F109" s="28" t="str">
        <f t="shared" si="2"/>
        <v>0</v>
      </c>
      <c r="G109" s="23" t="str">
        <f t="shared" si="3"/>
        <v>0</v>
      </c>
      <c r="H109" s="29">
        <v>3927556.14</v>
      </c>
      <c r="I109" s="2" t="s">
        <v>63</v>
      </c>
    </row>
    <row r="110">
      <c r="A110" s="2" t="s">
        <v>32</v>
      </c>
      <c r="B110" s="9" t="s">
        <v>230</v>
      </c>
      <c r="C110" s="2" t="s">
        <v>87</v>
      </c>
      <c r="D110" s="21" t="str">
        <f t="shared" si="4"/>
        <v>0</v>
      </c>
      <c r="E110" s="21" t="str">
        <f t="shared" si="1"/>
        <v>0</v>
      </c>
      <c r="F110" s="28" t="str">
        <f t="shared" si="2"/>
        <v>0</v>
      </c>
      <c r="G110" s="23" t="str">
        <f t="shared" si="3"/>
        <v>0</v>
      </c>
      <c r="H110" s="29">
        <v>3.3374816564E8</v>
      </c>
      <c r="I110" s="2" t="s">
        <v>63</v>
      </c>
    </row>
    <row r="111">
      <c r="A111" s="2" t="s">
        <v>32</v>
      </c>
      <c r="B111" s="9" t="s">
        <v>231</v>
      </c>
      <c r="C111" s="2" t="s">
        <v>87</v>
      </c>
      <c r="D111" s="21" t="str">
        <f t="shared" si="4"/>
        <v>0</v>
      </c>
      <c r="E111" s="21" t="str">
        <f t="shared" si="1"/>
        <v>0</v>
      </c>
      <c r="F111" s="28" t="str">
        <f t="shared" si="2"/>
        <v>0</v>
      </c>
      <c r="G111" s="23" t="str">
        <f t="shared" si="3"/>
        <v>0</v>
      </c>
      <c r="H111" s="29">
        <v>4448130.07</v>
      </c>
      <c r="I111" s="2" t="s">
        <v>63</v>
      </c>
    </row>
    <row r="112">
      <c r="A112" s="2" t="s">
        <v>32</v>
      </c>
      <c r="B112" s="9" t="s">
        <v>232</v>
      </c>
      <c r="C112" s="2" t="s">
        <v>233</v>
      </c>
      <c r="D112" s="21" t="str">
        <f t="shared" si="4"/>
        <v>0</v>
      </c>
      <c r="E112" s="21" t="str">
        <f t="shared" si="1"/>
        <v>0</v>
      </c>
      <c r="F112" s="28" t="str">
        <f t="shared" si="2"/>
        <v>0</v>
      </c>
      <c r="G112" s="23" t="str">
        <f t="shared" si="3"/>
        <v>0</v>
      </c>
      <c r="H112" s="29">
        <v>3833410.16</v>
      </c>
      <c r="I112" s="2" t="s">
        <v>63</v>
      </c>
    </row>
    <row r="113">
      <c r="A113" s="2" t="s">
        <v>32</v>
      </c>
      <c r="B113" s="9" t="s">
        <v>234</v>
      </c>
      <c r="C113" s="2" t="s">
        <v>233</v>
      </c>
      <c r="D113" s="21" t="str">
        <f t="shared" si="4"/>
        <v>0</v>
      </c>
      <c r="E113" s="21" t="str">
        <f t="shared" si="1"/>
        <v>0</v>
      </c>
      <c r="F113" s="28" t="str">
        <f t="shared" si="2"/>
        <v>0</v>
      </c>
      <c r="G113" s="23" t="str">
        <f t="shared" si="3"/>
        <v>0</v>
      </c>
      <c r="H113" s="29">
        <v>3176435.11</v>
      </c>
      <c r="I113" s="2" t="s">
        <v>63</v>
      </c>
    </row>
    <row r="114">
      <c r="A114" s="2" t="s">
        <v>32</v>
      </c>
      <c r="B114" s="9" t="s">
        <v>235</v>
      </c>
      <c r="C114" s="2" t="s">
        <v>233</v>
      </c>
      <c r="D114" s="21" t="str">
        <f t="shared" si="4"/>
        <v>0</v>
      </c>
      <c r="E114" s="21" t="str">
        <f t="shared" si="1"/>
        <v>0</v>
      </c>
      <c r="F114" s="28" t="str">
        <f t="shared" si="2"/>
        <v>0</v>
      </c>
      <c r="G114" s="23" t="str">
        <f t="shared" si="3"/>
        <v>0</v>
      </c>
      <c r="H114" s="29">
        <v>3785721.94</v>
      </c>
      <c r="I114" s="2" t="s">
        <v>63</v>
      </c>
    </row>
    <row r="115">
      <c r="A115" s="2" t="s">
        <v>32</v>
      </c>
      <c r="B115" s="9" t="s">
        <v>236</v>
      </c>
      <c r="C115" s="2" t="s">
        <v>233</v>
      </c>
      <c r="D115" s="21" t="str">
        <f t="shared" si="4"/>
        <v>0</v>
      </c>
      <c r="E115" s="21" t="str">
        <f t="shared" si="1"/>
        <v>0</v>
      </c>
      <c r="F115" s="28" t="str">
        <f t="shared" si="2"/>
        <v>0</v>
      </c>
      <c r="G115" s="23" t="str">
        <f t="shared" si="3"/>
        <v>0</v>
      </c>
      <c r="H115" s="29">
        <v>2463245.44</v>
      </c>
      <c r="I115" s="2" t="s">
        <v>63</v>
      </c>
    </row>
    <row r="116">
      <c r="A116" s="2" t="s">
        <v>32</v>
      </c>
      <c r="B116" s="9" t="s">
        <v>237</v>
      </c>
      <c r="C116" s="2" t="s">
        <v>233</v>
      </c>
      <c r="D116" s="21" t="str">
        <f t="shared" si="4"/>
        <v>0</v>
      </c>
      <c r="E116" s="21" t="str">
        <f t="shared" si="1"/>
        <v>0</v>
      </c>
      <c r="F116" s="28" t="str">
        <f t="shared" si="2"/>
        <v>0</v>
      </c>
      <c r="G116" s="23" t="str">
        <f t="shared" si="3"/>
        <v>0</v>
      </c>
      <c r="H116" s="29">
        <v>917275.21</v>
      </c>
      <c r="I116" s="2" t="s">
        <v>63</v>
      </c>
    </row>
    <row r="117">
      <c r="A117" s="2" t="s">
        <v>32</v>
      </c>
      <c r="B117" s="9" t="s">
        <v>238</v>
      </c>
      <c r="C117" s="2" t="s">
        <v>233</v>
      </c>
      <c r="D117" s="21" t="str">
        <f t="shared" si="4"/>
        <v>0</v>
      </c>
      <c r="E117" s="21" t="str">
        <f t="shared" si="1"/>
        <v>0</v>
      </c>
      <c r="F117" s="28" t="str">
        <f t="shared" si="2"/>
        <v>0</v>
      </c>
      <c r="G117" s="23" t="str">
        <f t="shared" si="3"/>
        <v>0</v>
      </c>
      <c r="H117" s="29">
        <v>3916148.95</v>
      </c>
      <c r="I117" s="2" t="s">
        <v>63</v>
      </c>
    </row>
    <row r="118">
      <c r="A118" s="2" t="s">
        <v>32</v>
      </c>
      <c r="B118" s="24" t="s">
        <v>239</v>
      </c>
      <c r="C118" s="2" t="s">
        <v>233</v>
      </c>
      <c r="D118" s="21" t="str">
        <f t="shared" si="4"/>
        <v>0</v>
      </c>
      <c r="E118" s="21" t="str">
        <f t="shared" si="1"/>
        <v>0</v>
      </c>
      <c r="F118" s="28" t="str">
        <f t="shared" si="2"/>
        <v>0</v>
      </c>
      <c r="G118" s="23" t="str">
        <f t="shared" si="3"/>
        <v>0</v>
      </c>
      <c r="H118" s="29">
        <f>5258346.97+54770.88</f>
        <v>5313117.85</v>
      </c>
      <c r="I118" s="2" t="s">
        <v>63</v>
      </c>
    </row>
    <row r="119">
      <c r="A119" s="2" t="s">
        <v>32</v>
      </c>
      <c r="B119" s="9" t="s">
        <v>240</v>
      </c>
      <c r="C119" s="2" t="s">
        <v>233</v>
      </c>
      <c r="D119" s="21" t="str">
        <f t="shared" si="4"/>
        <v>0</v>
      </c>
      <c r="E119" s="21" t="str">
        <f t="shared" si="1"/>
        <v>0</v>
      </c>
      <c r="F119" s="28" t="str">
        <f t="shared" si="2"/>
        <v>0</v>
      </c>
      <c r="G119" s="23" t="str">
        <f t="shared" si="3"/>
        <v>0</v>
      </c>
      <c r="H119" s="29">
        <v>5152305.59</v>
      </c>
      <c r="I119" s="2" t="s">
        <v>63</v>
      </c>
    </row>
    <row r="120">
      <c r="A120" s="2" t="s">
        <v>32</v>
      </c>
      <c r="B120" s="9" t="s">
        <v>241</v>
      </c>
      <c r="C120" s="2" t="s">
        <v>233</v>
      </c>
      <c r="D120" s="21" t="str">
        <f t="shared" si="4"/>
        <v>0</v>
      </c>
      <c r="E120" s="21" t="str">
        <f t="shared" si="1"/>
        <v>0</v>
      </c>
      <c r="F120" s="28" t="str">
        <f t="shared" si="2"/>
        <v>0</v>
      </c>
      <c r="G120" s="23" t="str">
        <f t="shared" si="3"/>
        <v>0</v>
      </c>
      <c r="H120" s="29">
        <v>2164620.0</v>
      </c>
      <c r="I120" s="2" t="s">
        <v>63</v>
      </c>
    </row>
    <row r="121">
      <c r="A121" s="2" t="s">
        <v>32</v>
      </c>
      <c r="B121" s="9" t="s">
        <v>242</v>
      </c>
      <c r="C121" s="2" t="s">
        <v>233</v>
      </c>
      <c r="D121" s="21" t="str">
        <f t="shared" si="4"/>
        <v>0</v>
      </c>
      <c r="E121" s="21" t="str">
        <f t="shared" si="1"/>
        <v>0</v>
      </c>
      <c r="F121" s="28" t="str">
        <f t="shared" si="2"/>
        <v>0</v>
      </c>
      <c r="G121" s="23" t="str">
        <f t="shared" si="3"/>
        <v>0</v>
      </c>
      <c r="H121" s="29">
        <v>1990042.89</v>
      </c>
      <c r="I121" s="2" t="s">
        <v>63</v>
      </c>
    </row>
    <row r="122">
      <c r="A122" s="2" t="s">
        <v>32</v>
      </c>
      <c r="B122" s="9" t="s">
        <v>243</v>
      </c>
      <c r="C122" s="2" t="s">
        <v>233</v>
      </c>
      <c r="D122" s="21" t="str">
        <f t="shared" si="4"/>
        <v>0</v>
      </c>
      <c r="E122" s="21" t="str">
        <f t="shared" si="1"/>
        <v>0</v>
      </c>
      <c r="F122" s="28" t="str">
        <f t="shared" si="2"/>
        <v>0</v>
      </c>
      <c r="G122" s="23" t="str">
        <f t="shared" si="3"/>
        <v>0</v>
      </c>
      <c r="H122" s="29">
        <v>122169.79</v>
      </c>
      <c r="I122" s="2" t="s">
        <v>63</v>
      </c>
    </row>
    <row r="123">
      <c r="A123" s="2" t="s">
        <v>32</v>
      </c>
      <c r="B123" s="9" t="s">
        <v>244</v>
      </c>
      <c r="C123" s="2" t="s">
        <v>233</v>
      </c>
      <c r="D123" s="21" t="str">
        <f t="shared" si="4"/>
        <v>0</v>
      </c>
      <c r="E123" s="21" t="str">
        <f t="shared" si="1"/>
        <v>0</v>
      </c>
      <c r="F123" s="28" t="str">
        <f t="shared" si="2"/>
        <v>0</v>
      </c>
      <c r="G123" s="23" t="str">
        <f t="shared" si="3"/>
        <v>0</v>
      </c>
      <c r="H123" s="29">
        <v>502669.99</v>
      </c>
      <c r="I123" s="2" t="s">
        <v>63</v>
      </c>
    </row>
    <row r="124">
      <c r="A124" s="2" t="s">
        <v>32</v>
      </c>
      <c r="B124" s="2" t="s">
        <v>245</v>
      </c>
      <c r="C124" s="2" t="s">
        <v>233</v>
      </c>
      <c r="D124" s="21" t="str">
        <f t="shared" si="4"/>
        <v>0</v>
      </c>
      <c r="E124" s="21" t="str">
        <f t="shared" si="1"/>
        <v>0</v>
      </c>
      <c r="F124" s="28" t="str">
        <f t="shared" si="2"/>
        <v>0</v>
      </c>
      <c r="G124" s="23" t="str">
        <f t="shared" si="3"/>
        <v>0</v>
      </c>
      <c r="H124" s="29">
        <f>222299.47+388739.98+4759086.95</f>
        <v>5370126.4</v>
      </c>
      <c r="I124" s="2" t="s">
        <v>63</v>
      </c>
    </row>
    <row r="125">
      <c r="A125" s="2" t="s">
        <v>32</v>
      </c>
      <c r="B125" s="9" t="s">
        <v>246</v>
      </c>
      <c r="C125" s="2" t="s">
        <v>233</v>
      </c>
      <c r="D125" s="21" t="str">
        <f t="shared" si="4"/>
        <v>0</v>
      </c>
      <c r="E125" s="21" t="str">
        <f t="shared" si="1"/>
        <v>0</v>
      </c>
      <c r="F125" s="28" t="str">
        <f t="shared" si="2"/>
        <v>0</v>
      </c>
      <c r="G125" s="23" t="str">
        <f t="shared" si="3"/>
        <v>0</v>
      </c>
      <c r="H125" s="29">
        <v>3094214.63</v>
      </c>
      <c r="I125" s="2" t="s">
        <v>63</v>
      </c>
    </row>
    <row r="126">
      <c r="A126" s="2" t="s">
        <v>32</v>
      </c>
      <c r="B126" s="9" t="s">
        <v>247</v>
      </c>
      <c r="C126" s="2" t="s">
        <v>233</v>
      </c>
      <c r="D126" s="21" t="str">
        <f t="shared" si="4"/>
        <v>0</v>
      </c>
      <c r="E126" s="21" t="str">
        <f t="shared" si="1"/>
        <v>0</v>
      </c>
      <c r="F126" s="28" t="str">
        <f t="shared" si="2"/>
        <v>0</v>
      </c>
      <c r="G126" s="23" t="str">
        <f t="shared" si="3"/>
        <v>0</v>
      </c>
      <c r="H126" s="29">
        <v>3405705.21</v>
      </c>
      <c r="I126" s="2" t="s">
        <v>63</v>
      </c>
    </row>
    <row r="127">
      <c r="A127" s="2" t="s">
        <v>32</v>
      </c>
      <c r="B127" s="9" t="s">
        <v>248</v>
      </c>
      <c r="C127" s="2" t="s">
        <v>233</v>
      </c>
      <c r="D127" s="21" t="str">
        <f t="shared" si="4"/>
        <v>0</v>
      </c>
      <c r="E127" s="21" t="str">
        <f t="shared" si="1"/>
        <v>0</v>
      </c>
      <c r="F127" s="28" t="str">
        <f t="shared" si="2"/>
        <v>0</v>
      </c>
      <c r="G127" s="23" t="str">
        <f t="shared" si="3"/>
        <v>0</v>
      </c>
      <c r="H127" s="29">
        <f>298749.99+5123201.13</f>
        <v>5421951.12</v>
      </c>
      <c r="I127" s="2" t="s">
        <v>63</v>
      </c>
    </row>
    <row r="128">
      <c r="A128" s="2" t="s">
        <v>32</v>
      </c>
      <c r="B128" s="9" t="s">
        <v>249</v>
      </c>
      <c r="C128" s="2" t="s">
        <v>233</v>
      </c>
      <c r="D128" s="21" t="str">
        <f t="shared" si="4"/>
        <v>0</v>
      </c>
      <c r="E128" s="21" t="str">
        <f t="shared" si="1"/>
        <v>0</v>
      </c>
      <c r="F128" s="28" t="str">
        <f t="shared" si="2"/>
        <v>0</v>
      </c>
      <c r="G128" s="23" t="str">
        <f t="shared" si="3"/>
        <v>0</v>
      </c>
      <c r="H128" s="29">
        <v>2369718.9</v>
      </c>
      <c r="I128" s="9" t="s">
        <v>63</v>
      </c>
    </row>
    <row r="129">
      <c r="A129" s="2" t="s">
        <v>32</v>
      </c>
      <c r="B129" s="2" t="s">
        <v>250</v>
      </c>
      <c r="C129" s="2" t="s">
        <v>233</v>
      </c>
      <c r="D129" s="21" t="str">
        <f t="shared" si="4"/>
        <v>0</v>
      </c>
      <c r="E129" s="21" t="str">
        <f t="shared" si="1"/>
        <v>0</v>
      </c>
      <c r="F129" s="28" t="str">
        <f t="shared" si="2"/>
        <v>0</v>
      </c>
      <c r="G129" s="23" t="str">
        <f t="shared" si="3"/>
        <v>0</v>
      </c>
      <c r="H129" s="2">
        <v>3824687.66</v>
      </c>
      <c r="I129" s="2" t="s">
        <v>63</v>
      </c>
    </row>
    <row r="130">
      <c r="A130" s="2" t="s">
        <v>32</v>
      </c>
      <c r="B130" s="2" t="s">
        <v>251</v>
      </c>
      <c r="C130" s="2" t="s">
        <v>252</v>
      </c>
      <c r="D130" s="21" t="str">
        <f t="shared" si="4"/>
        <v>0</v>
      </c>
      <c r="E130" s="21" t="str">
        <f t="shared" si="1"/>
        <v>0</v>
      </c>
      <c r="F130" s="28" t="str">
        <f t="shared" si="2"/>
        <v>0</v>
      </c>
      <c r="G130" s="23" t="str">
        <f t="shared" si="3"/>
        <v>0</v>
      </c>
      <c r="H130" s="29">
        <v>4.21593434E7</v>
      </c>
      <c r="I130" s="2" t="s">
        <v>54</v>
      </c>
    </row>
    <row r="131">
      <c r="A131" s="2" t="s">
        <v>32</v>
      </c>
      <c r="B131" s="2" t="s">
        <v>251</v>
      </c>
      <c r="C131" s="2" t="s">
        <v>252</v>
      </c>
      <c r="D131" s="21" t="str">
        <f t="shared" si="4"/>
        <v>0</v>
      </c>
      <c r="E131" s="21" t="str">
        <f t="shared" si="1"/>
        <v>0</v>
      </c>
      <c r="F131" s="28" t="str">
        <f t="shared" si="2"/>
        <v>0</v>
      </c>
      <c r="G131" s="23" t="str">
        <f t="shared" si="3"/>
        <v>0</v>
      </c>
      <c r="H131" s="29">
        <v>5852238.13</v>
      </c>
      <c r="I131" s="2" t="s">
        <v>79</v>
      </c>
    </row>
    <row r="132">
      <c r="A132" s="2" t="s">
        <v>32</v>
      </c>
      <c r="B132" s="2" t="s">
        <v>253</v>
      </c>
      <c r="C132" s="2" t="s">
        <v>254</v>
      </c>
      <c r="D132" s="21" t="str">
        <f t="shared" si="4"/>
        <v>0</v>
      </c>
      <c r="E132" s="21" t="str">
        <f t="shared" si="1"/>
        <v>0</v>
      </c>
      <c r="F132" s="28" t="str">
        <f t="shared" si="2"/>
        <v>0</v>
      </c>
      <c r="G132" s="23" t="str">
        <f t="shared" si="3"/>
        <v>0</v>
      </c>
      <c r="H132">
        <f>55788.19+1809465.47</f>
        <v>1865253.66</v>
      </c>
      <c r="I132" s="2" t="s">
        <v>63</v>
      </c>
    </row>
    <row r="133">
      <c r="A133" s="2" t="s">
        <v>32</v>
      </c>
      <c r="B133" s="2" t="s">
        <v>255</v>
      </c>
      <c r="D133" s="21" t="str">
        <f t="shared" si="4"/>
        <v>0</v>
      </c>
      <c r="E133" s="21" t="str">
        <f t="shared" si="1"/>
        <v>0</v>
      </c>
      <c r="F133" s="28" t="str">
        <f t="shared" si="2"/>
        <v>0</v>
      </c>
      <c r="G133" s="23" t="str">
        <f t="shared" si="3"/>
        <v>0</v>
      </c>
      <c r="H133">
        <f>12573082.21+131896.44+48777.83+1255183.88</f>
        <v>14008940.36</v>
      </c>
      <c r="I133" s="2" t="s">
        <v>63</v>
      </c>
    </row>
    <row r="134">
      <c r="A134" s="2" t="s">
        <v>32</v>
      </c>
      <c r="B134" s="2" t="s">
        <v>256</v>
      </c>
      <c r="C134" s="2" t="s">
        <v>254</v>
      </c>
      <c r="D134" s="21" t="str">
        <f t="shared" si="4"/>
        <v>0</v>
      </c>
      <c r="E134" s="21" t="str">
        <f t="shared" si="1"/>
        <v>0</v>
      </c>
      <c r="F134" s="28" t="str">
        <f t="shared" si="2"/>
        <v>0</v>
      </c>
      <c r="G134" s="23" t="str">
        <f t="shared" si="3"/>
        <v>0</v>
      </c>
      <c r="H134">
        <f>1260.14+5021.83+22.69+252653.74</f>
        <v>258958.4</v>
      </c>
      <c r="I134" s="2" t="s">
        <v>79</v>
      </c>
    </row>
    <row r="135">
      <c r="A135" s="2" t="s">
        <v>32</v>
      </c>
      <c r="B135" s="2" t="s">
        <v>257</v>
      </c>
      <c r="D135" s="21" t="str">
        <f t="shared" si="4"/>
        <v>0</v>
      </c>
      <c r="E135" s="21" t="str">
        <f t="shared" si="1"/>
        <v>0</v>
      </c>
      <c r="F135" s="28" t="str">
        <f t="shared" si="2"/>
        <v>0</v>
      </c>
      <c r="G135" s="23" t="str">
        <f t="shared" si="3"/>
        <v>0</v>
      </c>
      <c r="H135" s="2">
        <v>0.75</v>
      </c>
      <c r="I135" s="2" t="s">
        <v>258</v>
      </c>
    </row>
    <row r="136">
      <c r="A136" s="2" t="s">
        <v>32</v>
      </c>
      <c r="B136" s="2" t="s">
        <v>259</v>
      </c>
      <c r="C136" s="2" t="s">
        <v>254</v>
      </c>
      <c r="D136" s="21" t="str">
        <f t="shared" si="4"/>
        <v>0</v>
      </c>
      <c r="E136" s="21" t="str">
        <f t="shared" si="1"/>
        <v>0</v>
      </c>
      <c r="F136" s="28" t="str">
        <f t="shared" si="2"/>
        <v>0</v>
      </c>
      <c r="G136" s="23" t="str">
        <f t="shared" si="3"/>
        <v>0</v>
      </c>
      <c r="H136" s="29">
        <v>843023.94</v>
      </c>
      <c r="I136" s="2" t="s">
        <v>54</v>
      </c>
    </row>
    <row r="138">
      <c r="L138" s="12"/>
      <c r="M138" s="13"/>
    </row>
    <row r="139">
      <c r="L139" s="12"/>
      <c r="M139" s="13"/>
    </row>
    <row r="141">
      <c r="K141" s="12"/>
      <c r="L141" s="13"/>
      <c r="M141"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London Borough of Camden Pension Fund</v>
      </c>
      <c r="C1" s="11"/>
      <c r="D1" s="11"/>
      <c r="E1" s="12" t="s">
        <v>36</v>
      </c>
      <c r="F1" s="13"/>
      <c r="G1" s="12"/>
      <c r="H1" s="6" t="s">
        <v>37</v>
      </c>
    </row>
    <row r="2">
      <c r="A2" s="1" t="s">
        <v>38</v>
      </c>
      <c r="B2" s="14">
        <f>SUM('Full Data'!H1:H1001)</f>
        <v>1162682762</v>
      </c>
      <c r="C2" s="11"/>
      <c r="D2" s="11"/>
      <c r="E2" s="15">
        <v>1.164E9</v>
      </c>
    </row>
    <row r="3">
      <c r="A3" s="1" t="s">
        <v>39</v>
      </c>
      <c r="B3" s="14">
        <f>SUM('Full Data'!G2:G1001)</f>
        <v>41500809.83</v>
      </c>
      <c r="C3" s="11"/>
      <c r="D3" s="11"/>
      <c r="E3" s="11"/>
    </row>
    <row r="4">
      <c r="A4" s="1" t="s">
        <v>41</v>
      </c>
      <c r="B4" s="17">
        <f>B3/B2</f>
        <v>0.03569400973</v>
      </c>
      <c r="C4" s="11"/>
      <c r="D4" s="11"/>
      <c r="E4" s="11"/>
    </row>
    <row r="5">
      <c r="A5" s="1"/>
      <c r="B5" s="1"/>
      <c r="C5" s="11"/>
      <c r="D5" s="11"/>
      <c r="E5" s="11"/>
    </row>
    <row r="6">
      <c r="A6" s="1"/>
      <c r="B6" s="1"/>
      <c r="C6" s="11"/>
      <c r="D6" s="11"/>
      <c r="E6" s="11"/>
    </row>
    <row r="7">
      <c r="A7" s="1" t="s">
        <v>47</v>
      </c>
      <c r="B7" s="1"/>
      <c r="C7" s="11"/>
      <c r="D7" s="11"/>
      <c r="E7" s="11" t="s">
        <v>48</v>
      </c>
    </row>
    <row r="8">
      <c r="A8" s="1" t="s">
        <v>26</v>
      </c>
      <c r="B8" s="1"/>
      <c r="C8" s="11" t="s">
        <v>0</v>
      </c>
      <c r="D8" s="11"/>
      <c r="E8" s="11"/>
    </row>
    <row r="9">
      <c r="A9" s="18">
        <f>LARGE('Full Data'!G:G,1)</f>
        <v>10257860.71</v>
      </c>
      <c r="B9" s="17">
        <f t="shared" ref="B9:B18" si="1">A9/$B$2</f>
        <v>0.008822579162</v>
      </c>
      <c r="C9" s="19" t="str">
        <f t="array" ref="C9">INDEX('Full Data'!F:F,MATCH(LARGE('Full Data'!G:G,1),'Full Data'!G:G,0))</f>
        <v>ROYAL DUTCH SHELL 'A'ORD EUR0.07</v>
      </c>
      <c r="D9" s="11"/>
      <c r="E9" s="11"/>
    </row>
    <row r="10">
      <c r="A10" s="18">
        <f>LARGE('Full Data'!G:G,2)</f>
        <v>6679786.01</v>
      </c>
      <c r="B10" s="17">
        <f t="shared" si="1"/>
        <v>0.005745149259</v>
      </c>
      <c r="C10" s="19" t="str">
        <f t="array" ref="C10">INDEX('Full Data'!F:F,MATCH(LARGE('Full Data'!G:G,2),'Full Data'!G:G,0))</f>
        <v>VALE SA ADR REPR 1 PREF SHS NPV SPON</v>
      </c>
      <c r="D10" s="11"/>
      <c r="E10" s="11"/>
    </row>
    <row r="11">
      <c r="A11" s="18">
        <f>LARGE('Full Data'!G:G,3)</f>
        <v>6460200.5</v>
      </c>
      <c r="B11" s="17">
        <f t="shared" si="1"/>
        <v>0.00555628819</v>
      </c>
      <c r="C11" s="19" t="str">
        <f t="array" ref="C11">INDEX('Full Data'!F:F,MATCH(LARGE('Full Data'!G:G,3),'Full Data'!G:G,0))</f>
        <v>BHP BILLITON PLC COMMON STOCK GBP 0.5</v>
      </c>
      <c r="D11" s="11"/>
      <c r="E11" s="11"/>
    </row>
    <row r="12">
      <c r="A12" s="18">
        <f>LARGE('Full Data'!G:G,4)</f>
        <v>5921221.218</v>
      </c>
      <c r="B12" s="17">
        <f t="shared" si="1"/>
        <v>0.005092722977</v>
      </c>
      <c r="C12" s="19" t="str">
        <f t="array" ref="C12">INDEX('Full Data'!F:F,MATCH(LARGE('Full Data'!G:G,4),'Full Data'!G:G,0))</f>
        <v>EOG RESOURCES INC USD0.01</v>
      </c>
      <c r="D12" s="11"/>
      <c r="E12" s="11"/>
    </row>
    <row r="13">
      <c r="A13" s="18">
        <f>LARGE('Full Data'!G:G,5)</f>
        <v>5596292.084</v>
      </c>
      <c r="B13" s="17">
        <f t="shared" si="1"/>
        <v>0.00481325798</v>
      </c>
      <c r="C13" s="19" t="str">
        <f t="array" ref="C13">INDEX('Full Data'!F:F,MATCH(LARGE('Full Data'!G:G,5),'Full Data'!G:G,0))</f>
        <v>ENI NPV</v>
      </c>
      <c r="D13" s="11"/>
      <c r="E13" s="11"/>
    </row>
    <row r="14">
      <c r="A14" s="18">
        <f>LARGE('Full Data'!G:G,6)</f>
        <v>3116781.532</v>
      </c>
      <c r="B14" s="17">
        <f t="shared" si="1"/>
        <v>0.00268068095</v>
      </c>
      <c r="C14" s="19" t="str">
        <f t="array" ref="C14">INDEX('Full Data'!F:F,MATCH(LARGE('Full Data'!G:G,6),'Full Data'!G:G,0))</f>
        <v>PETROLEO BRASILEIRO SA PETROBRAS SPONS ADR-EACH</v>
      </c>
      <c r="D14" s="11"/>
      <c r="E14" s="11"/>
    </row>
    <row r="15">
      <c r="A15" s="18">
        <f>LARGE('Full Data'!G:G,7)</f>
        <v>3057791.878</v>
      </c>
      <c r="B15" s="17">
        <f t="shared" si="1"/>
        <v>0.002629945139</v>
      </c>
      <c r="C15" s="19" t="str">
        <f t="array" ref="C15">INDEX('Full Data'!F:F,MATCH(LARGE('Full Data'!G:G,7),'Full Data'!G:G,0))</f>
        <v>CHEVRON CORP USD0.75</v>
      </c>
      <c r="D15" s="11"/>
      <c r="E15" s="11"/>
    </row>
    <row r="16">
      <c r="A16" s="18">
        <f>LARGE('Full Data'!G:G,8)</f>
        <v>409109.3209</v>
      </c>
      <c r="B16" s="17">
        <f t="shared" si="1"/>
        <v>0.0003518666778</v>
      </c>
      <c r="C16" s="19" t="str">
        <f t="array" ref="C16">INDEX('Full Data'!F:F,MATCH(LARGE('Full Data'!G:G,8),'Full Data'!G:G,0))</f>
        <v>PETROCHINA CO CNY1'H'</v>
      </c>
      <c r="D16" s="11"/>
      <c r="E16" s="11"/>
    </row>
    <row r="17">
      <c r="A17" s="18">
        <f>LARGE('Full Data'!G:G,9)</f>
        <v>757.7516779</v>
      </c>
      <c r="B17" s="17">
        <f t="shared" si="1"/>
        <v>0.0000006517269392</v>
      </c>
      <c r="C17" s="19" t="str">
        <f t="array" ref="C17">INDEX('Full Data'!F:F,MATCH(LARGE('Full Data'!G:G,9),'Full Data'!G:G,0))</f>
        <v>ROYAL DUTCH SHELL 'A'ORD EUR0.07</v>
      </c>
      <c r="D17" s="11"/>
      <c r="E17" s="11"/>
    </row>
    <row r="18">
      <c r="A18" s="18">
        <f>LARGE('Full Data'!G:G,10)</f>
        <v>633.6363636</v>
      </c>
      <c r="B18" s="17">
        <f t="shared" si="1"/>
        <v>0.00000054497786</v>
      </c>
      <c r="C18" s="19" t="str">
        <f t="array" ref="C18">INDEX('Full Data'!F:F,MATCH(LARGE('Full Data'!G:G,10),'Full Data'!G:G,0))</f>
        <v>REPSOL SA EUR1</v>
      </c>
      <c r="D18" s="11"/>
      <c r="E18" s="11"/>
    </row>
    <row r="19">
      <c r="A19" s="11"/>
      <c r="B19" s="11"/>
      <c r="C19" s="11"/>
      <c r="D19" s="11"/>
      <c r="E19" s="11"/>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6.43"/>
    <col customWidth="1" min="5" max="5" width="43.14"/>
  </cols>
  <sheetData>
    <row r="1">
      <c r="A1" s="11" t="s">
        <v>40</v>
      </c>
      <c r="B1" s="16">
        <v>0.1</v>
      </c>
      <c r="C1" s="11"/>
      <c r="D1" s="11"/>
      <c r="E1" s="11"/>
      <c r="F1" s="11"/>
      <c r="G1" s="11"/>
      <c r="H1" s="11"/>
    </row>
    <row r="2">
      <c r="A2" s="11"/>
      <c r="B2" s="11" t="s">
        <v>26</v>
      </c>
      <c r="C2" s="11" t="s">
        <v>42</v>
      </c>
      <c r="D2" s="11" t="s">
        <v>0</v>
      </c>
      <c r="E2" s="11" t="s">
        <v>43</v>
      </c>
      <c r="F2" s="11" t="s">
        <v>44</v>
      </c>
      <c r="G2" s="11" t="s">
        <v>45</v>
      </c>
      <c r="H2" s="11"/>
    </row>
    <row r="3">
      <c r="A3" s="11"/>
      <c r="B3" s="11"/>
      <c r="C3" s="11"/>
      <c r="D3" s="11"/>
      <c r="E3" s="11"/>
      <c r="F3" s="11"/>
      <c r="G3" s="11"/>
      <c r="H3" s="11"/>
    </row>
    <row r="4">
      <c r="A4" s="11" t="s">
        <v>46</v>
      </c>
      <c r="B4" s="18">
        <f>'Fossil Fuel Direct Investments'!B2</f>
        <v>1162682762</v>
      </c>
      <c r="C4" s="11"/>
      <c r="D4" s="19"/>
      <c r="E4" s="11"/>
      <c r="F4" s="11"/>
      <c r="G4" s="11"/>
      <c r="H4" s="11"/>
    </row>
    <row r="5">
      <c r="A5" s="20">
        <v>1.0</v>
      </c>
      <c r="B5" s="18">
        <f>LARGE('Full Data'!H:H,A5)</f>
        <v>333748165.6</v>
      </c>
      <c r="C5" s="17">
        <f t="shared" ref="C5:C19" si="1">B5/$B$4</f>
        <v>0.2870500677</v>
      </c>
      <c r="D5" s="19" t="str">
        <f t="array" ref="D5">INDEX('Full Data'!B:B,MATCH(LARGE('Full Data'!H:H,A5),'Full Data'!H:H,0))</f>
        <v>LEGAL &amp; GENERAL UK EQUITY INDEX</v>
      </c>
      <c r="E5" s="11" t="s">
        <v>49</v>
      </c>
      <c r="F5" s="18">
        <f t="shared" ref="F5:F19" si="2">IF(E5="yes",B5*$B$1,0)</f>
        <v>33374816.56</v>
      </c>
      <c r="G5" s="17">
        <f t="shared" ref="G5:G19" si="3">F5/$B$4</f>
        <v>0.02870500677</v>
      </c>
      <c r="H5" s="11"/>
    </row>
    <row r="6">
      <c r="A6" s="20">
        <v>2.0</v>
      </c>
      <c r="B6" s="18">
        <f>LARGE('Full Data'!H:H,A6)</f>
        <v>123746493.4</v>
      </c>
      <c r="C6" s="17">
        <f t="shared" si="1"/>
        <v>0.1064318638</v>
      </c>
      <c r="D6" s="19" t="str">
        <f t="array" ref="D6">INDEX('Full Data'!B:B,MATCH(LARGE('Full Data'!H:H,A6),'Full Data'!H:H,0))</f>
        <v>INSIGHT INVESTMENT BONDS PLUS 400 FUND</v>
      </c>
      <c r="E6" s="11"/>
      <c r="F6" s="18">
        <f t="shared" si="2"/>
        <v>0</v>
      </c>
      <c r="G6" s="17">
        <f t="shared" si="3"/>
        <v>0</v>
      </c>
      <c r="H6" s="11"/>
    </row>
    <row r="7">
      <c r="A7" s="20">
        <v>3.0</v>
      </c>
      <c r="B7" s="18">
        <f>LARGE('Full Data'!H:H,A7)</f>
        <v>103928432.8</v>
      </c>
      <c r="C7" s="17">
        <f t="shared" si="1"/>
        <v>0.08938674947</v>
      </c>
      <c r="D7" s="19" t="str">
        <f t="array" ref="D7">INDEX('Full Data'!B:B,MATCH(LARGE('Full Data'!H:H,A7),'Full Data'!H:H,0))</f>
        <v>BARING ALPHA FUNDS DYNAMIC ASSET ALLOCATION FUND
</v>
      </c>
      <c r="E7" s="11"/>
      <c r="F7" s="18">
        <f t="shared" si="2"/>
        <v>0</v>
      </c>
      <c r="G7" s="17">
        <f t="shared" si="3"/>
        <v>0</v>
      </c>
      <c r="H7" s="11"/>
    </row>
    <row r="8">
      <c r="A8" s="20">
        <v>4.0</v>
      </c>
      <c r="B8" s="18">
        <f>LARGE('Full Data'!H:H,A8)</f>
        <v>55305829.86</v>
      </c>
      <c r="C8" s="17">
        <f t="shared" si="1"/>
        <v>0.0475674291</v>
      </c>
      <c r="D8" s="19" t="str">
        <f t="array" ref="D8">INDEX('Full Data'!B:B,MATCH(LARGE('Full Data'!H:H,A8),'Full Data'!H:H,0))</f>
        <v>BLUECREST ALLBLUE LTD - Class A GBP</v>
      </c>
      <c r="E8" s="11"/>
      <c r="F8" s="18">
        <f t="shared" si="2"/>
        <v>0</v>
      </c>
      <c r="G8" s="17">
        <f t="shared" si="3"/>
        <v>0</v>
      </c>
      <c r="H8" s="11"/>
    </row>
    <row r="9">
      <c r="A9" s="20">
        <v>5.0</v>
      </c>
      <c r="B9" s="25">
        <v>3.307E8</v>
      </c>
      <c r="C9" s="17">
        <f t="shared" si="1"/>
        <v>0.2844284019</v>
      </c>
      <c r="D9" s="26" t="s">
        <v>53</v>
      </c>
      <c r="E9" s="27" t="s">
        <v>49</v>
      </c>
      <c r="F9" s="18">
        <f t="shared" si="2"/>
        <v>33070000</v>
      </c>
      <c r="G9" s="17">
        <f t="shared" si="3"/>
        <v>0.02844284019</v>
      </c>
      <c r="H9" s="11"/>
    </row>
    <row r="10">
      <c r="A10" s="20">
        <v>6.0</v>
      </c>
      <c r="B10" s="18">
        <f>LARGE('Full Data'!H:H,A10)</f>
        <v>42159343.4</v>
      </c>
      <c r="C10" s="17">
        <f t="shared" si="1"/>
        <v>0.03626040118</v>
      </c>
      <c r="D10" s="19" t="str">
        <f t="array" ref="D10">INDEX('Full Data'!B:B,MATCH(LARGE('Full Data'!H:H,A10),'Full Data'!H:H,0))</f>
        <v>PARTNERS GROUP REAL ESTATE SECONDARY </v>
      </c>
      <c r="E10" s="11"/>
      <c r="F10" s="18">
        <f t="shared" si="2"/>
        <v>0</v>
      </c>
      <c r="G10" s="17">
        <f t="shared" si="3"/>
        <v>0</v>
      </c>
      <c r="H10" s="11"/>
    </row>
    <row r="11">
      <c r="A11" s="20">
        <v>7.0</v>
      </c>
      <c r="B11" s="18">
        <f>LARGE('Full Data'!H:H,A11)</f>
        <v>26145691.49</v>
      </c>
      <c r="C11" s="17">
        <f t="shared" si="1"/>
        <v>0.02248738206</v>
      </c>
      <c r="D11" s="19" t="str">
        <f t="array" ref="D11">INDEX('Full Data'!B:B,MATCH(LARGE('Full Data'!H:H,A11),'Full Data'!H:H,0))</f>
        <v>LEGAL &amp; GENERAL OVER 5YR INDEX LNKD GILTS</v>
      </c>
      <c r="E11" s="11"/>
      <c r="F11" s="18">
        <f t="shared" si="2"/>
        <v>0</v>
      </c>
      <c r="G11" s="17">
        <f t="shared" si="3"/>
        <v>0</v>
      </c>
      <c r="H11" s="11"/>
    </row>
    <row r="12">
      <c r="A12" s="20">
        <v>8.0</v>
      </c>
      <c r="B12" s="18">
        <f>LARGE('Full Data'!H:H,A12)</f>
        <v>25463374.96</v>
      </c>
      <c r="C12" s="17">
        <f t="shared" si="1"/>
        <v>0.02190053537</v>
      </c>
      <c r="D12" s="19" t="str">
        <f t="array" ref="D12">INDEX('Full Data'!B:B,MATCH(LARGE('Full Data'!H:H,A12),'Full Data'!H:H,0))</f>
        <v>LEGAL &amp; GENERAL NORTH AMERICA EQUITY INDEX</v>
      </c>
      <c r="E12" s="27" t="s">
        <v>49</v>
      </c>
      <c r="F12" s="18">
        <f t="shared" si="2"/>
        <v>2546337.496</v>
      </c>
      <c r="G12" s="17">
        <f t="shared" si="3"/>
        <v>0.002190053537</v>
      </c>
      <c r="H12" s="11"/>
    </row>
    <row r="13">
      <c r="A13" s="20">
        <v>9.0</v>
      </c>
      <c r="B13" s="18">
        <f>LARGE('Full Data'!H:H,A13)</f>
        <v>14008940.36</v>
      </c>
      <c r="C13" s="17">
        <f t="shared" si="1"/>
        <v>0.01204880713</v>
      </c>
      <c r="D13" s="19" t="str">
        <f t="array" ref="D13">INDEX('Full Data'!B:B,MATCH(LARGE('Full Data'!H:H,A13),'Full Data'!H:H,0))</f>
        <v>LQD JPMAM INST</v>
      </c>
      <c r="E13" s="11"/>
      <c r="F13" s="18">
        <f t="shared" si="2"/>
        <v>0</v>
      </c>
      <c r="G13" s="17">
        <f t="shared" si="3"/>
        <v>0</v>
      </c>
      <c r="H13" s="11"/>
    </row>
    <row r="14">
      <c r="A14" s="20">
        <v>10.0</v>
      </c>
      <c r="B14" s="18">
        <f>LARGE('Full Data'!H:H,A14)</f>
        <v>13235533.64</v>
      </c>
      <c r="C14" s="17">
        <f t="shared" si="1"/>
        <v>0.01138361561</v>
      </c>
      <c r="D14" s="19" t="str">
        <f t="array" ref="D14">INDEX('Full Data'!B:B,MATCH(LARGE('Full Data'!H:H,A14),'Full Data'!H:H,0))</f>
        <v>ROCHE HOLDING AG COMMON STOCK CHF 0</v>
      </c>
      <c r="E14" s="11"/>
      <c r="F14" s="18">
        <f t="shared" si="2"/>
        <v>0</v>
      </c>
      <c r="G14" s="17">
        <f t="shared" si="3"/>
        <v>0</v>
      </c>
      <c r="H14" s="11"/>
    </row>
    <row r="15">
      <c r="A15" s="20">
        <v>11.0</v>
      </c>
      <c r="B15" s="18">
        <f>LARGE('Full Data'!H:H,A15)</f>
        <v>12089528</v>
      </c>
      <c r="C15" s="17">
        <f t="shared" si="1"/>
        <v>0.01039795927</v>
      </c>
      <c r="D15" s="19" t="str">
        <f t="array" ref="D15">INDEX('Full Data'!B:B,MATCH(LARGE('Full Data'!H:H,A15),'Full Data'!H:H,0))</f>
        <v>BRITISH AMERICAN TOBACCO PLC COMMON STOCK GBP 25</v>
      </c>
      <c r="E15" s="11"/>
      <c r="F15" s="18">
        <f t="shared" si="2"/>
        <v>0</v>
      </c>
      <c r="G15" s="17">
        <f t="shared" si="3"/>
        <v>0</v>
      </c>
      <c r="H15" s="11"/>
    </row>
    <row r="16">
      <c r="A16" s="20">
        <v>12.0</v>
      </c>
      <c r="B16" s="18">
        <f>LARGE('Full Data'!H:H,A16)</f>
        <v>10819780.79</v>
      </c>
      <c r="C16" s="17">
        <f t="shared" si="1"/>
        <v>0.009305875293</v>
      </c>
      <c r="D16" s="19" t="str">
        <f t="array" ref="D16">INDEX('Full Data'!B:B,MATCH(LARGE('Full Data'!H:H,A16),'Full Data'!H:H,0))</f>
        <v>JOHNSON &amp; JOHNSON COMMON STOCK USD 1</v>
      </c>
      <c r="E16" s="11"/>
      <c r="F16" s="18">
        <f t="shared" si="2"/>
        <v>0</v>
      </c>
      <c r="G16" s="17">
        <f t="shared" si="3"/>
        <v>0</v>
      </c>
      <c r="H16" s="11"/>
    </row>
    <row r="17">
      <c r="A17" s="20">
        <v>13.0</v>
      </c>
      <c r="B17" s="18">
        <f>LARGE('Full Data'!H:H,A17)</f>
        <v>10269154.33</v>
      </c>
      <c r="C17" s="17">
        <f t="shared" si="1"/>
        <v>0.008832292577</v>
      </c>
      <c r="D17" s="19" t="str">
        <f t="array" ref="D17">INDEX('Full Data'!B:B,MATCH(LARGE('Full Data'!H:H,A17),'Full Data'!H:H,0))</f>
        <v>NOVARTIS AG CHF0.50(REGD)</v>
      </c>
      <c r="E17" s="11"/>
      <c r="F17" s="18">
        <f t="shared" si="2"/>
        <v>0</v>
      </c>
      <c r="G17" s="17">
        <f t="shared" si="3"/>
        <v>0</v>
      </c>
      <c r="H17" s="11"/>
    </row>
    <row r="18">
      <c r="A18" s="20">
        <v>14.0</v>
      </c>
      <c r="B18" s="18">
        <f>LARGE('Full Data'!H:H,A18)</f>
        <v>10257860.71</v>
      </c>
      <c r="C18" s="17">
        <f t="shared" si="1"/>
        <v>0.008822579162</v>
      </c>
      <c r="D18" s="19" t="str">
        <f t="array" ref="D18">INDEX('Full Data'!B:B,MATCH(LARGE('Full Data'!H:H,A18),'Full Data'!H:H,0))</f>
        <v>ROYAL DUTCH SHELL 'A'ORD EUR0.07</v>
      </c>
      <c r="E18" s="11"/>
      <c r="F18" s="18">
        <f t="shared" si="2"/>
        <v>0</v>
      </c>
      <c r="G18" s="17">
        <f t="shared" si="3"/>
        <v>0</v>
      </c>
      <c r="H18" s="11"/>
    </row>
    <row r="19">
      <c r="A19" s="20">
        <v>15.0</v>
      </c>
      <c r="B19" s="18">
        <f>LARGE('Full Data'!H:H,A19)</f>
        <v>10132008.18</v>
      </c>
      <c r="C19" s="17">
        <f t="shared" si="1"/>
        <v>0.008714335939</v>
      </c>
      <c r="D19" s="19" t="str">
        <f t="array" ref="D19">INDEX('Full Data'!B:B,MATCH(LARGE('Full Data'!H:H,A19),'Full Data'!H:H,0))</f>
        <v>TAIWAN SEMICONDUCTOR MANUFACTURING ADS EACH CNV</v>
      </c>
      <c r="E19" s="11"/>
      <c r="F19" s="18">
        <f t="shared" si="2"/>
        <v>0</v>
      </c>
      <c r="G19" s="17">
        <f t="shared" si="3"/>
        <v>0</v>
      </c>
      <c r="H19" s="11"/>
    </row>
    <row r="20">
      <c r="A20" s="11"/>
      <c r="B20" s="11"/>
      <c r="C20" s="11"/>
      <c r="D20" s="11"/>
      <c r="E20" s="11" t="s">
        <v>68</v>
      </c>
      <c r="F20" s="18">
        <f t="shared" ref="F20:G20" si="4">SUM(F5:F19)</f>
        <v>68991154.06</v>
      </c>
      <c r="G20" s="17">
        <f t="shared" si="4"/>
        <v>0.0593379005</v>
      </c>
      <c r="H20" s="11"/>
    </row>
    <row r="21">
      <c r="A21" s="11"/>
      <c r="B21" s="11"/>
      <c r="C21" s="11"/>
      <c r="D21" s="11"/>
      <c r="E21" s="11" t="s">
        <v>69</v>
      </c>
      <c r="F21" s="18">
        <f>'Fossil Fuel Direct Investments'!B3</f>
        <v>41500809.83</v>
      </c>
      <c r="G21" s="17">
        <f>'Fossil Fuel Direct Investments'!B4</f>
        <v>0.03569400973</v>
      </c>
      <c r="H21" s="11"/>
    </row>
    <row r="22">
      <c r="A22" s="11"/>
      <c r="B22" s="11"/>
      <c r="C22" s="11"/>
      <c r="D22" s="11"/>
      <c r="E22" s="11"/>
      <c r="F22" s="11"/>
      <c r="G22" s="11"/>
      <c r="H22" s="11"/>
    </row>
    <row r="23">
      <c r="A23" s="11"/>
      <c r="B23" s="11"/>
      <c r="C23" s="11"/>
      <c r="D23" s="11"/>
      <c r="E23" s="11" t="s">
        <v>72</v>
      </c>
      <c r="F23" s="18">
        <f t="shared" ref="F23:G23" si="5">F20+F21</f>
        <v>110491963.9</v>
      </c>
      <c r="G23" s="17">
        <f t="shared" si="5"/>
        <v>0.09503191023</v>
      </c>
      <c r="H23" s="11"/>
    </row>
    <row r="24">
      <c r="A24" s="11"/>
      <c r="B24" s="11"/>
      <c r="C24" s="11"/>
      <c r="D24" s="11"/>
      <c r="E24" s="11" t="s">
        <v>38</v>
      </c>
      <c r="F24" s="14">
        <f>'Fossil Fuel Direct Investments'!B2</f>
        <v>1162682762</v>
      </c>
      <c r="G24" s="11"/>
      <c r="H24" s="11"/>
    </row>
    <row r="25">
      <c r="A25" s="11"/>
      <c r="B25" s="11"/>
      <c r="C25" s="11"/>
      <c r="D25" s="11"/>
      <c r="E25" s="11"/>
      <c r="F25" s="11"/>
      <c r="G25" s="11"/>
      <c r="H25" s="11"/>
    </row>
  </sheetData>
  <drawing r:id="rId1"/>
</worksheet>
</file>