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<sst xmlns="http://schemas.openxmlformats.org/spreadsheetml/2006/main" count="273" uniqueCount="116">
  <si>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</si>
  <si>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</si>
  <si>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</si>
  <si>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</si>
  <si>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</si>
  <si>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</si>
  <si>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</si>
  <si>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</si>
  <si>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</si>
  <si>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</si>
  <si>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</si>
  <si>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</si>
  <si>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</si>
  <si>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 xml:space="preserve">Description of holding </t>
  </si>
  <si>
    <t>Sub-category/ Classification</t>
  </si>
  <si>
    <t>you are looking for can be accessed from</t>
  </si>
  <si>
    <t>Oil/Gas Companies</t>
  </si>
  <si>
    <t>http://gofossilfree.org/uk/pensions/</t>
  </si>
  <si>
    <t>Total Holdings March 2014</t>
  </si>
  <si>
    <t>Coal Companies</t>
  </si>
  <si>
    <t>Total holdings</t>
  </si>
  <si>
    <t>Verification</t>
  </si>
  <si>
    <t>Fossil Fuel Amounts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</si>
  <si>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</si>
  <si>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</si>
  <si>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</si>
  <si>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</si>
  <si>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</si>
  <si>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</si>
  <si>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</si>
  <si>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</si>
  <si>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</si>
  <si>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</si>
  <si>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Amount</t>
  </si>
  <si>
    <t xml:space="preserve">London Borough of Haringey Pension Fund </t>
  </si>
  <si>
    <t>Annual Report 2014</t>
  </si>
  <si>
    <t>AQUILA LIFE US EQUITY INDEX FUND SER 1</t>
  </si>
  <si>
    <t>£899m</t>
  </si>
  <si>
    <t>http://www.haringey.gov.uk/sites/haringeygovuk/files/final_signed_accounts_13-14.pdf</t>
  </si>
  <si>
    <t>Equities</t>
  </si>
  <si>
    <t>Total fossil fuel holdings</t>
  </si>
  <si>
    <t>Percentage in fossil fuels</t>
  </si>
  <si>
    <t>Top 10 Fossil Fuel Holdings</t>
  </si>
  <si>
    <t>This excludes holdings through pooled funds - see next sheet</t>
  </si>
  <si>
    <t>Pooled fund estimate</t>
  </si>
  <si>
    <t>Percentage</t>
  </si>
  <si>
    <t>Pooled fund</t>
  </si>
  <si>
    <t>Estimated fossil fuel holdings:</t>
  </si>
  <si>
    <t>in % of total holdings</t>
  </si>
  <si>
    <t>Total</t>
  </si>
  <si>
    <t>yes</t>
  </si>
  <si>
    <t>GBP</t>
  </si>
  <si>
    <t>Total estimated fossil fuels in largest pooled funds</t>
  </si>
  <si>
    <t>AQUILA LIFE UK EQUITY INDEX FUND SER1</t>
  </si>
  <si>
    <t>Total direct fossil fuels</t>
  </si>
  <si>
    <t>Total fossil fuels</t>
  </si>
  <si>
    <t>AQUILA LIFE OVER 5YRS I.L.INDEX FUND</t>
  </si>
  <si>
    <t>Fixed Income</t>
  </si>
  <si>
    <t>WORLD EMERGING EQ IDX(HN)</t>
  </si>
  <si>
    <t>EUROPE (EX UK) EQUITY INDEX(T)</t>
  </si>
  <si>
    <t>AQUILA LIFE EUROPEAN EQUITY INDEX FD-1</t>
  </si>
  <si>
    <t>NORTH AMERICA EQUITY INDEX(S)</t>
  </si>
  <si>
    <t>LEGAL AND GENERAL JAPAN EQUITY INDEX</t>
  </si>
  <si>
    <t>LEGAL &amp; GENERAL AP OVER 5YR I-L GILT IDX</t>
  </si>
  <si>
    <t>L&amp;G N - UK EQUITY INDEX</t>
  </si>
  <si>
    <t>PANTHEON USA FUND VII LIMITED</t>
  </si>
  <si>
    <t>Venture Capital and Partnerships</t>
  </si>
  <si>
    <t>USD</t>
  </si>
  <si>
    <t>AQUILA LIFE PAC RIM EQTY IDX FUND SER 1</t>
  </si>
  <si>
    <t>LEGAL &amp; GENERAL ASIA PACIFIC EX JAPAN   DEV EQUITY INDEX</t>
  </si>
  <si>
    <t>AQUILA LIFE CANADIA EQTY FUND SERIES 1</t>
  </si>
  <si>
    <t>PANTHEON EUROPE FUND VI</t>
  </si>
  <si>
    <t>EUR</t>
  </si>
  <si>
    <t>WEST END OF LONDON UNAUTHORISED UNIT    TRUST</t>
  </si>
  <si>
    <t>Real Estate</t>
  </si>
  <si>
    <t>INDUSTRIAL PPTY INVESTMENT FD</t>
  </si>
  <si>
    <t>HENDERSON UK SHOPPING CENTRE FUND</t>
  </si>
  <si>
    <t>ROCKSPRING HANNOVER PROPERTY UNIT TRUST</t>
  </si>
  <si>
    <t>AQUILA LIFE JAPANESE EQUITY IDX SER 1</t>
  </si>
  <si>
    <t>M&amp;G SECURED PROPER INST 'A' UNITS</t>
  </si>
  <si>
    <t>CBRE LIONBROOK PROPERTY FUND</t>
  </si>
  <si>
    <t>CORDEA SAVILLS UK INCOME &amp; GROWTH FD</t>
  </si>
  <si>
    <t>CURLEW STUDENT TRUST</t>
  </si>
  <si>
    <t>AIRPORT INDUSTRIAL FD</t>
  </si>
  <si>
    <t>PANTHEON ASIA FUND V</t>
  </si>
  <si>
    <t>LEND LEASE RETAIL (JERSEY) UNIT TRUST</t>
  </si>
  <si>
    <t>STANDARD LIFE UK RETAIL PARK TRUST</t>
  </si>
  <si>
    <t>HERMES PROPERTY UT</t>
  </si>
  <si>
    <t>UBS GLOBAL AST TRITON</t>
  </si>
  <si>
    <t>ARDSTONE UK REGIONAL OFICE FUND</t>
  </si>
  <si>
    <t>HENDERSON UK RETAIL WAREHOUSE</t>
  </si>
  <si>
    <t>HANSTEEN UK INDL PROPERTY UNIT TR</t>
  </si>
  <si>
    <t>UNITE UK STUDENT ACCOMADATI</t>
  </si>
  <si>
    <t>LEISURE FUND UNIT TRUST</t>
  </si>
  <si>
    <t>HERCULES UNIT PROPERTY</t>
  </si>
  <si>
    <t>CORDEA SAVILLS ITALIAN OPPORTUNITY FUND</t>
  </si>
  <si>
    <t>CORDEA SAVILLS STUDENT HALL FD - B CLS</t>
  </si>
  <si>
    <t>CORESTATE GERMAN RESIDENTIAL LTD</t>
  </si>
  <si>
    <t>PALMER CAPITAL DEVELOPMENT FUND 3</t>
  </si>
  <si>
    <t>PALMER CAPITAL DEVELOPMENT FUND II LP (BUNITS)</t>
  </si>
  <si>
    <t>PALMER CAPITAL DEVELOPMENT FUND II LP (AUNITS)</t>
  </si>
  <si>
    <t>Euro Total</t>
  </si>
  <si>
    <t>Cash and Cash Equivalents</t>
  </si>
  <si>
    <t>0</t>
  </si>
  <si>
    <t>Euro</t>
  </si>
  <si>
    <t xml:space="preserve">USD Total
</t>
  </si>
  <si>
    <t>QUERCUS HEALTHCARE UNIT TRUST MANAGERS</t>
  </si>
  <si>
    <t>British pound sterling Total</t>
  </si>
  <si>
    <t>British pound sterling</t>
  </si>
  <si>
    <t>Swiss franc Total</t>
  </si>
  <si>
    <t>Swiss franc</t>
  </si>
  <si>
    <t>Norwegian krone Total</t>
  </si>
  <si>
    <t>Norwegian krone</t>
  </si>
  <si>
    <t>Czech koruna Total</t>
  </si>
  <si>
    <t>Czech koruna</t>
  </si>
  <si>
    <t>PROLOGIS TARGETED EUROPE LOGISTICS FUND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</si>
</sst>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font>
    <font/>
    <font>
      <b/>
      <sz val="9.0"/>
    </font>
    <font>
      <u/>
      <color rgb="FF0000FF"/>
    </font>
    <font>
      <u/>
      <sz val="10.0"/>
      <color rgb="FF0000FF"/>
    </font>
    <font>
      <sz val="11.0"/>
    </font>
    <font>
      <b/>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0" xfId="0" applyAlignment="1" applyFont="1">
      <alignment/>
    </xf>
    <xf borderId="0" fillId="0" fontId="1" numFmtId="0" xfId="0" applyAlignment="1" applyFont="1">
      <alignment vertical="bottom"/>
    </xf>
    <xf borderId="0" fillId="0" fontId="3" numFmtId="2" xfId="0" applyAlignment="1" applyBorder="1" applyFont="1" applyNumberFormat="1">
      <alignment vertical="bottom"/>
    </xf>
    <xf borderId="0" fillId="0" fontId="1" numFmtId="0" xfId="0" applyAlignment="1" applyFont="1">
      <alignment vertical="bottom"/>
    </xf>
    <xf borderId="0" fillId="0" fontId="3" numFmtId="2" xfId="0" applyAlignment="1" applyFont="1" applyNumberFormat="1">
      <alignment vertical="bottom"/>
    </xf>
    <xf borderId="0" fillId="0" fontId="4" numFmtId="0" xfId="0" applyAlignment="1" applyFont="1">
      <alignment/>
    </xf>
    <xf borderId="0" fillId="0" fontId="3" numFmtId="3" xfId="0" applyAlignment="1" applyBorder="1" applyFont="1" applyNumberFormat="1">
      <alignment vertical="bottom"/>
    </xf>
    <xf borderId="0" fillId="0" fontId="1" numFmtId="3" xfId="0" applyAlignment="1" applyFont="1" applyNumberFormat="1">
      <alignment horizontal="right" vertical="bottom"/>
    </xf>
    <xf borderId="0" fillId="0" fontId="2" numFmtId="0" xfId="0" applyFont="1"/>
    <xf borderId="0" fillId="0" fontId="2" numFmtId="0" xfId="0" applyAlignment="1" applyFont="1">
      <alignmen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0" fontId="2" numFmtId="0" xfId="0" applyAlignment="1" applyFont="1">
      <alignment horizontal="right" vertical="bottom"/>
    </xf>
    <xf borderId="0" fillId="0" fontId="1" numFmtId="0" xfId="0" applyAlignment="1" applyFont="1">
      <alignment vertical="bottom" wrapText="1"/>
    </xf>
    <xf borderId="0" fillId="3" fontId="2" numFmtId="0" xfId="0" applyAlignment="1" applyFill="1" applyFont="1">
      <alignment horizontal="right" vertical="bottom"/>
    </xf>
    <xf borderId="0" fillId="3" fontId="2" numFmtId="0" xfId="0" applyAlignment="1" applyFont="1">
      <alignment vertical="bottom"/>
    </xf>
    <xf borderId="0" fillId="2" fontId="6"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3" fontId="2" numFmtId="0" xfId="0" applyAlignment="1" applyFont="1">
      <alignment horizontal="right" vertical="bottom"/>
    </xf>
    <xf borderId="0" fillId="0" fontId="2" numFmtId="0" xfId="0" applyAlignment="1" applyFont="1">
      <alignment horizontal="right" vertical="bottom"/>
    </xf>
    <xf borderId="0" fillId="0" fontId="7" numFmtId="0" xfId="0" applyAlignment="1" applyFont="1">
      <alignment/>
    </xf>
    <xf borderId="0" fillId="0" fontId="2"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haringey.gov.uk/sites/haringeygovuk/files/final_signed_accounts_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15</v>
      </c>
    </row>
    <row r="13">
      <c r="A13" s="8" t="s">
        <v>17</v>
      </c>
    </row>
    <row r="15">
      <c r="A15" s="2" t="s">
        <v>23</v>
      </c>
    </row>
    <row r="16">
      <c r="A16" s="2" t="s">
        <v>24</v>
      </c>
    </row>
    <row r="17">
      <c r="A17" s="2" t="s">
        <v>25</v>
      </c>
    </row>
    <row r="18">
      <c r="A18" s="2" t="s">
        <v>26</v>
      </c>
    </row>
    <row r="19">
      <c r="A19" s="2" t="s">
        <v>27</v>
      </c>
    </row>
    <row r="20">
      <c r="A20" s="2" t="s">
        <v>28</v>
      </c>
    </row>
    <row r="21">
      <c r="A21" s="2" t="s">
        <v>29</v>
      </c>
    </row>
    <row r="22">
      <c r="A22" s="2" t="s">
        <v>30</v>
      </c>
    </row>
    <row r="23">
      <c r="A23" s="2" t="s">
        <v>31</v>
      </c>
    </row>
    <row r="24">
      <c r="A24" s="2" t="s">
        <v>32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71"/>
    <col customWidth="1" min="2" max="2" width="68.43"/>
    <col customWidth="1" min="3" max="3" width="25.29"/>
    <col customWidth="1" min="4" max="7" width="24.14"/>
    <col customWidth="1" min="8" max="8" width="23.71"/>
  </cols>
  <sheetData>
    <row r="1" ht="24.0" customHeight="1">
      <c r="A1" s="3" t="s">
        <v>1</v>
      </c>
      <c r="B1" s="3" t="s">
        <v>13</v>
      </c>
      <c r="C1" s="3" t="s">
        <v>14</v>
      </c>
      <c r="D1" s="5" t="s">
        <v>16</v>
      </c>
      <c r="E1" s="7" t="s">
        <v>19</v>
      </c>
      <c r="F1" s="7" t="s">
        <v>21</v>
      </c>
      <c r="G1" s="7" t="s">
        <v>22</v>
      </c>
      <c r="H1" s="9" t="s">
        <v>33</v>
      </c>
    </row>
    <row r="2">
      <c r="A2" s="11" t="s">
        <v>34</v>
      </c>
      <c r="B2" s="12" t="s">
        <v>36</v>
      </c>
      <c r="C2" s="12" t="s">
        <v>39</v>
      </c>
      <c r="D2" s="19" t="str">
        <f t="shared" ref="D2:D4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9" t="str">
        <f t="shared" ref="E2:E48"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0" t="str">
        <f t="shared" ref="F2:F51" si="3">IF(OR(NOT(D2="0"),NOT(E2="0")),B2,D2)</f>
        <v>0</v>
      </c>
      <c r="G2" s="21" t="str">
        <f t="shared" ref="G2:G51" si="4">IF(F2="0",F2,H2)</f>
        <v>0</v>
      </c>
      <c r="H2" s="22">
        <v>2.1004671065E8</v>
      </c>
      <c r="I2" s="12" t="s">
        <v>51</v>
      </c>
    </row>
    <row r="3">
      <c r="A3" s="11" t="s">
        <v>34</v>
      </c>
      <c r="B3" s="12" t="s">
        <v>53</v>
      </c>
      <c r="C3" s="12" t="s">
        <v>39</v>
      </c>
      <c r="D3" s="19" t="str">
        <f t="shared" si="1"/>
        <v>0</v>
      </c>
      <c r="E3" s="19" t="str">
        <f t="shared" si="2"/>
        <v>0</v>
      </c>
      <c r="F3" s="20" t="str">
        <f t="shared" si="3"/>
        <v>0</v>
      </c>
      <c r="G3" s="21" t="str">
        <f t="shared" si="4"/>
        <v>0</v>
      </c>
      <c r="H3" s="22">
        <v>1.5176826435E8</v>
      </c>
      <c r="I3" s="12" t="s">
        <v>51</v>
      </c>
    </row>
    <row r="4">
      <c r="A4" s="11" t="s">
        <v>34</v>
      </c>
      <c r="B4" s="12" t="s">
        <v>56</v>
      </c>
      <c r="C4" s="12" t="s">
        <v>57</v>
      </c>
      <c r="D4" s="19" t="str">
        <f t="shared" si="1"/>
        <v>0</v>
      </c>
      <c r="E4" s="19" t="str">
        <f t="shared" si="2"/>
        <v>0</v>
      </c>
      <c r="F4" s="20" t="str">
        <f t="shared" si="3"/>
        <v>0</v>
      </c>
      <c r="G4" s="21" t="str">
        <f t="shared" si="4"/>
        <v>0</v>
      </c>
      <c r="H4" s="22">
        <v>9.947216096E7</v>
      </c>
      <c r="I4" s="12" t="s">
        <v>51</v>
      </c>
    </row>
    <row r="5">
      <c r="A5" s="11" t="s">
        <v>34</v>
      </c>
      <c r="B5" s="12" t="s">
        <v>58</v>
      </c>
      <c r="C5" s="12" t="s">
        <v>39</v>
      </c>
      <c r="D5" s="19" t="str">
        <f t="shared" si="1"/>
        <v>0</v>
      </c>
      <c r="E5" s="19" t="str">
        <f t="shared" si="2"/>
        <v>0</v>
      </c>
      <c r="F5" s="20" t="str">
        <f t="shared" si="3"/>
        <v>0</v>
      </c>
      <c r="G5" s="21" t="str">
        <f t="shared" si="4"/>
        <v>0</v>
      </c>
      <c r="H5" s="22">
        <v>9.309271202E7</v>
      </c>
      <c r="I5" s="12" t="s">
        <v>51</v>
      </c>
    </row>
    <row r="6">
      <c r="A6" s="11" t="s">
        <v>34</v>
      </c>
      <c r="B6" s="12" t="s">
        <v>59</v>
      </c>
      <c r="C6" s="12" t="s">
        <v>39</v>
      </c>
      <c r="D6" s="19" t="str">
        <f t="shared" si="1"/>
        <v>0</v>
      </c>
      <c r="E6" s="19" t="str">
        <f t="shared" si="2"/>
        <v>0</v>
      </c>
      <c r="F6" s="20" t="str">
        <f t="shared" si="3"/>
        <v>0</v>
      </c>
      <c r="G6" s="21" t="str">
        <f t="shared" si="4"/>
        <v>0</v>
      </c>
      <c r="H6" s="22">
        <v>3.966595956E7</v>
      </c>
      <c r="I6" s="12" t="s">
        <v>51</v>
      </c>
    </row>
    <row r="7">
      <c r="A7" s="11" t="s">
        <v>34</v>
      </c>
      <c r="B7" s="12" t="s">
        <v>60</v>
      </c>
      <c r="C7" s="12" t="s">
        <v>39</v>
      </c>
      <c r="D7" s="19" t="str">
        <f t="shared" si="1"/>
        <v>0</v>
      </c>
      <c r="E7" s="19" t="str">
        <f t="shared" si="2"/>
        <v>0</v>
      </c>
      <c r="F7" s="20" t="str">
        <f t="shared" si="3"/>
        <v>0</v>
      </c>
      <c r="G7" s="21" t="str">
        <f t="shared" si="4"/>
        <v>0</v>
      </c>
      <c r="H7" s="22">
        <v>3.785433122E7</v>
      </c>
      <c r="I7" s="12" t="s">
        <v>51</v>
      </c>
    </row>
    <row r="8">
      <c r="A8" s="11" t="s">
        <v>34</v>
      </c>
      <c r="B8" s="12" t="s">
        <v>61</v>
      </c>
      <c r="C8" s="12" t="s">
        <v>39</v>
      </c>
      <c r="D8" s="19" t="str">
        <f t="shared" si="1"/>
        <v>0</v>
      </c>
      <c r="E8" s="19" t="str">
        <f t="shared" si="2"/>
        <v>0</v>
      </c>
      <c r="F8" s="20" t="str">
        <f t="shared" si="3"/>
        <v>0</v>
      </c>
      <c r="G8" s="21" t="str">
        <f t="shared" si="4"/>
        <v>0</v>
      </c>
      <c r="H8" s="22">
        <v>3.324950319E7</v>
      </c>
      <c r="I8" s="12" t="s">
        <v>51</v>
      </c>
    </row>
    <row r="9">
      <c r="A9" s="11" t="s">
        <v>34</v>
      </c>
      <c r="B9" s="12" t="s">
        <v>62</v>
      </c>
      <c r="C9" s="12" t="s">
        <v>39</v>
      </c>
      <c r="D9" s="19" t="str">
        <f t="shared" si="1"/>
        <v>0</v>
      </c>
      <c r="E9" s="19" t="str">
        <f t="shared" si="2"/>
        <v>0</v>
      </c>
      <c r="F9" s="20" t="str">
        <f t="shared" si="3"/>
        <v>0</v>
      </c>
      <c r="G9" s="21" t="str">
        <f t="shared" si="4"/>
        <v>0</v>
      </c>
      <c r="H9" s="22">
        <v>2.564489558E7</v>
      </c>
      <c r="I9" s="12" t="s">
        <v>51</v>
      </c>
    </row>
    <row r="10">
      <c r="A10" s="11" t="s">
        <v>34</v>
      </c>
      <c r="B10" s="12" t="s">
        <v>63</v>
      </c>
      <c r="C10" s="12" t="s">
        <v>57</v>
      </c>
      <c r="D10" s="19" t="str">
        <f t="shared" si="1"/>
        <v>0</v>
      </c>
      <c r="E10" s="19" t="str">
        <f t="shared" si="2"/>
        <v>0</v>
      </c>
      <c r="F10" s="20" t="str">
        <f t="shared" si="3"/>
        <v>0</v>
      </c>
      <c r="G10" s="21" t="str">
        <f t="shared" si="4"/>
        <v>0</v>
      </c>
      <c r="H10" s="22">
        <v>2.41349981E7</v>
      </c>
      <c r="I10" s="12" t="s">
        <v>51</v>
      </c>
    </row>
    <row r="11">
      <c r="A11" s="11" t="s">
        <v>34</v>
      </c>
      <c r="B11" s="12" t="s">
        <v>64</v>
      </c>
      <c r="C11" s="12" t="s">
        <v>39</v>
      </c>
      <c r="D11" s="19" t="str">
        <f t="shared" si="1"/>
        <v>0</v>
      </c>
      <c r="E11" s="19" t="str">
        <f t="shared" si="2"/>
        <v>0</v>
      </c>
      <c r="F11" s="20" t="str">
        <f t="shared" si="3"/>
        <v>0</v>
      </c>
      <c r="G11" s="21" t="str">
        <f t="shared" si="4"/>
        <v>0</v>
      </c>
      <c r="H11" s="22">
        <v>2.350704843E7</v>
      </c>
      <c r="I11" s="12" t="s">
        <v>51</v>
      </c>
    </row>
    <row r="12">
      <c r="A12" s="11" t="s">
        <v>34</v>
      </c>
      <c r="B12" s="12" t="s">
        <v>65</v>
      </c>
      <c r="C12" s="12" t="s">
        <v>66</v>
      </c>
      <c r="D12" s="19" t="str">
        <f t="shared" si="1"/>
        <v>0</v>
      </c>
      <c r="E12" s="19" t="str">
        <f t="shared" si="2"/>
        <v>0</v>
      </c>
      <c r="F12" s="20" t="str">
        <f t="shared" si="3"/>
        <v>0</v>
      </c>
      <c r="G12" s="21" t="str">
        <f t="shared" si="4"/>
        <v>0</v>
      </c>
      <c r="H12" s="24">
        <v>1.764915829E7</v>
      </c>
      <c r="I12" s="25" t="s">
        <v>67</v>
      </c>
    </row>
    <row r="13">
      <c r="A13" s="11" t="s">
        <v>34</v>
      </c>
      <c r="B13" s="12" t="s">
        <v>68</v>
      </c>
      <c r="C13" s="12" t="s">
        <v>39</v>
      </c>
      <c r="D13" s="19" t="str">
        <f t="shared" si="1"/>
        <v>0</v>
      </c>
      <c r="E13" s="19" t="str">
        <f t="shared" si="2"/>
        <v>0</v>
      </c>
      <c r="F13" s="20" t="str">
        <f t="shared" si="3"/>
        <v>0</v>
      </c>
      <c r="G13" s="21" t="str">
        <f t="shared" si="4"/>
        <v>0</v>
      </c>
      <c r="H13" s="22">
        <v>1.751302167E7</v>
      </c>
      <c r="I13" s="12" t="s">
        <v>51</v>
      </c>
    </row>
    <row r="14">
      <c r="A14" s="11" t="s">
        <v>34</v>
      </c>
      <c r="B14" s="12" t="s">
        <v>69</v>
      </c>
      <c r="C14" s="12" t="s">
        <v>39</v>
      </c>
      <c r="D14" s="19" t="str">
        <f t="shared" si="1"/>
        <v>0</v>
      </c>
      <c r="E14" s="19" t="str">
        <f t="shared" si="2"/>
        <v>0</v>
      </c>
      <c r="F14" s="20" t="str">
        <f t="shared" si="3"/>
        <v>0</v>
      </c>
      <c r="G14" s="21" t="str">
        <f t="shared" si="4"/>
        <v>0</v>
      </c>
      <c r="H14" s="22">
        <v>1.713034619E7</v>
      </c>
      <c r="I14" s="12" t="s">
        <v>51</v>
      </c>
    </row>
    <row r="15">
      <c r="A15" s="11" t="s">
        <v>34</v>
      </c>
      <c r="B15" s="12" t="s">
        <v>70</v>
      </c>
      <c r="C15" s="12" t="s">
        <v>39</v>
      </c>
      <c r="D15" s="19" t="str">
        <f t="shared" si="1"/>
        <v>0</v>
      </c>
      <c r="E15" s="19" t="str">
        <f t="shared" si="2"/>
        <v>0</v>
      </c>
      <c r="F15" s="20" t="str">
        <f t="shared" si="3"/>
        <v>0</v>
      </c>
      <c r="G15" s="21" t="str">
        <f t="shared" si="4"/>
        <v>0</v>
      </c>
      <c r="H15" s="22">
        <v>1.516676655E7</v>
      </c>
      <c r="I15" s="12" t="s">
        <v>51</v>
      </c>
    </row>
    <row r="16">
      <c r="A16" s="11" t="s">
        <v>34</v>
      </c>
      <c r="B16" s="12" t="s">
        <v>71</v>
      </c>
      <c r="C16" s="12" t="s">
        <v>66</v>
      </c>
      <c r="D16" s="19" t="str">
        <f t="shared" si="1"/>
        <v>0</v>
      </c>
      <c r="E16" s="19" t="str">
        <f t="shared" si="2"/>
        <v>0</v>
      </c>
      <c r="F16" s="20" t="str">
        <f t="shared" si="3"/>
        <v>0</v>
      </c>
      <c r="G16" s="21" t="str">
        <f t="shared" si="4"/>
        <v>0</v>
      </c>
      <c r="H16" s="24">
        <v>1.357287947E7</v>
      </c>
      <c r="I16" s="25" t="s">
        <v>72</v>
      </c>
    </row>
    <row r="17">
      <c r="A17" s="11" t="s">
        <v>34</v>
      </c>
      <c r="B17" s="12" t="s">
        <v>73</v>
      </c>
      <c r="C17" s="12" t="s">
        <v>74</v>
      </c>
      <c r="D17" s="19" t="str">
        <f t="shared" si="1"/>
        <v>0</v>
      </c>
      <c r="E17" s="19" t="str">
        <f t="shared" si="2"/>
        <v>0</v>
      </c>
      <c r="F17" s="20" t="str">
        <f t="shared" si="3"/>
        <v>0</v>
      </c>
      <c r="G17" s="21" t="str">
        <f t="shared" si="4"/>
        <v>0</v>
      </c>
      <c r="H17" s="22">
        <v>7918730.0</v>
      </c>
      <c r="I17" s="12" t="s">
        <v>51</v>
      </c>
    </row>
    <row r="18">
      <c r="A18" s="11" t="s">
        <v>34</v>
      </c>
      <c r="B18" s="12" t="s">
        <v>75</v>
      </c>
      <c r="C18" s="12" t="s">
        <v>74</v>
      </c>
      <c r="D18" s="19" t="str">
        <f t="shared" si="1"/>
        <v>0</v>
      </c>
      <c r="E18" s="19" t="str">
        <f t="shared" si="2"/>
        <v>0</v>
      </c>
      <c r="F18" s="20" t="str">
        <f t="shared" si="3"/>
        <v>0</v>
      </c>
      <c r="G18" s="21" t="str">
        <f t="shared" si="4"/>
        <v>0</v>
      </c>
      <c r="H18" s="22">
        <v>6823362.05</v>
      </c>
      <c r="I18" s="12" t="s">
        <v>51</v>
      </c>
    </row>
    <row r="19">
      <c r="A19" s="11" t="s">
        <v>34</v>
      </c>
      <c r="B19" s="12" t="s">
        <v>76</v>
      </c>
      <c r="C19" s="12" t="s">
        <v>74</v>
      </c>
      <c r="D19" s="19" t="str">
        <f t="shared" si="1"/>
        <v>0</v>
      </c>
      <c r="E19" s="19" t="str">
        <f t="shared" si="2"/>
        <v>0</v>
      </c>
      <c r="F19" s="20" t="str">
        <f t="shared" si="3"/>
        <v>0</v>
      </c>
      <c r="G19" s="21" t="str">
        <f t="shared" si="4"/>
        <v>0</v>
      </c>
      <c r="H19" s="22">
        <v>6805374.25</v>
      </c>
      <c r="I19" s="12" t="s">
        <v>51</v>
      </c>
    </row>
    <row r="20">
      <c r="A20" s="11" t="s">
        <v>34</v>
      </c>
      <c r="B20" s="12" t="s">
        <v>77</v>
      </c>
      <c r="C20" s="12" t="s">
        <v>74</v>
      </c>
      <c r="D20" s="19" t="str">
        <f t="shared" si="1"/>
        <v>0</v>
      </c>
      <c r="E20" s="19" t="str">
        <f t="shared" si="2"/>
        <v>0</v>
      </c>
      <c r="F20" s="20" t="str">
        <f t="shared" si="3"/>
        <v>0</v>
      </c>
      <c r="G20" s="21" t="str">
        <f t="shared" si="4"/>
        <v>0</v>
      </c>
      <c r="H20" s="22">
        <v>5659950.0</v>
      </c>
      <c r="I20" s="12" t="s">
        <v>51</v>
      </c>
    </row>
    <row r="21">
      <c r="A21" s="11" t="s">
        <v>34</v>
      </c>
      <c r="B21" s="12" t="s">
        <v>78</v>
      </c>
      <c r="C21" s="12" t="s">
        <v>39</v>
      </c>
      <c r="D21" s="19" t="str">
        <f t="shared" si="1"/>
        <v>0</v>
      </c>
      <c r="E21" s="19" t="str">
        <f t="shared" si="2"/>
        <v>0</v>
      </c>
      <c r="F21" s="20" t="str">
        <f t="shared" si="3"/>
        <v>0</v>
      </c>
      <c r="G21" s="21" t="str">
        <f t="shared" si="4"/>
        <v>0</v>
      </c>
      <c r="H21" s="22">
        <v>5253869.57</v>
      </c>
      <c r="I21" s="12" t="s">
        <v>51</v>
      </c>
    </row>
    <row r="22">
      <c r="A22" s="11" t="s">
        <v>34</v>
      </c>
      <c r="B22" s="12" t="s">
        <v>79</v>
      </c>
      <c r="C22" s="12" t="s">
        <v>74</v>
      </c>
      <c r="D22" s="19" t="str">
        <f t="shared" si="1"/>
        <v>0</v>
      </c>
      <c r="E22" s="19" t="str">
        <f t="shared" si="2"/>
        <v>0</v>
      </c>
      <c r="F22" s="20" t="str">
        <f t="shared" si="3"/>
        <v>0</v>
      </c>
      <c r="G22" s="21" t="str">
        <f t="shared" si="4"/>
        <v>0</v>
      </c>
      <c r="H22" s="22">
        <v>4821335.0</v>
      </c>
      <c r="I22" s="12" t="s">
        <v>51</v>
      </c>
    </row>
    <row r="23">
      <c r="A23" s="11" t="s">
        <v>34</v>
      </c>
      <c r="B23" s="12" t="s">
        <v>80</v>
      </c>
      <c r="C23" s="12" t="s">
        <v>74</v>
      </c>
      <c r="D23" s="19" t="str">
        <f t="shared" si="1"/>
        <v>0</v>
      </c>
      <c r="E23" s="19" t="str">
        <f t="shared" si="2"/>
        <v>0</v>
      </c>
      <c r="F23" s="20" t="str">
        <f t="shared" si="3"/>
        <v>0</v>
      </c>
      <c r="G23" s="21" t="str">
        <f t="shared" si="4"/>
        <v>0</v>
      </c>
      <c r="H23" s="22">
        <v>4456464.0</v>
      </c>
      <c r="I23" s="12" t="s">
        <v>51</v>
      </c>
    </row>
    <row r="24">
      <c r="A24" s="11" t="s">
        <v>34</v>
      </c>
      <c r="B24" s="12" t="s">
        <v>81</v>
      </c>
      <c r="C24" s="12" t="s">
        <v>74</v>
      </c>
      <c r="D24" s="19" t="str">
        <f t="shared" si="1"/>
        <v>0</v>
      </c>
      <c r="E24" s="19" t="str">
        <f t="shared" si="2"/>
        <v>0</v>
      </c>
      <c r="F24" s="20" t="str">
        <f t="shared" si="3"/>
        <v>0</v>
      </c>
      <c r="G24" s="21" t="str">
        <f t="shared" si="4"/>
        <v>0</v>
      </c>
      <c r="H24" s="22">
        <v>4423055.12</v>
      </c>
      <c r="I24" s="12" t="s">
        <v>51</v>
      </c>
    </row>
    <row r="25">
      <c r="A25" s="11" t="s">
        <v>34</v>
      </c>
      <c r="B25" s="12" t="s">
        <v>82</v>
      </c>
      <c r="C25" s="12" t="s">
        <v>74</v>
      </c>
      <c r="D25" s="19" t="str">
        <f t="shared" si="1"/>
        <v>0</v>
      </c>
      <c r="E25" s="19" t="str">
        <f t="shared" si="2"/>
        <v>0</v>
      </c>
      <c r="F25" s="20" t="str">
        <f t="shared" si="3"/>
        <v>0</v>
      </c>
      <c r="G25" s="21" t="str">
        <f t="shared" si="4"/>
        <v>0</v>
      </c>
      <c r="H25" s="22">
        <v>4000000.0</v>
      </c>
      <c r="I25" s="12" t="s">
        <v>51</v>
      </c>
    </row>
    <row r="26">
      <c r="A26" s="11" t="s">
        <v>34</v>
      </c>
      <c r="B26" s="12" t="s">
        <v>83</v>
      </c>
      <c r="C26" s="12" t="s">
        <v>74</v>
      </c>
      <c r="D26" s="19" t="str">
        <f t="shared" si="1"/>
        <v>0</v>
      </c>
      <c r="E26" s="19" t="str">
        <f t="shared" si="2"/>
        <v>0</v>
      </c>
      <c r="F26" s="20" t="str">
        <f t="shared" si="3"/>
        <v>0</v>
      </c>
      <c r="G26" s="21" t="str">
        <f t="shared" si="4"/>
        <v>0</v>
      </c>
      <c r="H26" s="22">
        <v>3859404.67</v>
      </c>
      <c r="I26" s="12" t="s">
        <v>51</v>
      </c>
    </row>
    <row r="27">
      <c r="A27" s="11" t="s">
        <v>34</v>
      </c>
      <c r="B27" s="12" t="s">
        <v>84</v>
      </c>
      <c r="C27" s="12" t="s">
        <v>66</v>
      </c>
      <c r="D27" s="19" t="str">
        <f t="shared" si="1"/>
        <v>0</v>
      </c>
      <c r="E27" s="19" t="str">
        <f t="shared" si="2"/>
        <v>0</v>
      </c>
      <c r="F27" s="20" t="str">
        <f t="shared" si="3"/>
        <v>0</v>
      </c>
      <c r="G27" s="21" t="str">
        <f t="shared" si="4"/>
        <v>0</v>
      </c>
      <c r="H27" s="24">
        <v>3657410.09</v>
      </c>
      <c r="I27" s="25" t="s">
        <v>67</v>
      </c>
    </row>
    <row r="28">
      <c r="A28" s="11" t="s">
        <v>34</v>
      </c>
      <c r="B28" s="12" t="s">
        <v>85</v>
      </c>
      <c r="C28" s="12" t="s">
        <v>74</v>
      </c>
      <c r="D28" s="19" t="str">
        <f t="shared" si="1"/>
        <v>0</v>
      </c>
      <c r="E28" s="19" t="str">
        <f t="shared" si="2"/>
        <v>0</v>
      </c>
      <c r="F28" s="20" t="str">
        <f t="shared" si="3"/>
        <v>0</v>
      </c>
      <c r="G28" s="21" t="str">
        <f t="shared" si="4"/>
        <v>0</v>
      </c>
      <c r="H28" s="22">
        <v>3484294.0</v>
      </c>
      <c r="I28" s="12" t="s">
        <v>51</v>
      </c>
    </row>
    <row r="29">
      <c r="A29" s="11" t="s">
        <v>34</v>
      </c>
      <c r="B29" s="12" t="s">
        <v>86</v>
      </c>
      <c r="C29" s="12" t="s">
        <v>74</v>
      </c>
      <c r="D29" s="19" t="str">
        <f t="shared" si="1"/>
        <v>0</v>
      </c>
      <c r="E29" s="19" t="str">
        <f t="shared" si="2"/>
        <v>0</v>
      </c>
      <c r="F29" s="20" t="str">
        <f t="shared" si="3"/>
        <v>0</v>
      </c>
      <c r="G29" s="21" t="str">
        <f t="shared" si="4"/>
        <v>0</v>
      </c>
      <c r="H29" s="22">
        <v>3210162.62</v>
      </c>
      <c r="I29" s="12" t="s">
        <v>51</v>
      </c>
    </row>
    <row r="30">
      <c r="A30" s="11" t="s">
        <v>34</v>
      </c>
      <c r="B30" s="12" t="s">
        <v>87</v>
      </c>
      <c r="C30" s="12" t="s">
        <v>74</v>
      </c>
      <c r="D30" s="19" t="str">
        <f t="shared" si="1"/>
        <v>0</v>
      </c>
      <c r="E30" s="19" t="str">
        <f t="shared" si="2"/>
        <v>0</v>
      </c>
      <c r="F30" s="20" t="str">
        <f t="shared" si="3"/>
        <v>0</v>
      </c>
      <c r="G30" s="21" t="str">
        <f t="shared" si="4"/>
        <v>0</v>
      </c>
      <c r="H30" s="22">
        <v>3189966.32</v>
      </c>
      <c r="I30" s="12" t="s">
        <v>51</v>
      </c>
    </row>
    <row r="31">
      <c r="A31" s="11" t="s">
        <v>34</v>
      </c>
      <c r="B31" s="12" t="s">
        <v>88</v>
      </c>
      <c r="C31" s="12" t="s">
        <v>74</v>
      </c>
      <c r="D31" s="19" t="str">
        <f t="shared" si="1"/>
        <v>0</v>
      </c>
      <c r="E31" s="19" t="str">
        <f t="shared" si="2"/>
        <v>0</v>
      </c>
      <c r="F31" s="20" t="str">
        <f t="shared" si="3"/>
        <v>0</v>
      </c>
      <c r="G31" s="21" t="str">
        <f t="shared" si="4"/>
        <v>0</v>
      </c>
      <c r="H31" s="22">
        <v>2975647.74</v>
      </c>
      <c r="I31" s="12" t="s">
        <v>51</v>
      </c>
    </row>
    <row r="32">
      <c r="A32" s="11" t="s">
        <v>34</v>
      </c>
      <c r="B32" s="12" t="s">
        <v>89</v>
      </c>
      <c r="C32" s="12" t="s">
        <v>74</v>
      </c>
      <c r="D32" s="19" t="str">
        <f t="shared" si="1"/>
        <v>0</v>
      </c>
      <c r="E32" s="19" t="str">
        <f t="shared" si="2"/>
        <v>0</v>
      </c>
      <c r="F32" s="20" t="str">
        <f t="shared" si="3"/>
        <v>0</v>
      </c>
      <c r="G32" s="21" t="str">
        <f t="shared" si="4"/>
        <v>0</v>
      </c>
      <c r="H32" s="22">
        <v>2814636.95</v>
      </c>
      <c r="I32" s="12" t="s">
        <v>51</v>
      </c>
    </row>
    <row r="33">
      <c r="A33" s="11" t="s">
        <v>34</v>
      </c>
      <c r="B33" s="12" t="s">
        <v>90</v>
      </c>
      <c r="C33" s="12" t="s">
        <v>74</v>
      </c>
      <c r="D33" s="19" t="str">
        <f t="shared" si="1"/>
        <v>0</v>
      </c>
      <c r="E33" s="19" t="str">
        <f t="shared" si="2"/>
        <v>0</v>
      </c>
      <c r="F33" s="20" t="str">
        <f t="shared" si="3"/>
        <v>0</v>
      </c>
      <c r="G33" s="21" t="str">
        <f t="shared" si="4"/>
        <v>0</v>
      </c>
      <c r="H33" s="22">
        <v>2515841.9</v>
      </c>
      <c r="I33" s="12" t="s">
        <v>51</v>
      </c>
    </row>
    <row r="34">
      <c r="A34" s="11" t="s">
        <v>34</v>
      </c>
      <c r="B34" s="12" t="s">
        <v>91</v>
      </c>
      <c r="C34" s="12" t="s">
        <v>74</v>
      </c>
      <c r="D34" s="19" t="str">
        <f t="shared" si="1"/>
        <v>0</v>
      </c>
      <c r="E34" s="19" t="str">
        <f t="shared" si="2"/>
        <v>0</v>
      </c>
      <c r="F34" s="20" t="str">
        <f t="shared" si="3"/>
        <v>0</v>
      </c>
      <c r="G34" s="21" t="str">
        <f t="shared" si="4"/>
        <v>0</v>
      </c>
      <c r="H34" s="22">
        <v>2159629.72</v>
      </c>
      <c r="I34" s="12" t="s">
        <v>51</v>
      </c>
    </row>
    <row r="35">
      <c r="A35" s="11" t="s">
        <v>34</v>
      </c>
      <c r="B35" s="12" t="s">
        <v>92</v>
      </c>
      <c r="C35" s="12" t="s">
        <v>74</v>
      </c>
      <c r="D35" s="19" t="str">
        <f t="shared" si="1"/>
        <v>0</v>
      </c>
      <c r="E35" s="19" t="str">
        <f t="shared" si="2"/>
        <v>0</v>
      </c>
      <c r="F35" s="20" t="str">
        <f t="shared" si="3"/>
        <v>0</v>
      </c>
      <c r="G35" s="21" t="str">
        <f t="shared" si="4"/>
        <v>0</v>
      </c>
      <c r="H35" s="22">
        <v>1821002.18</v>
      </c>
      <c r="I35" s="12" t="s">
        <v>51</v>
      </c>
    </row>
    <row r="36">
      <c r="A36" s="11" t="s">
        <v>34</v>
      </c>
      <c r="B36" s="12" t="s">
        <v>93</v>
      </c>
      <c r="C36" s="12" t="s">
        <v>74</v>
      </c>
      <c r="D36" s="19" t="str">
        <f t="shared" si="1"/>
        <v>0</v>
      </c>
      <c r="E36" s="19" t="str">
        <f t="shared" si="2"/>
        <v>0</v>
      </c>
      <c r="F36" s="20" t="str">
        <f t="shared" si="3"/>
        <v>0</v>
      </c>
      <c r="G36" s="21" t="str">
        <f t="shared" si="4"/>
        <v>0</v>
      </c>
      <c r="H36" s="22">
        <v>1678536.99</v>
      </c>
      <c r="I36" s="12" t="s">
        <v>51</v>
      </c>
    </row>
    <row r="37">
      <c r="A37" s="11" t="s">
        <v>34</v>
      </c>
      <c r="B37" s="12" t="s">
        <v>94</v>
      </c>
      <c r="C37" s="12" t="s">
        <v>74</v>
      </c>
      <c r="D37" s="19" t="str">
        <f t="shared" si="1"/>
        <v>0</v>
      </c>
      <c r="E37" s="19" t="str">
        <f t="shared" si="2"/>
        <v>0</v>
      </c>
      <c r="F37" s="20" t="str">
        <f t="shared" si="3"/>
        <v>0</v>
      </c>
      <c r="G37" s="21" t="str">
        <f t="shared" si="4"/>
        <v>0</v>
      </c>
      <c r="H37" s="22">
        <v>1446263.0</v>
      </c>
      <c r="I37" s="12" t="s">
        <v>51</v>
      </c>
    </row>
    <row r="38">
      <c r="A38" s="11" t="s">
        <v>34</v>
      </c>
      <c r="B38" s="12" t="s">
        <v>95</v>
      </c>
      <c r="C38" s="12" t="s">
        <v>74</v>
      </c>
      <c r="D38" s="19" t="str">
        <f t="shared" si="1"/>
        <v>0</v>
      </c>
      <c r="E38" s="19" t="str">
        <f t="shared" si="2"/>
        <v>0</v>
      </c>
      <c r="F38" s="20" t="str">
        <f t="shared" si="3"/>
        <v>0</v>
      </c>
      <c r="G38" s="21" t="str">
        <f t="shared" si="4"/>
        <v>0</v>
      </c>
      <c r="H38" s="24">
        <v>1155247.07</v>
      </c>
      <c r="I38" s="25" t="s">
        <v>72</v>
      </c>
    </row>
    <row r="39">
      <c r="A39" s="11" t="s">
        <v>34</v>
      </c>
      <c r="B39" s="12" t="s">
        <v>96</v>
      </c>
      <c r="C39" s="12" t="s">
        <v>74</v>
      </c>
      <c r="D39" s="19" t="str">
        <f t="shared" si="1"/>
        <v>0</v>
      </c>
      <c r="E39" s="19" t="str">
        <f t="shared" si="2"/>
        <v>0</v>
      </c>
      <c r="F39" s="20" t="str">
        <f t="shared" si="3"/>
        <v>0</v>
      </c>
      <c r="G39" s="21" t="str">
        <f t="shared" si="4"/>
        <v>0</v>
      </c>
      <c r="H39" s="22">
        <v>1143649.08</v>
      </c>
      <c r="I39" s="12" t="s">
        <v>51</v>
      </c>
    </row>
    <row r="40">
      <c r="A40" s="11" t="s">
        <v>34</v>
      </c>
      <c r="B40" s="12" t="s">
        <v>97</v>
      </c>
      <c r="C40" s="12" t="s">
        <v>74</v>
      </c>
      <c r="D40" s="19" t="str">
        <f t="shared" si="1"/>
        <v>0</v>
      </c>
      <c r="E40" s="19" t="str">
        <f t="shared" si="2"/>
        <v>0</v>
      </c>
      <c r="F40" s="20" t="str">
        <f t="shared" si="3"/>
        <v>0</v>
      </c>
      <c r="G40" s="21" t="str">
        <f t="shared" si="4"/>
        <v>0</v>
      </c>
      <c r="H40" s="24">
        <v>841593.37</v>
      </c>
      <c r="I40" s="25" t="s">
        <v>72</v>
      </c>
    </row>
    <row r="41">
      <c r="A41" s="11" t="s">
        <v>34</v>
      </c>
      <c r="B41" s="12" t="s">
        <v>98</v>
      </c>
      <c r="C41" s="12" t="s">
        <v>39</v>
      </c>
      <c r="D41" s="19" t="str">
        <f t="shared" si="1"/>
        <v>0</v>
      </c>
      <c r="E41" s="19" t="str">
        <f t="shared" si="2"/>
        <v>0</v>
      </c>
      <c r="F41" s="20" t="str">
        <f t="shared" si="3"/>
        <v>0</v>
      </c>
      <c r="G41" s="21" t="str">
        <f t="shared" si="4"/>
        <v>0</v>
      </c>
      <c r="H41" s="22">
        <v>804286.26</v>
      </c>
      <c r="I41" s="12" t="s">
        <v>51</v>
      </c>
    </row>
    <row r="42">
      <c r="A42" s="11" t="s">
        <v>34</v>
      </c>
      <c r="B42" s="12" t="s">
        <v>99</v>
      </c>
      <c r="C42" s="12" t="s">
        <v>74</v>
      </c>
      <c r="D42" s="26" t="str">
        <f t="shared" si="1"/>
        <v>0</v>
      </c>
      <c r="E42" s="19" t="str">
        <f t="shared" si="2"/>
        <v>0</v>
      </c>
      <c r="F42" s="26" t="str">
        <f t="shared" si="3"/>
        <v>0</v>
      </c>
      <c r="G42" s="21" t="str">
        <f t="shared" si="4"/>
        <v>0</v>
      </c>
      <c r="H42" s="22">
        <v>724737.48</v>
      </c>
      <c r="I42" s="12" t="s">
        <v>51</v>
      </c>
    </row>
    <row r="43">
      <c r="A43" s="11" t="s">
        <v>34</v>
      </c>
      <c r="B43" s="12" t="s">
        <v>100</v>
      </c>
      <c r="C43" s="12" t="s">
        <v>74</v>
      </c>
      <c r="D43" s="26" t="str">
        <f t="shared" si="1"/>
        <v>0</v>
      </c>
      <c r="E43" s="19" t="str">
        <f t="shared" si="2"/>
        <v>0</v>
      </c>
      <c r="F43" s="26" t="str">
        <f t="shared" si="3"/>
        <v>0</v>
      </c>
      <c r="G43" s="21" t="str">
        <f t="shared" si="4"/>
        <v>0</v>
      </c>
      <c r="H43" s="22">
        <v>622431.88</v>
      </c>
      <c r="I43" s="12" t="s">
        <v>51</v>
      </c>
    </row>
    <row r="44">
      <c r="A44" s="11" t="s">
        <v>34</v>
      </c>
      <c r="B44" s="27" t="s">
        <v>101</v>
      </c>
      <c r="C44" s="12" t="s">
        <v>102</v>
      </c>
      <c r="D44" s="28" t="s">
        <v>103</v>
      </c>
      <c r="E44" s="19" t="str">
        <f t="shared" si="2"/>
        <v>0</v>
      </c>
      <c r="F44" s="26" t="str">
        <f t="shared" si="3"/>
        <v>0</v>
      </c>
      <c r="G44" s="21" t="str">
        <f t="shared" si="4"/>
        <v>0</v>
      </c>
      <c r="H44" s="29">
        <v>607956.62</v>
      </c>
      <c r="I44" s="12" t="s">
        <v>104</v>
      </c>
    </row>
    <row r="45">
      <c r="A45" s="11" t="s">
        <v>34</v>
      </c>
      <c r="B45" s="27" t="s">
        <v>105</v>
      </c>
      <c r="C45" s="27" t="s">
        <v>102</v>
      </c>
      <c r="D45" s="28" t="s">
        <v>103</v>
      </c>
      <c r="E45" s="19" t="str">
        <f t="shared" si="2"/>
        <v>0</v>
      </c>
      <c r="F45" s="26" t="str">
        <f t="shared" si="3"/>
        <v>0</v>
      </c>
      <c r="G45" s="21" t="str">
        <f t="shared" si="4"/>
        <v>0</v>
      </c>
      <c r="H45" s="29">
        <v>555547.0</v>
      </c>
      <c r="I45" s="29" t="s">
        <v>67</v>
      </c>
    </row>
    <row r="46">
      <c r="A46" s="11" t="s">
        <v>34</v>
      </c>
      <c r="B46" s="12" t="s">
        <v>106</v>
      </c>
      <c r="C46" s="12" t="s">
        <v>74</v>
      </c>
      <c r="D46" s="26" t="str">
        <f>if(and(or(B46="bp", ISNUMBER(SEARCH("BP ",B46))),NOT(ISNUMBER(SEARCH("?BP",B46)))), "BP", IF(AND(ISNUMBER(SEARCH("Shell",B46)),NOT(ISNUMBER(SEARCH("Shell Sek",B46)))),"Shell", IF(ISNUMBER(SEARCH("Gazprom",B46)),"Gazprom",IF(ISNUMBER(SEARCH("Rosneft",B46)),"Rosneft",IF(ISNUMBER(SEARCH("Exxon",B46)),"Exxon",IF(ISNUMBER(SEARCH("Lukoil",B46)),"Lukoil",IF(ISNUMBER(SEARCH("Petrochina",B46)),"Petrochina",IF(ISNUMBER(SEARCH("Lukoil",B46)),"Lukoil",IF(ISNUMBER(SEARCH("Petrobras",B46)),"Petrobras",IF(ISNUMBER(SEARCH("Chevron",B46)),"Chevron",IF(ISNUMBER(SEARCH("Novatek",B46)),"Novatek", 
IF(AND(ISNUMBER(SEARCH("Total",B46)),NOT(OR(ISNUMBER(SEARCH("Total Re",B46)),ISNUMBER(SEARCH("Total Sys",B46))))),"Total",IF(ISNUMBER(SEARCH("ConocoPhillips",B46)),"ConocoPhillips", IF(ISNUMBER(SEARCH("Tatneft",B46)),"Tatneft", IF(ISNUMBER(SEARCH("ONGC",B46)),"ONGC", 
IF(AND(ISNUMBER(SEARCH("ENI",B46)),NOT(ISNUMBER(SEARCH("?ENI",B46)))),"ENI", IF(ISNUMBER(SEARCH("Statoil ",B46)),"Statoil ", IF(ISNUMBER(SEARCH("Sinopec",B46)),"Sinopec", IF(ISNUMBER(SEARCH("CNOOC ",B46)),"CNOOC ", IF(ISNUMBER(SEARCH("Occidental",B46)),"Occidental", IF(ISNUMBER(SEARCH("BG Group",B46)),"BG Group",IF(ISNUMBER(SEARCH("Canadian Natural Resources ",B46)),"Canadian Natural Resources ",IF(ISNUMBER(SEARCH("Anadarko Petroleum ",B46)),"Anadarko Petroleum ",IF(ISNUMBER(SEARCH("Apache ",B46)),"Apache ",IF(ISNUMBER(SEARCH("Chesapeake Energy ",B46)),"Chesapeake Energy ",IF(ISNUMBER(SEARCH("Inpex ",B46)),"Inpex ",IF(ISNUMBER(SEARCH("Bashneft",B46)),"Bashneft",IF(ISNUMBER(SEARCH("Devon Energy ",B46)),"Devon Energy ",IF(ISNUMBER(SEARCH("BHP Billiton",B46)),"BHP Billiton",IF(ISNUMBER(SEARCH("Repsol",B46)),"Repsol",IF(ISNUMBER(SEARCH("Ecopetrol",B46)),"Ecopetrol",IF(ISNUMBER(SEARCH("EOG Resources",B46)),"EOG Resources",IF(ISNUMBER(SEARCH("Suncor Energy ",B46)),"Suncor Energy ",IF(ISNUMBER(SEARCH("Marathon Oil ",B46)),"Marathon Oil ",IF(ISNUMBER(SEARCH("Hess ",B46)),"Hess ",IF(ISNUMBER(SEARCH("Imperial Oil ",B46)),"Imperial Oil ",IF(ISNUMBER(SEARCH("Encana ",B46)),"Encana ",IF(ISNUMBER(SEARCH("Noble Energy",B46)),"Noble Energy",IF(ISNUMBER(SEARCH("BASF",B46)),"BASF",IF(ISNUMBER(SEARCH("EQT ",B46)),"EQT ",IF(AND(ISNUMBER(SEARCH("Range Resources",B46)),NOT(ISNUMBER(SEARCH("?Range Resources",B46)))),"Range Resources",IF(ISNUMBER(SEARCH("Continental Resources",B46)),"Continental Resources",IF(ISNUMBER(SEARCH("OMV",B46)),"OMV",IF(ISNUMBER(SEARCH("Antero Resources",B46)),"Antero Resources",IF(ISNUMBER(SEARCH("KazMunaiGas EP",B46)),"KazMunaiGas EP",IF(ISNUMBER(SEARCH("YPF ",B46)),"YPF ",IF(ISNUMBER(SEARCH("Southwestern Energy ",B46)),"Southwestern Energy ",IF(ISNUMBER(SEARCH("Cenovus Energy ",B46)),"Cenovus Energy ",IF(ISNUMBER(SEARCH("Linn Energy",B46)),"Linn Energy",IF(ISNUMBER(SEARCH("Woodside Petroleum",B46)),"Woodside Petroleum",IF(ISNUMBER(SEARCH("Husky Energy ",B46)),"Husky Energy ", IF(ISNUMBER(SEARCH("PTT ",B46)),"PTT ",IF(ISNUMBER(SEARCH("Consol Energy ",B46)),"Consol Energy ",IF(ISNUMBER(SEARCH("Pioneer Natural Resources ",B46)),"Pioneer Natural Resources ",IF(ISNUMBER(SEARCH("Cabot Oil &amp; Gas ",B46)),"Cabot Oil &amp; Gas ",IF(ISNUMBER(SEARCH("WPX Energy",B46)),"WPX Energy",IF(ISNUMBER(SEARCH("SK Innovation ",B46)),"SK Innovation ",IF(ISNUMBER(SEARCH("Whiting Petroleum ",B46)),"Whiting Petroleum ",IF(ISNUMBER(SEARCH("Murphy Oil ",B46)),"Murphy Oil ",IF(ISNUMBER(SEARCH("QEP Resources ",B46)),"QEP Resources ",IF(ISNUMBER(SEARCH("Newfield Exploration ",B46)),"Newfield Exploration ",IF(ISNUMBER(SEARCH("Dragon Oil",B46)),"Dragon Oil",IF(ISNUMBER(SEARCH("Sasol ",B46)),"Sasol ",IF(ISNUMBER(SEARCH("Ultra Petroleum ",B46)),"Ultra Petroleum ",IF(ISNUMBER(SEARCH("Santos",B46)),"Santos",IF(ISNUMBER(SEARCH("Concho Resources ",B46)),"Concho Resources ",IF(ISNUMBER(SEARCH("Denbury Resources ",B46)),"Denbury Resources ",IF(ISNUMBER(SEARCH("Freeport-McMoRan",B46)),"Freeport-McMoRan",IF(ISNUMBER(SEARCH("Maersk Group",B46)),"Maersk Group",IF(ISNUMBER(SEARCH("MEG Energy ",B46)),"MEG Energy ",IF(ISNUMBER(SEARCH("SandRidge Energy",B46)),"SandRidge Energy",IF(ISNUMBER(SEARCH("Crescent Point Energy ",B46)),"Crescent Point Energy ",IF(ISNUMBER(SEARCH("GDF SUEZ",B46)),"GDF SUEZ",IF(ISNUMBER(SEARCH("Pacific Rubiales Energy ",B46)),"Pacific Rubiales Energy ",IF(ISNUMBER(SEARCH("SM Energy ",B46)),"SM Energy ",IF(ISNUMBER(SEARCH("JX Holdings ",B46)),"JX Holdings ",IF(ISNUMBER(SEARCH("Cimarex Energy ",B46)),"Cimarex Energy ",IF(ISNUMBER(SEARCH("Mitsui &amp; Co ",B46)),"Mitsui &amp; Co ",IF(ISNUMBER(SEARCH("Penn West Petroleum ",B46)),"Penn West Petroleum ",IF(ISNUMBER(SEARCH("Polish Oil &amp; Gas",B46)),"Polish Oil &amp; Gas",IF(OR(B46="MOL", ISNUMBER(SEARCH("MOL ",B46))),"MOL",IF(ISNUMBER(SEARCH("Energen ",B46)),"Energen ",IF(ISNUMBER(SEARCH("TAQA",B46)),"TAQA",IF(ISNUMBER(SEARCH("Oil Search",B46)),"Oil Search",IF(ISNUMBER(SEARCH("Oil India",B46)),"Oil India",IF(ISNUMBER(SEARCH("ARC Resources ",B46)),"ARC Resources ",IF(ISNUMBER(SEARCH("Genel Energy ",B46)),"Genel Energy ",IF(ISNUMBER(SEARCH("Canadian Oil Sands ",B46)),"Canadian Oil Sands ",IF(ISNUMBER(SEARCH("Energy XXI",B46)),"Energy XXI",IF(ISNUMBER(SEARCH("PDC Energy",B46)),"PDC Energy",IF(ISNUMBER(SEARCH("Oasis Petroleum ",B46)),"Oasis Petroleum ",IF(ISNUMBER(SEARCH("Tourmaline Oil ",B46)),"Tourmaline Oil ",IF(ISNUMBER(SEARCH("Rosetta Resources",B46)),"Rosetta Resources",IF(ISNUMBER(SEARCH("RWE ",B46)),"RWE ",IF(ISNUMBER(SEARCH("National Fuel Gas",B46)),"National Fuel Gas",IF(ISNUMBER(SEARCH("Peyto E&amp;D ",B46)),"Peyto E&amp;D ",IF(ISNUMBER(SEARCH("Xcite Energy ",B46)),"Xcite Energy ",IF(ISNUMBER(SEARCH("Tullow Oil",B46)),"Tullow Oil",IF(ISNUMBER(SEARCH("Energi Mega Persada ",B46)),"Energi Mega Persada ",IF(ISNUMBER(SEARCH("Breitburn Energy Partners",B46)),"Breitburn Energy Partners",IF(ISNUMBER(SEARCH("Enerplus ",B46)),"Enerplus ","0")))))))))))))))))))))))))))))))))))))))))))))))))))))))))))))))))))))))))))))))))))))))))))))))))))))</f>
        <v>0</v>
      </c>
      <c r="E46" s="19" t="str">
        <f t="shared" si="2"/>
        <v>0</v>
      </c>
      <c r="F46" s="26" t="str">
        <f t="shared" si="3"/>
        <v>0</v>
      </c>
      <c r="G46" s="21" t="str">
        <f t="shared" si="4"/>
        <v>0</v>
      </c>
      <c r="H46" s="22">
        <v>529401.04</v>
      </c>
      <c r="I46" s="12" t="s">
        <v>51</v>
      </c>
    </row>
    <row r="47">
      <c r="A47" s="11" t="s">
        <v>34</v>
      </c>
      <c r="B47" s="27" t="s">
        <v>107</v>
      </c>
      <c r="C47" s="27" t="s">
        <v>102</v>
      </c>
      <c r="D47" s="28" t="s">
        <v>103</v>
      </c>
      <c r="E47" s="19" t="str">
        <f t="shared" si="2"/>
        <v>0</v>
      </c>
      <c r="F47" s="26" t="str">
        <f t="shared" si="3"/>
        <v>0</v>
      </c>
      <c r="G47" s="21" t="str">
        <f t="shared" si="4"/>
        <v>0</v>
      </c>
      <c r="H47" s="30">
        <v>210922.6</v>
      </c>
      <c r="I47" s="12" t="s">
        <v>108</v>
      </c>
    </row>
    <row r="48">
      <c r="A48" s="11" t="s">
        <v>34</v>
      </c>
      <c r="B48" s="27" t="s">
        <v>109</v>
      </c>
      <c r="C48" s="12" t="s">
        <v>102</v>
      </c>
      <c r="D48" s="28" t="s">
        <v>103</v>
      </c>
      <c r="E48" s="19" t="str">
        <f t="shared" si="2"/>
        <v>0</v>
      </c>
      <c r="F48" s="26" t="str">
        <f t="shared" si="3"/>
        <v>0</v>
      </c>
      <c r="G48" s="21" t="str">
        <f t="shared" si="4"/>
        <v>0</v>
      </c>
      <c r="H48" s="24">
        <v>101455.74</v>
      </c>
      <c r="I48" s="12" t="s">
        <v>110</v>
      </c>
    </row>
    <row r="49">
      <c r="A49" s="11" t="s">
        <v>34</v>
      </c>
      <c r="B49" s="27" t="s">
        <v>111</v>
      </c>
      <c r="C49" s="12" t="s">
        <v>102</v>
      </c>
      <c r="D49" s="28" t="s">
        <v>103</v>
      </c>
      <c r="E49" s="28" t="s">
        <v>103</v>
      </c>
      <c r="F49" s="26" t="str">
        <f t="shared" si="3"/>
        <v>0</v>
      </c>
      <c r="G49" s="21" t="str">
        <f t="shared" si="4"/>
        <v>0</v>
      </c>
      <c r="H49" s="29">
        <v>23046.57</v>
      </c>
      <c r="I49" s="12" t="s">
        <v>112</v>
      </c>
    </row>
    <row r="50">
      <c r="A50" s="11" t="s">
        <v>34</v>
      </c>
      <c r="B50" s="27" t="s">
        <v>113</v>
      </c>
      <c r="C50" s="12" t="s">
        <v>102</v>
      </c>
      <c r="D50" s="28" t="s">
        <v>103</v>
      </c>
      <c r="E50" s="19" t="str">
        <f t="shared" ref="E50:E51" si="5">IF(ISNUMBER(SEARCH("Coal India",B50)),"Coal India",IF(ISNUMBER(SEARCH("China Shenhua",B50)),"China Shenhua",IF(ISNUMBER(SEARCH("Adani",B50)),"Adani",IF(ISNUMBER(SEARCH("Shanxi Coking",B50)),"Shanxi Coking",IF(ISNUMBER(SEARCH("Anglo American",B50)),"Anglo American",IF(ISNUMBER(SEARCH("BHP Billiton",B50)),"BHP Billiton",IF(ISNUMBER(SEARCH("Yitai Coal",B50)),"Yitai Coal",IF(ISNUMBER(SEARCH("Datang Intl",B50)),"Datang Intl",IF(ISNUMBER(SEARCH("China Coal",B50)),"China Coal",IF(ISNUMBER(SEARCH("Peabody Energy",B50)),"Peabody Energy",IF(ISNUMBER(SEARCH("Glencore Xstrata",B50)),"Glencore Xstrata",IF(ISNUMBER(SEARCH("Datong Coal",B50)),"Datong Coal",IF(ISNUMBER(SEARCH("Yanzhou Coal",B50)),"Yanzhou Coal",IF(ISNUMBER(SEARCH("DEH",B50)),"DEH",IF(ISNUMBER(SEARCH("Exxaro",B50)),"Exxaro",IF(ISNUMBER(SEARCH("Yangquan Coal",B50)),"Yangquan Coal",IF(ISNUMBER(SEARCH("Mechel",B50)),"Mechel",IF(ISNUMBER(SEARCH("Arch Coal",B50)),"Arch Coal",IF(ISNUMBER(SEARCH("Alpha Natural Resources",B50)),"Alpha Natural Resources",IF(ISNUMBER(SEARCH("EVRAZ",B50)),"EVRAZ", IF(ISNUMBER(SEARCH("Mitsubishi",B50)),"Mitsubishi",
if(and(or(B50="Vale", ISNUMBER(SEARCH("Vale ",B50))),NOT(ISNUMBER(SEARCH("?Vale",B50)))), "Vale",IF(ISNUMBER(SEARCH("Raspadskaya",B50)),"Raspadskaya",IF(ISNUMBER(SEARCH("Rio Tinto",B50)),"Rio Tinto",IF(ISNUMBER(SEARCH("Asia Resource",B50)),"Asia Resource",IF(ISNUMBER(SEARCH("Rusal",B50)),"Rusal",IF(ISNUMBER(SEARCH("Neyveli Lignite",B50)),"Neyveli Lignite",IF(ISNUMBER(SEARCH("Pingdingshan",B50)),"Pingdingshan",IF(ISNUMBER(SEARCH("Cloud Peak",B50)),"Cloud Peak",IF(ISNUMBER(SEARCH("Sasol",B50)),"Sasol",IF(ISNUMBER(SEARCH("Tata Steel",B50)),"Tata Steel",IF(AND(ISNUMBER(SEARCH("AGL",B50)),NOT(ISNUMBER(SEARCH("?AGL",B50)))),"AGL", IF(ISNUMBER(SEARCH("Teck",B50)),"Teck",IF(ISNUMBER(SEARCH("Severstal",B50)),"Severstal",IF(ISNUMBER(SEARCH("Coalspur",B50)),"Coalspur",IF(ISNUMBER(SEARCH("Kuzbass Fuel ",B50)),"Kuzbass Fuel ",IF(ISNUMBER(SEARCH("Polyus Gold",B50)),"Polyus Gold",IF(ISNUMBER(SEARCH("Energy Ventures",B50)),"Energy Ventures",IF(ISNUMBER(SEARCH("Whitehaven Coal",B50)),"Whitehaven Coal",IF(ISNUMBER(SEARCH("Banpu",B50)),"Banpu",IF(ISNUMBER(SEARCH("Bayan",B50)),"Bayan",IF(AND(ISNUMBER(SEARCH("RWE",B50)),NOT(ISNUMBER(SEARCH("ERWE",B50)))),"RWE",IF(ISNUMBER(SEARCH("Consol Energy",B50)),"Consol Energy",IF(ISNUMBER(SEARCH("WHSP",B50)),"WHSP",IF(ISNUMBER(SEARCH("Westmoreland",B50)),"Westmoreland",IF(ISNUMBER(SEARCH("Resource Generation",B50)),"Resource Generation",IF(ISNUMBER(SEARCH("Churchill Mining",B50)),"Churchill Mining",IF(ISNUMBER(SEARCH("NTPC",B50)),"NTPC",IF(ISNUMBER(SEARCH("Adaro",B50)),"Adaro",IF(ISNUMBER(SEARCH("Nacco",B50)),"Nacco",  IF(ISNUMBER(SEARCH("Idemitsu Kosan",B50)),"Idemitsu Kosan",IF(ISNUMBER(SEARCH("ARLP",B50)),"ARLP",IF(ISNUMBER(SEARCH("Huolinhe Opencut",B50)),"Huolinhe Opencut",IF(ISNUMBER(SEARCH("Golden Energy",B50)),"Golden Energy",IF(ISNUMBER(SEARCH("Mitsui &amp; Co",B50)),"Mitsui &amp; Co",
IF(AND(ISNUMBER(SEARCH("CoAL",B50)),NOT(ISNUMBER(SEARCH("?CoAL",B50)))),"CoAL",IF(ISNUMBER(SEARCH("NLMK",B50)),"NLMK",IF(ISNUMBER(SEARCH("Tata Power",B50)),"Tata Power",IF(ISNUMBER(SEARCH("MMK OJSC",B50)),"MMK OJSC",IF(ISNUMBER(SEARCH("Wesfarmers",B50)),"Wesfarmers",IF(ISNUMBER(SEARCH("Kazakhmys",B50)),"Kazakhmys",IF(ISNUMBER(SEARCH("New World Resources",B50)),"New World Resources",IF(ISNUMBER(SEARCH("MMC",B50)),"MMC",IF(ISNUMBER(SEARCH("Itochu",B50)),"Itochu",IF(ISNUMBER(SEARCH("Cockatoo",B50)),"Cockatoo",IF(ISNUMBER(SEARCH("Shanxi Meijin Energy",B50)),"Shanxi Meijin Energy",IF(ISNUMBER(SEARCH("Jizhong Energy",B50)),"Jizhong Energy",IF(ISNUMBER(SEARCH("Bandanna",B50)),"Bandanna",IF(ISNUMBER(SEARCH("Polo Resources",B50)),"Polo Resources",IF(ISNUMBER(SEARCH("Allete",B50)),"Allete",IF(ISNUMBER(SEARCH("CLP Holdings",B50)),"CLP Holdings", IF(AND(ISNUMBER(SEARCH("Aspire",B50)),NOT(ISNUMBER(SEARCH("Aspire D",B50)))),"Aspire", IF(ISNUMBER(SEARCH("Marubeni",B50)),"Marubeni",IF(ISNUMBER(SEARCH("China Resources",B50)),"China Resources",IF(ISNUMBER(SEARCH("Walter Energy",B50)),"Walter Energy",IF(ISNUMBER(SEARCH("Coal Energy",B50)),"Coal Energy",IF(ISNUMBER(SEARCH("Indika",B50)),"Indika",IF(ISNUMBER(SEARCH("Arcelor Mittal",B50)),"Arcelor Mittal",IF(ISNUMBER(SEARCH("FirstEnergy",B50)),"FirstEnergy",IF(ISNUMBER(SEARCH("Black Hills",B50)),"Black Hills",IF(ISNUMBER(SEARCH("Wescoal",B50)),"Wescoal",IF(ISNUMBER(SEARCH("Grupo Mexico",B50)),"Grupo Mexico",IF(and(or(B50="ARM", ISNUMBER(SEARCH("ARM ",B50))),NOT(ISNUMBER(SEARCH("?ARM",B50)))), "ARM",IF(ISNUMBER(SEARCH("Shanxi Coal",B50)),"Shanxi Coal",IF(ISNUMBER(SEARCH("Capital Power",B50)),"Capital Power",IF(ISNUMBER(SEARCH("PTT",B50)),"PTT",IF(ISNUMBER(SEARCH("Shanxi Lanhua Sci-Tech",B50)),"Shanxi Lanhua Sci-Tech",IF(ISNUMBER(SEARCH("Fortune",B50)),"Fortune",IF(ISNUMBER(SEARCH("Cardero",B50)),"Cardero",IF(ISNUMBER(SEARCH("Zhengzhou  Coal",B50)),"Zhengzhou Coal",IF(ISNUMBER(SEARCH("SAIL",B50)),"SAIL",IF(ISNUMBER(SEARCH("JSPL",B50)),"JSPL",IF(ISNUMBER(SEARCH("Shougang Fushan",B50)),"Shougang Fushan",IF(ISNUMBER(SEARCH("Jingyuan",B50)),"Jingyuan",IF(ISNUMBER(SEARCH("Stanmore",B50)),"Stanmore",IF(ISNUMBER(SEARCH("Prophecy Coal",B50)),"Prophecy Coal",IF(ISNUMBER(SEARCH("Cliffs Natural Resources",B50)),"Cliffs Natural Resources",IF(ISNUMBER(SEARCH("James River",B50)),"James River",IF(ISNUMBER(SEARCH("CESC",B50)),"CESC",IF(ISNUMBER(SEARCH("Alcoa",B50)),"Alcoa","0"))))))))))))))))))))))))))))))))))))))))))))))))))))))))))))))))))))))))))))))))))))))))))))))))))))
</f>
        <v>0</v>
      </c>
      <c r="F50" s="26" t="str">
        <f t="shared" si="3"/>
        <v>0</v>
      </c>
      <c r="G50" s="21" t="str">
        <f t="shared" si="4"/>
        <v>0</v>
      </c>
      <c r="H50" s="24">
        <v>765.74</v>
      </c>
      <c r="I50" s="12" t="s">
        <v>114</v>
      </c>
    </row>
    <row r="51">
      <c r="A51" s="11" t="s">
        <v>34</v>
      </c>
      <c r="B51" s="12" t="s">
        <v>115</v>
      </c>
      <c r="C51" s="12" t="s">
        <v>66</v>
      </c>
      <c r="D51" s="26" t="str">
        <f>if(and(or(B51="bp", ISNUMBER(SEARCH("BP ",B51))),NOT(ISNUMBER(SEARCH("?BP",B51)))), "BP", IF(AND(ISNUMBER(SEARCH("Shell",B51)),NOT(ISNUMBER(SEARCH("Shell Sek",B51)))),"Shell", IF(ISNUMBER(SEARCH("Gazprom",B51)),"Gazprom",IF(ISNUMBER(SEARCH("Rosneft",B51)),"Rosneft",IF(ISNUMBER(SEARCH("Exxon",B51)),"Exxon",IF(ISNUMBER(SEARCH("Lukoil",B51)),"Lukoil",IF(ISNUMBER(SEARCH("Petrochina",B51)),"Petrochina",IF(ISNUMBER(SEARCH("Lukoil",B51)),"Lukoil",IF(ISNUMBER(SEARCH("Petrobras",B51)),"Petrobras",IF(ISNUMBER(SEARCH("Chevron",B51)),"Chevron",IF(ISNUMBER(SEARCH("Novatek",B51)),"Novatek", 
IF(AND(ISNUMBER(SEARCH("Total",B51)),NOT(OR(ISNUMBER(SEARCH("Total Re",B51)),ISNUMBER(SEARCH("Total Sys",B51))))),"Total",IF(ISNUMBER(SEARCH("ConocoPhillips",B51)),"ConocoPhillips", IF(ISNUMBER(SEARCH("Tatneft",B51)),"Tatneft", IF(ISNUMBER(SEARCH("ONGC",B51)),"ONGC", 
IF(AND(ISNUMBER(SEARCH("ENI",B51)),NOT(ISNUMBER(SEARCH("?ENI",B51)))),"ENI", IF(ISNUMBER(SEARCH("Statoil ",B51)),"Statoil ", IF(ISNUMBER(SEARCH("Sinopec",B51)),"Sinopec", IF(ISNUMBER(SEARCH("CNOOC ",B51)),"CNOOC ", IF(ISNUMBER(SEARCH("Occidental",B51)),"Occidental", IF(ISNUMBER(SEARCH("BG Group",B51)),"BG Group",IF(ISNUMBER(SEARCH("Canadian Natural Resources ",B51)),"Canadian Natural Resources ",IF(ISNUMBER(SEARCH("Anadarko Petroleum ",B51)),"Anadarko Petroleum ",IF(ISNUMBER(SEARCH("Apache ",B51)),"Apache ",IF(ISNUMBER(SEARCH("Chesapeake Energy ",B51)),"Chesapeake Energy ",IF(ISNUMBER(SEARCH("Inpex ",B51)),"Inpex ",IF(ISNUMBER(SEARCH("Bashneft",B51)),"Bashneft",IF(ISNUMBER(SEARCH("Devon Energy ",B51)),"Devon Energy ",IF(ISNUMBER(SEARCH("BHP Billiton",B51)),"BHP Billiton",IF(ISNUMBER(SEARCH("Repsol",B51)),"Repsol",IF(ISNUMBER(SEARCH("Ecopetrol",B51)),"Ecopetrol",IF(ISNUMBER(SEARCH("EOG Resources",B51)),"EOG Resources",IF(ISNUMBER(SEARCH("Suncor Energy ",B51)),"Suncor Energy ",IF(ISNUMBER(SEARCH("Marathon Oil ",B51)),"Marathon Oil ",IF(ISNUMBER(SEARCH("Hess ",B51)),"Hess ",IF(ISNUMBER(SEARCH("Imperial Oil ",B51)),"Imperial Oil ",IF(ISNUMBER(SEARCH("Encana ",B51)),"Encana ",IF(ISNUMBER(SEARCH("Noble Energy",B51)),"Noble Energy",IF(ISNUMBER(SEARCH("BASF",B51)),"BASF",IF(ISNUMBER(SEARCH("EQT ",B51)),"EQT ",IF(AND(ISNUMBER(SEARCH("Range Resources",B51)),NOT(ISNUMBER(SEARCH("?Range Resources",B51)))),"Range Resources",IF(ISNUMBER(SEARCH("Continental Resources",B51)),"Continental Resources",IF(ISNUMBER(SEARCH("OMV",B51)),"OMV",IF(ISNUMBER(SEARCH("Antero Resources",B51)),"Antero Resources",IF(ISNUMBER(SEARCH("KazMunaiGas EP",B51)),"KazMunaiGas EP",IF(ISNUMBER(SEARCH("YPF ",B51)),"YPF ",IF(ISNUMBER(SEARCH("Southwestern Energy ",B51)),"Southwestern Energy ",IF(ISNUMBER(SEARCH("Cenovus Energy ",B51)),"Cenovus Energy ",IF(ISNUMBER(SEARCH("Linn Energy",B51)),"Linn Energy",IF(ISNUMBER(SEARCH("Woodside Petroleum",B51)),"Woodside Petroleum",IF(ISNUMBER(SEARCH("Husky Energy ",B51)),"Husky Energy ", IF(ISNUMBER(SEARCH("PTT ",B51)),"PTT ",IF(ISNUMBER(SEARCH("Consol Energy ",B51)),"Consol Energy ",IF(ISNUMBER(SEARCH("Pioneer Natural Resources ",B51)),"Pioneer Natural Resources ",IF(ISNUMBER(SEARCH("Cabot Oil &amp; Gas ",B51)),"Cabot Oil &amp; Gas ",IF(ISNUMBER(SEARCH("WPX Energy",B51)),"WPX Energy",IF(ISNUMBER(SEARCH("SK Innovation ",B51)),"SK Innovation ",IF(ISNUMBER(SEARCH("Whiting Petroleum ",B51)),"Whiting Petroleum ",IF(ISNUMBER(SEARCH("Murphy Oil ",B51)),"Murphy Oil ",IF(ISNUMBER(SEARCH("QEP Resources ",B51)),"QEP Resources ",IF(ISNUMBER(SEARCH("Newfield Exploration ",B51)),"Newfield Exploration ",IF(ISNUMBER(SEARCH("Dragon Oil",B51)),"Dragon Oil",IF(ISNUMBER(SEARCH("Sasol ",B51)),"Sasol ",IF(ISNUMBER(SEARCH("Ultra Petroleum ",B51)),"Ultra Petroleum ",IF(ISNUMBER(SEARCH("Santos",B51)),"Santos",IF(ISNUMBER(SEARCH("Concho Resources ",B51)),"Concho Resources ",IF(ISNUMBER(SEARCH("Denbury Resources ",B51)),"Denbury Resources ",IF(ISNUMBER(SEARCH("Freeport-McMoRan",B51)),"Freeport-McMoRan",IF(ISNUMBER(SEARCH("Maersk Group",B51)),"Maersk Group",IF(ISNUMBER(SEARCH("MEG Energy ",B51)),"MEG Energy ",IF(ISNUMBER(SEARCH("SandRidge Energy",B51)),"SandRidge Energy",IF(ISNUMBER(SEARCH("Crescent Point Energy ",B51)),"Crescent Point Energy ",IF(ISNUMBER(SEARCH("GDF SUEZ",B51)),"GDF SUEZ",IF(ISNUMBER(SEARCH("Pacific Rubiales Energy ",B51)),"Pacific Rubiales Energy ",IF(ISNUMBER(SEARCH("SM Energy ",B51)),"SM Energy ",IF(ISNUMBER(SEARCH("JX Holdings ",B51)),"JX Holdings ",IF(ISNUMBER(SEARCH("Cimarex Energy ",B51)),"Cimarex Energy ",IF(ISNUMBER(SEARCH("Mitsui &amp; Co ",B51)),"Mitsui &amp; Co ",IF(ISNUMBER(SEARCH("Penn West Petroleum ",B51)),"Penn West Petroleum ",IF(ISNUMBER(SEARCH("Polish Oil &amp; Gas",B51)),"Polish Oil &amp; Gas",IF(OR(B51="MOL", ISNUMBER(SEARCH("MOL ",B51))),"MOL",IF(ISNUMBER(SEARCH("Energen ",B51)),"Energen ",IF(ISNUMBER(SEARCH("TAQA",B51)),"TAQA",IF(ISNUMBER(SEARCH("Oil Search",B51)),"Oil Search",IF(ISNUMBER(SEARCH("Oil India",B51)),"Oil India",IF(ISNUMBER(SEARCH("ARC Resources ",B51)),"ARC Resources ",IF(ISNUMBER(SEARCH("Genel Energy ",B51)),"Genel Energy ",IF(ISNUMBER(SEARCH("Canadian Oil Sands ",B51)),"Canadian Oil Sands ",IF(ISNUMBER(SEARCH("Energy XXI",B51)),"Energy XXI",IF(ISNUMBER(SEARCH("PDC Energy",B51)),"PDC Energy",IF(ISNUMBER(SEARCH("Oasis Petroleum ",B51)),"Oasis Petroleum ",IF(ISNUMBER(SEARCH("Tourmaline Oil ",B51)),"Tourmaline Oil ",IF(ISNUMBER(SEARCH("Rosetta Resources",B51)),"Rosetta Resources",IF(ISNUMBER(SEARCH("RWE ",B51)),"RWE ",IF(ISNUMBER(SEARCH("National Fuel Gas",B51)),"National Fuel Gas",IF(ISNUMBER(SEARCH("Peyto E&amp;D ",B51)),"Peyto E&amp;D ",IF(ISNUMBER(SEARCH("Xcite Energy ",B51)),"Xcite Energy ",IF(ISNUMBER(SEARCH("Tullow Oil",B51)),"Tullow Oil",IF(ISNUMBER(SEARCH("Energi Mega Persada ",B51)),"Energi Mega Persada ",IF(ISNUMBER(SEARCH("Breitburn Energy Partners",B51)),"Breitburn Energy Partners",IF(ISNUMBER(SEARCH("Enerplus ",B51)),"Enerplus ","0")))))))))))))))))))))))))))))))))))))))))))))))))))))))))))))))))))))))))))))))))))))))))))))))))))))</f>
        <v>0</v>
      </c>
      <c r="E51" s="19" t="str">
        <f t="shared" si="5"/>
        <v>0</v>
      </c>
      <c r="F51" s="26" t="str">
        <f t="shared" si="3"/>
        <v>0</v>
      </c>
      <c r="G51" s="21" t="str">
        <f t="shared" si="4"/>
        <v>0</v>
      </c>
      <c r="H51" s="24">
        <v>0.81</v>
      </c>
      <c r="I51" s="25" t="s">
        <v>72</v>
      </c>
    </row>
    <row r="52">
      <c r="A52" s="11"/>
      <c r="B52" s="31"/>
      <c r="D52" s="32"/>
      <c r="E52" s="32"/>
      <c r="F52" s="32"/>
      <c r="G52" s="32"/>
      <c r="I52" s="3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sheetData>
  <conditionalFormatting sqref="H51:I51">
    <cfRule type="notContainsBlanks" dxfId="0" priority="1">
      <formula>LEN(TRIM(H51))&gt;0</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tr">
        <f>'Full Data'!A2</f>
        <v>London Borough of Haringey Pension Fund </v>
      </c>
      <c r="C1" s="4"/>
      <c r="D1" s="4"/>
      <c r="E1" s="4"/>
      <c r="F1" s="4"/>
      <c r="G1" s="4"/>
      <c r="H1" s="6" t="s">
        <v>18</v>
      </c>
      <c r="I1" s="4"/>
      <c r="J1" s="4"/>
      <c r="K1" s="4"/>
      <c r="L1" s="4"/>
      <c r="M1" s="4"/>
      <c r="N1" s="4"/>
      <c r="O1" s="4"/>
      <c r="P1" s="4"/>
      <c r="Q1" s="4"/>
      <c r="R1" s="4"/>
      <c r="S1" s="4"/>
      <c r="T1" s="4"/>
      <c r="U1" s="4"/>
      <c r="V1" s="4"/>
      <c r="W1" s="4"/>
      <c r="X1" s="4"/>
      <c r="Y1" s="4"/>
      <c r="Z1" s="4"/>
    </row>
    <row r="2">
      <c r="A2" s="1" t="s">
        <v>20</v>
      </c>
      <c r="B2" s="10">
        <f>SUM('Full Data'!H1:H1000)</f>
        <v>909764733.7</v>
      </c>
      <c r="C2" s="4" t="s">
        <v>35</v>
      </c>
      <c r="D2" s="4"/>
      <c r="E2" s="4"/>
      <c r="F2" s="4"/>
      <c r="G2" s="4"/>
      <c r="H2" s="6" t="s">
        <v>37</v>
      </c>
      <c r="I2" s="4"/>
      <c r="J2" s="13" t="s">
        <v>38</v>
      </c>
      <c r="K2" s="4"/>
      <c r="L2" s="4"/>
      <c r="M2" s="4"/>
      <c r="N2" s="4"/>
      <c r="O2" s="4"/>
      <c r="P2" s="4"/>
      <c r="Q2" s="4"/>
      <c r="R2" s="4"/>
      <c r="S2" s="4"/>
      <c r="T2" s="4"/>
      <c r="U2" s="4"/>
      <c r="V2" s="4"/>
      <c r="W2" s="4"/>
      <c r="X2" s="4"/>
      <c r="Y2" s="4"/>
      <c r="Z2" s="4"/>
    </row>
    <row r="3">
      <c r="A3" s="1" t="s">
        <v>40</v>
      </c>
      <c r="B3" s="10">
        <f>SUM('Full Data'!G2:G1000)</f>
        <v>0</v>
      </c>
      <c r="C3" s="4"/>
      <c r="D3" s="4"/>
      <c r="E3" s="4"/>
      <c r="F3" s="4"/>
      <c r="G3" s="4"/>
      <c r="H3" s="4"/>
      <c r="I3" s="4"/>
      <c r="J3" s="4"/>
      <c r="K3" s="4"/>
      <c r="L3" s="4"/>
      <c r="M3" s="4"/>
      <c r="N3" s="4"/>
      <c r="O3" s="4"/>
      <c r="P3" s="4"/>
      <c r="Q3" s="4"/>
      <c r="R3" s="4"/>
      <c r="S3" s="4"/>
      <c r="T3" s="4"/>
      <c r="U3" s="4"/>
      <c r="V3" s="4"/>
      <c r="W3" s="4"/>
      <c r="X3" s="4"/>
      <c r="Y3" s="4"/>
      <c r="Z3" s="4"/>
    </row>
    <row r="4">
      <c r="A4" s="1" t="s">
        <v>41</v>
      </c>
      <c r="B4" s="14">
        <f>B3/B2</f>
        <v>0</v>
      </c>
      <c r="C4" s="4"/>
      <c r="D4" s="4"/>
      <c r="E4" s="4"/>
      <c r="F4" s="4"/>
      <c r="G4" s="4"/>
      <c r="H4" s="4"/>
      <c r="I4" s="4"/>
      <c r="J4" s="4"/>
      <c r="K4" s="4"/>
      <c r="L4" s="4"/>
      <c r="M4" s="4"/>
      <c r="N4" s="4"/>
      <c r="O4" s="4"/>
      <c r="P4" s="4"/>
      <c r="Q4" s="4"/>
      <c r="R4" s="4"/>
      <c r="S4" s="4"/>
      <c r="T4" s="4"/>
      <c r="U4" s="4"/>
      <c r="V4" s="4"/>
      <c r="W4" s="4"/>
      <c r="X4" s="4"/>
      <c r="Y4" s="4"/>
      <c r="Z4" s="4"/>
    </row>
    <row r="5">
      <c r="A5" s="1"/>
      <c r="B5" s="1"/>
      <c r="C5" s="4"/>
      <c r="D5" s="4"/>
      <c r="E5" s="4"/>
      <c r="F5" s="4"/>
      <c r="G5" s="4"/>
      <c r="H5" s="4"/>
      <c r="I5" s="4"/>
      <c r="J5" s="4"/>
      <c r="K5" s="4"/>
      <c r="L5" s="4"/>
      <c r="M5" s="4"/>
      <c r="N5" s="4"/>
      <c r="O5" s="4"/>
      <c r="P5" s="4"/>
      <c r="Q5" s="4"/>
      <c r="R5" s="4"/>
      <c r="S5" s="4"/>
      <c r="T5" s="4"/>
      <c r="U5" s="4"/>
      <c r="V5" s="4"/>
      <c r="W5" s="4"/>
      <c r="X5" s="4"/>
      <c r="Y5" s="4"/>
      <c r="Z5" s="4"/>
    </row>
    <row r="6">
      <c r="A6" s="1"/>
      <c r="B6" s="1"/>
      <c r="C6" s="4"/>
      <c r="D6" s="4"/>
      <c r="E6" s="4"/>
      <c r="F6" s="4"/>
      <c r="G6" s="4"/>
      <c r="H6" s="4"/>
      <c r="I6" s="4"/>
      <c r="J6" s="4"/>
      <c r="K6" s="4"/>
      <c r="L6" s="4"/>
      <c r="M6" s="4"/>
      <c r="N6" s="4"/>
      <c r="O6" s="4"/>
      <c r="P6" s="4"/>
      <c r="Q6" s="4"/>
      <c r="R6" s="4"/>
      <c r="S6" s="4"/>
      <c r="T6" s="4"/>
      <c r="U6" s="4"/>
      <c r="V6" s="4"/>
      <c r="W6" s="4"/>
      <c r="X6" s="4"/>
      <c r="Y6" s="4"/>
      <c r="Z6" s="4"/>
    </row>
    <row r="7">
      <c r="A7" s="1" t="s">
        <v>42</v>
      </c>
      <c r="B7" s="1"/>
      <c r="C7" s="4"/>
      <c r="D7" s="4"/>
      <c r="E7" s="4" t="s">
        <v>43</v>
      </c>
      <c r="F7" s="4"/>
      <c r="G7" s="4"/>
      <c r="H7" s="4"/>
      <c r="I7" s="4"/>
      <c r="J7" s="4"/>
      <c r="K7" s="4"/>
      <c r="L7" s="4"/>
      <c r="M7" s="4"/>
      <c r="N7" s="4"/>
      <c r="O7" s="4"/>
      <c r="P7" s="4"/>
      <c r="Q7" s="4"/>
      <c r="R7" s="4"/>
      <c r="S7" s="4"/>
      <c r="T7" s="4"/>
      <c r="U7" s="4"/>
      <c r="V7" s="4"/>
      <c r="W7" s="4"/>
      <c r="X7" s="4"/>
      <c r="Y7" s="4"/>
      <c r="Z7" s="4"/>
    </row>
    <row r="8">
      <c r="A8" s="1" t="s">
        <v>33</v>
      </c>
      <c r="B8" s="1"/>
      <c r="C8" s="4" t="s">
        <v>0</v>
      </c>
      <c r="D8" s="4"/>
      <c r="E8" s="4"/>
      <c r="F8" s="4"/>
      <c r="G8" s="4"/>
      <c r="H8" s="4"/>
      <c r="I8" s="4"/>
      <c r="J8" s="4"/>
      <c r="K8" s="4"/>
      <c r="L8" s="4"/>
      <c r="M8" s="4"/>
      <c r="N8" s="4"/>
      <c r="O8" s="4"/>
      <c r="P8" s="4"/>
      <c r="Q8" s="4"/>
      <c r="R8" s="4"/>
      <c r="S8" s="4"/>
      <c r="T8" s="4"/>
      <c r="U8" s="4"/>
      <c r="V8" s="4"/>
      <c r="W8" s="4"/>
      <c r="X8" s="4"/>
      <c r="Y8" s="4"/>
      <c r="Z8" s="4"/>
    </row>
    <row r="9">
      <c r="A9" s="15" t="str">
        <f>LARGE('Full Data'!G:G,1)</f>
        <v>#NUM!</v>
      </c>
      <c r="B9" s="14" t="str">
        <f t="shared" ref="B9:B18" si="1">A9/$B$2</f>
        <v>#NUM!</v>
      </c>
      <c r="C9" s="17" t="str">
        <f t="array" ref="C9">INDEX('Full Data'!F:F,MATCH(LARGE('Full Data'!G:G,1),'Full Data'!G:G,0))</f>
        <v>#NUM!</v>
      </c>
      <c r="D9" s="4"/>
      <c r="E9" s="4"/>
      <c r="F9" s="4"/>
      <c r="G9" s="4"/>
      <c r="H9" s="4"/>
      <c r="I9" s="4"/>
      <c r="J9" s="4"/>
      <c r="K9" s="4"/>
      <c r="L9" s="4"/>
      <c r="M9" s="4"/>
      <c r="N9" s="4"/>
      <c r="O9" s="4"/>
      <c r="P9" s="4"/>
      <c r="Q9" s="4"/>
      <c r="R9" s="4"/>
      <c r="S9" s="4"/>
      <c r="T9" s="4"/>
      <c r="U9" s="4"/>
      <c r="V9" s="4"/>
      <c r="W9" s="4"/>
      <c r="X9" s="4"/>
      <c r="Y9" s="4"/>
      <c r="Z9" s="4"/>
    </row>
    <row r="10">
      <c r="A10" s="15" t="str">
        <f>LARGE('Full Data'!G:G,2)</f>
        <v>#NUM!</v>
      </c>
      <c r="B10" s="14" t="str">
        <f t="shared" si="1"/>
        <v>#NUM!</v>
      </c>
      <c r="C10" s="17" t="str">
        <f t="array" ref="C10">INDEX('Full Data'!F:F,MATCH(LARGE('Full Data'!G:G,2),'Full Data'!G:G,0))</f>
        <v>#NUM!</v>
      </c>
      <c r="D10" s="4"/>
      <c r="E10" s="4"/>
      <c r="F10" s="4"/>
      <c r="G10" s="4"/>
      <c r="H10" s="4"/>
      <c r="I10" s="4"/>
      <c r="J10" s="4"/>
      <c r="K10" s="4"/>
      <c r="L10" s="4"/>
      <c r="M10" s="4"/>
      <c r="N10" s="4"/>
      <c r="O10" s="4"/>
      <c r="P10" s="4"/>
      <c r="Q10" s="4"/>
      <c r="R10" s="4"/>
      <c r="S10" s="4"/>
      <c r="T10" s="4"/>
      <c r="U10" s="4"/>
      <c r="V10" s="4"/>
      <c r="W10" s="4"/>
      <c r="X10" s="4"/>
      <c r="Y10" s="4"/>
      <c r="Z10" s="4"/>
    </row>
    <row r="11">
      <c r="A11" s="15" t="str">
        <f>LARGE('Full Data'!G:G,3)</f>
        <v>#NUM!</v>
      </c>
      <c r="B11" s="14" t="str">
        <f t="shared" si="1"/>
        <v>#NUM!</v>
      </c>
      <c r="C11" s="17" t="str">
        <f t="array" ref="C11">INDEX('Full Data'!F:F,MATCH(LARGE('Full Data'!G:G,3),'Full Data'!G:G,0))</f>
        <v>#NUM!</v>
      </c>
      <c r="D11" s="4"/>
      <c r="E11" s="4"/>
      <c r="F11" s="4"/>
      <c r="G11" s="4"/>
      <c r="H11" s="4"/>
      <c r="I11" s="4"/>
      <c r="J11" s="4"/>
      <c r="K11" s="4"/>
      <c r="L11" s="4"/>
      <c r="M11" s="4"/>
      <c r="N11" s="4"/>
      <c r="O11" s="4"/>
      <c r="P11" s="4"/>
      <c r="Q11" s="4"/>
      <c r="R11" s="4"/>
      <c r="S11" s="4"/>
      <c r="T11" s="4"/>
      <c r="U11" s="4"/>
      <c r="V11" s="4"/>
      <c r="W11" s="4"/>
      <c r="X11" s="4"/>
      <c r="Y11" s="4"/>
      <c r="Z11" s="4"/>
    </row>
    <row r="12">
      <c r="A12" s="15" t="str">
        <f>LARGE('Full Data'!G:G,4)</f>
        <v>#NUM!</v>
      </c>
      <c r="B12" s="14" t="str">
        <f t="shared" si="1"/>
        <v>#NUM!</v>
      </c>
      <c r="C12" s="17" t="str">
        <f t="array" ref="C12">INDEX('Full Data'!F:F,MATCH(LARGE('Full Data'!G:G,4),'Full Data'!G:G,0))</f>
        <v>#NUM!</v>
      </c>
      <c r="D12" s="4"/>
      <c r="E12" s="4"/>
      <c r="F12" s="4"/>
      <c r="G12" s="4"/>
      <c r="H12" s="4"/>
      <c r="I12" s="4"/>
      <c r="J12" s="4"/>
      <c r="K12" s="4"/>
      <c r="L12" s="4"/>
      <c r="M12" s="4"/>
      <c r="N12" s="4"/>
      <c r="O12" s="4"/>
      <c r="P12" s="4"/>
      <c r="Q12" s="4"/>
      <c r="R12" s="4"/>
      <c r="S12" s="4"/>
      <c r="T12" s="4"/>
      <c r="U12" s="4"/>
      <c r="V12" s="4"/>
      <c r="W12" s="4"/>
      <c r="X12" s="4"/>
      <c r="Y12" s="4"/>
      <c r="Z12" s="4"/>
    </row>
    <row r="13">
      <c r="A13" s="15" t="str">
        <f>LARGE('Full Data'!G:G,5)</f>
        <v>#NUM!</v>
      </c>
      <c r="B13" s="14" t="str">
        <f t="shared" si="1"/>
        <v>#NUM!</v>
      </c>
      <c r="C13" s="17" t="str">
        <f t="array" ref="C13">INDEX('Full Data'!F:F,MATCH(LARGE('Full Data'!G:G,5),'Full Data'!G:G,0))</f>
        <v>#NUM!</v>
      </c>
      <c r="D13" s="4"/>
      <c r="E13" s="4"/>
      <c r="F13" s="4"/>
      <c r="G13" s="4"/>
      <c r="H13" s="4"/>
      <c r="I13" s="4"/>
      <c r="J13" s="4"/>
      <c r="K13" s="4"/>
      <c r="L13" s="4"/>
      <c r="M13" s="4"/>
      <c r="N13" s="4"/>
      <c r="O13" s="4"/>
      <c r="P13" s="4"/>
      <c r="Q13" s="4"/>
      <c r="R13" s="4"/>
      <c r="S13" s="4"/>
      <c r="T13" s="4"/>
      <c r="U13" s="4"/>
      <c r="V13" s="4"/>
      <c r="W13" s="4"/>
      <c r="X13" s="4"/>
      <c r="Y13" s="4"/>
      <c r="Z13" s="4"/>
    </row>
    <row r="14">
      <c r="A14" s="15" t="str">
        <f>LARGE('Full Data'!G:G,6)</f>
        <v>#NUM!</v>
      </c>
      <c r="B14" s="14" t="str">
        <f t="shared" si="1"/>
        <v>#NUM!</v>
      </c>
      <c r="C14" s="17" t="str">
        <f t="array" ref="C14">INDEX('Full Data'!F:F,MATCH(LARGE('Full Data'!G:G,6),'Full Data'!G:G,0))</f>
        <v>#NUM!</v>
      </c>
      <c r="D14" s="4"/>
      <c r="E14" s="4"/>
      <c r="F14" s="4"/>
      <c r="G14" s="4"/>
      <c r="H14" s="4"/>
      <c r="I14" s="4"/>
      <c r="J14" s="4"/>
      <c r="K14" s="4"/>
      <c r="L14" s="4"/>
      <c r="M14" s="4"/>
      <c r="N14" s="4"/>
      <c r="O14" s="4"/>
      <c r="P14" s="4"/>
      <c r="Q14" s="4"/>
      <c r="R14" s="4"/>
      <c r="S14" s="4"/>
      <c r="T14" s="4"/>
      <c r="U14" s="4"/>
      <c r="V14" s="4"/>
      <c r="W14" s="4"/>
      <c r="X14" s="4"/>
      <c r="Y14" s="4"/>
      <c r="Z14" s="4"/>
    </row>
    <row r="15">
      <c r="A15" s="15" t="str">
        <f>LARGE('Full Data'!G:G,7)</f>
        <v>#NUM!</v>
      </c>
      <c r="B15" s="14" t="str">
        <f t="shared" si="1"/>
        <v>#NUM!</v>
      </c>
      <c r="C15" s="17" t="str">
        <f t="array" ref="C15">INDEX('Full Data'!F:F,MATCH(LARGE('Full Data'!G:G,7),'Full Data'!G:G,0))</f>
        <v>#NUM!</v>
      </c>
      <c r="D15" s="4"/>
      <c r="E15" s="4"/>
      <c r="F15" s="4"/>
      <c r="G15" s="4"/>
      <c r="H15" s="4"/>
      <c r="I15" s="4"/>
      <c r="J15" s="4"/>
      <c r="K15" s="4"/>
      <c r="L15" s="4"/>
      <c r="M15" s="4"/>
      <c r="N15" s="4"/>
      <c r="O15" s="4"/>
      <c r="P15" s="4"/>
      <c r="Q15" s="4"/>
      <c r="R15" s="4"/>
      <c r="S15" s="4"/>
      <c r="T15" s="4"/>
      <c r="U15" s="4"/>
      <c r="V15" s="4"/>
      <c r="W15" s="4"/>
      <c r="X15" s="4"/>
      <c r="Y15" s="4"/>
      <c r="Z15" s="4"/>
    </row>
    <row r="16">
      <c r="A16" s="15" t="str">
        <f>LARGE('Full Data'!G:G,8)</f>
        <v>#NUM!</v>
      </c>
      <c r="B16" s="14" t="str">
        <f t="shared" si="1"/>
        <v>#NUM!</v>
      </c>
      <c r="C16" s="17" t="str">
        <f t="array" ref="C16">INDEX('Full Data'!F:F,MATCH(LARGE('Full Data'!G:G,8),'Full Data'!G:G,0))</f>
        <v>#NUM!</v>
      </c>
      <c r="D16" s="4"/>
      <c r="E16" s="4"/>
      <c r="F16" s="4"/>
      <c r="G16" s="4"/>
      <c r="H16" s="4"/>
      <c r="I16" s="4"/>
      <c r="J16" s="4"/>
      <c r="K16" s="4"/>
      <c r="L16" s="4"/>
      <c r="M16" s="4"/>
      <c r="N16" s="4"/>
      <c r="O16" s="4"/>
      <c r="P16" s="4"/>
      <c r="Q16" s="4"/>
      <c r="R16" s="4"/>
      <c r="S16" s="4"/>
      <c r="T16" s="4"/>
      <c r="U16" s="4"/>
      <c r="V16" s="4"/>
      <c r="W16" s="4"/>
      <c r="X16" s="4"/>
      <c r="Y16" s="4"/>
      <c r="Z16" s="4"/>
    </row>
    <row r="17">
      <c r="A17" s="15" t="str">
        <f>LARGE('Full Data'!G:G,9)</f>
        <v>#NUM!</v>
      </c>
      <c r="B17" s="14" t="str">
        <f t="shared" si="1"/>
        <v>#NUM!</v>
      </c>
      <c r="C17" s="17" t="str">
        <f t="array" ref="C17">INDEX('Full Data'!F:F,MATCH(LARGE('Full Data'!G:G,9),'Full Data'!G:G,0))</f>
        <v>#NUM!</v>
      </c>
      <c r="D17" s="4"/>
      <c r="E17" s="4"/>
      <c r="F17" s="4"/>
      <c r="G17" s="4"/>
      <c r="H17" s="4"/>
      <c r="I17" s="4"/>
      <c r="J17" s="4"/>
      <c r="K17" s="4"/>
      <c r="L17" s="4"/>
      <c r="M17" s="4"/>
      <c r="N17" s="4"/>
      <c r="O17" s="4"/>
      <c r="P17" s="4"/>
      <c r="Q17" s="4"/>
      <c r="R17" s="4"/>
      <c r="S17" s="4"/>
      <c r="T17" s="4"/>
      <c r="U17" s="4"/>
      <c r="V17" s="4"/>
      <c r="W17" s="4"/>
      <c r="X17" s="4"/>
      <c r="Y17" s="4"/>
      <c r="Z17" s="4"/>
    </row>
    <row r="18">
      <c r="A18" s="15" t="str">
        <f>LARGE('Full Data'!G:G,10)</f>
        <v>#NUM!</v>
      </c>
      <c r="B18" s="14" t="str">
        <f t="shared" si="1"/>
        <v>#NUM!</v>
      </c>
      <c r="C18" s="17" t="str">
        <f t="array" ref="C18">INDEX('Full Data'!F:F,MATCH(LARGE('Full Data'!G:G,10),'Full Data'!G:G,0))</f>
        <v>#NUM!</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17.14"/>
    <col customWidth="1" min="4" max="4" width="63.0"/>
    <col customWidth="1" min="5" max="5" width="21.71"/>
    <col customWidth="1" min="6" max="6" width="28.14"/>
  </cols>
  <sheetData>
    <row r="1">
      <c r="A1" s="4" t="s">
        <v>44</v>
      </c>
      <c r="B1" s="16">
        <v>0.1</v>
      </c>
      <c r="C1" s="4"/>
      <c r="D1" s="4"/>
      <c r="E1" s="4"/>
      <c r="F1" s="4"/>
      <c r="G1" s="4"/>
      <c r="H1" s="4"/>
      <c r="I1" s="4"/>
      <c r="J1" s="4"/>
      <c r="K1" s="4"/>
      <c r="L1" s="4"/>
      <c r="M1" s="4"/>
      <c r="N1" s="4"/>
      <c r="O1" s="4"/>
      <c r="P1" s="4"/>
      <c r="Q1" s="4"/>
      <c r="R1" s="4"/>
      <c r="S1" s="4"/>
      <c r="T1" s="4"/>
      <c r="U1" s="4"/>
      <c r="V1" s="4"/>
      <c r="W1" s="4"/>
      <c r="X1" s="4"/>
    </row>
    <row r="2">
      <c r="A2" s="4"/>
      <c r="B2" s="4" t="s">
        <v>33</v>
      </c>
      <c r="C2" s="4" t="s">
        <v>45</v>
      </c>
      <c r="D2" s="4" t="s">
        <v>0</v>
      </c>
      <c r="E2" s="4" t="s">
        <v>46</v>
      </c>
      <c r="F2" s="4" t="s">
        <v>47</v>
      </c>
      <c r="G2" s="4" t="s">
        <v>48</v>
      </c>
      <c r="H2" s="4"/>
      <c r="I2" s="4"/>
      <c r="J2" s="4"/>
      <c r="K2" s="4"/>
      <c r="L2" s="4"/>
      <c r="M2" s="4"/>
      <c r="N2" s="4"/>
      <c r="O2" s="4"/>
      <c r="P2" s="4"/>
      <c r="Q2" s="4"/>
      <c r="R2" s="4"/>
      <c r="S2" s="4"/>
      <c r="T2" s="4"/>
      <c r="U2" s="4"/>
      <c r="V2" s="4"/>
      <c r="W2" s="4"/>
      <c r="X2" s="4"/>
    </row>
    <row r="3">
      <c r="A3" s="4"/>
      <c r="B3" s="4"/>
      <c r="C3" s="4"/>
      <c r="D3" s="4"/>
      <c r="E3" s="4"/>
      <c r="F3" s="4"/>
      <c r="G3" s="4"/>
      <c r="H3" s="4"/>
      <c r="I3" s="4"/>
      <c r="J3" s="4"/>
      <c r="K3" s="4"/>
      <c r="L3" s="4"/>
      <c r="M3" s="4"/>
      <c r="N3" s="4"/>
      <c r="O3" s="4"/>
      <c r="P3" s="4"/>
      <c r="Q3" s="4"/>
      <c r="R3" s="4"/>
      <c r="S3" s="4"/>
      <c r="T3" s="4"/>
      <c r="U3" s="4"/>
      <c r="V3" s="4"/>
      <c r="W3" s="4"/>
      <c r="X3" s="4"/>
    </row>
    <row r="4">
      <c r="A4" s="4" t="s">
        <v>49</v>
      </c>
      <c r="B4" s="15">
        <f>'Fossil Fuel direct investments'!B2</f>
        <v>909764733.7</v>
      </c>
      <c r="C4" s="4"/>
      <c r="D4" s="17"/>
      <c r="E4" s="4"/>
      <c r="F4" s="4"/>
      <c r="G4" s="4"/>
      <c r="H4" s="4"/>
      <c r="I4" s="4"/>
      <c r="J4" s="4"/>
      <c r="K4" s="4"/>
      <c r="L4" s="4"/>
      <c r="M4" s="4"/>
      <c r="N4" s="4"/>
      <c r="O4" s="4"/>
      <c r="P4" s="4"/>
      <c r="Q4" s="4"/>
      <c r="R4" s="4"/>
      <c r="S4" s="4"/>
      <c r="T4" s="4"/>
      <c r="U4" s="4"/>
      <c r="V4" s="4"/>
      <c r="W4" s="4"/>
      <c r="X4" s="4"/>
    </row>
    <row r="5">
      <c r="A5" s="18">
        <v>1.0</v>
      </c>
      <c r="B5" s="15">
        <f>LARGE('Full Data'!H:H,A5)</f>
        <v>210046710.7</v>
      </c>
      <c r="C5" s="14">
        <f t="shared" ref="C5:C19" si="1">B5/$B$4</f>
        <v>0.2308802517</v>
      </c>
      <c r="D5" s="17" t="str">
        <f t="array" ref="D5">INDEX('Full Data'!B:B,MATCH(LARGE('Full Data'!H:H,A5),'Full Data'!H:H,0))</f>
        <v>AQUILA LIFE US EQUITY INDEX FUND SER 1</v>
      </c>
      <c r="E5" s="6" t="s">
        <v>50</v>
      </c>
      <c r="F5" s="15">
        <f t="shared" ref="F5:F19" si="2">IF(E5="yes",B5*$B$1,0)</f>
        <v>21004671.07</v>
      </c>
      <c r="G5" s="14">
        <f t="shared" ref="G5:G19" si="3">F5/$B$4</f>
        <v>0.02308802517</v>
      </c>
      <c r="H5" s="4"/>
      <c r="I5" s="4"/>
      <c r="J5" s="4"/>
      <c r="K5" s="4"/>
      <c r="L5" s="4"/>
      <c r="M5" s="4"/>
      <c r="N5" s="4"/>
      <c r="O5" s="4"/>
      <c r="P5" s="4"/>
      <c r="Q5" s="4"/>
      <c r="R5" s="4"/>
      <c r="S5" s="4"/>
      <c r="T5" s="4"/>
      <c r="U5" s="4"/>
      <c r="V5" s="4"/>
      <c r="W5" s="4"/>
      <c r="X5" s="4"/>
    </row>
    <row r="6">
      <c r="A6" s="18">
        <v>2.0</v>
      </c>
      <c r="B6" s="15">
        <f>LARGE('Full Data'!H:H,A6)</f>
        <v>151768264.4</v>
      </c>
      <c r="C6" s="14">
        <f t="shared" si="1"/>
        <v>0.1668214416</v>
      </c>
      <c r="D6" s="17" t="str">
        <f t="array" ref="D6">INDEX('Full Data'!B:B,MATCH(LARGE('Full Data'!H:H,A6),'Full Data'!H:H,0))</f>
        <v>AQUILA LIFE UK EQUITY INDEX FUND SER1</v>
      </c>
      <c r="E6" s="6" t="s">
        <v>50</v>
      </c>
      <c r="F6" s="15">
        <f t="shared" si="2"/>
        <v>15176826.44</v>
      </c>
      <c r="G6" s="14">
        <f t="shared" si="3"/>
        <v>0.01668214416</v>
      </c>
      <c r="H6" s="4"/>
      <c r="I6" s="4"/>
      <c r="J6" s="4"/>
      <c r="K6" s="4"/>
      <c r="L6" s="4"/>
      <c r="M6" s="4"/>
      <c r="N6" s="4"/>
      <c r="O6" s="4"/>
      <c r="P6" s="4"/>
      <c r="Q6" s="4"/>
      <c r="R6" s="4"/>
      <c r="S6" s="4"/>
      <c r="T6" s="4"/>
      <c r="U6" s="4"/>
      <c r="V6" s="4"/>
      <c r="W6" s="4"/>
      <c r="X6" s="4"/>
    </row>
    <row r="7">
      <c r="A7" s="18">
        <v>3.0</v>
      </c>
      <c r="B7" s="15">
        <f>LARGE('Full Data'!H:H,A7)</f>
        <v>99472160.96</v>
      </c>
      <c r="C7" s="14">
        <f t="shared" si="1"/>
        <v>0.1093383347</v>
      </c>
      <c r="D7" s="17" t="str">
        <f t="array" ref="D7">INDEX('Full Data'!B:B,MATCH(LARGE('Full Data'!H:H,A7),'Full Data'!H:H,0))</f>
        <v>AQUILA LIFE OVER 5YRS I.L.INDEX FUND</v>
      </c>
      <c r="E7" s="4"/>
      <c r="F7" s="15">
        <f t="shared" si="2"/>
        <v>0</v>
      </c>
      <c r="G7" s="14">
        <f t="shared" si="3"/>
        <v>0</v>
      </c>
      <c r="H7" s="4"/>
      <c r="I7" s="4"/>
      <c r="J7" s="4"/>
      <c r="K7" s="4"/>
      <c r="L7" s="4"/>
      <c r="M7" s="4"/>
      <c r="N7" s="4"/>
      <c r="O7" s="4"/>
      <c r="P7" s="4"/>
      <c r="Q7" s="4"/>
      <c r="R7" s="4"/>
      <c r="S7" s="4"/>
      <c r="T7" s="4"/>
      <c r="U7" s="4"/>
      <c r="V7" s="4"/>
      <c r="W7" s="4"/>
      <c r="X7" s="4"/>
    </row>
    <row r="8">
      <c r="A8" s="18">
        <v>4.0</v>
      </c>
      <c r="B8" s="15">
        <f>LARGE('Full Data'!H:H,A8)</f>
        <v>93092712.02</v>
      </c>
      <c r="C8" s="14">
        <f t="shared" si="1"/>
        <v>0.1023261384</v>
      </c>
      <c r="D8" s="17" t="str">
        <f t="array" ref="D8">INDEX('Full Data'!B:B,MATCH(LARGE('Full Data'!H:H,A8),'Full Data'!H:H,0))</f>
        <v>WORLD EMERGING EQ IDX(HN)</v>
      </c>
      <c r="E8" s="6" t="s">
        <v>50</v>
      </c>
      <c r="F8" s="15">
        <f t="shared" si="2"/>
        <v>9309271.202</v>
      </c>
      <c r="G8" s="14">
        <f t="shared" si="3"/>
        <v>0.01023261384</v>
      </c>
      <c r="H8" s="4"/>
      <c r="I8" s="4"/>
      <c r="J8" s="4"/>
      <c r="K8" s="4"/>
      <c r="L8" s="4"/>
      <c r="M8" s="4"/>
      <c r="N8" s="4"/>
      <c r="O8" s="4"/>
      <c r="P8" s="4"/>
      <c r="Q8" s="4"/>
      <c r="R8" s="4"/>
      <c r="S8" s="4"/>
      <c r="T8" s="4"/>
      <c r="U8" s="4"/>
      <c r="V8" s="4"/>
      <c r="W8" s="4"/>
      <c r="X8" s="4"/>
    </row>
    <row r="9">
      <c r="A9" s="18">
        <v>5.0</v>
      </c>
      <c r="B9" s="15">
        <f>LARGE('Full Data'!H:H,A9)</f>
        <v>39665959.56</v>
      </c>
      <c r="C9" s="14">
        <f t="shared" si="1"/>
        <v>0.04360023871</v>
      </c>
      <c r="D9" s="17" t="str">
        <f t="array" ref="D9">INDEX('Full Data'!B:B,MATCH(LARGE('Full Data'!H:H,A9),'Full Data'!H:H,0))</f>
        <v>EUROPE (EX UK) EQUITY INDEX(T)</v>
      </c>
      <c r="E9" s="6" t="s">
        <v>50</v>
      </c>
      <c r="F9" s="15">
        <f t="shared" si="2"/>
        <v>3966595.956</v>
      </c>
      <c r="G9" s="14">
        <f t="shared" si="3"/>
        <v>0.004360023871</v>
      </c>
      <c r="H9" s="4"/>
      <c r="I9" s="4"/>
      <c r="J9" s="4"/>
      <c r="K9" s="4"/>
      <c r="L9" s="4"/>
      <c r="M9" s="4"/>
      <c r="N9" s="4"/>
      <c r="O9" s="4"/>
      <c r="P9" s="4"/>
      <c r="Q9" s="4"/>
      <c r="R9" s="4"/>
      <c r="S9" s="4"/>
      <c r="T9" s="4"/>
      <c r="U9" s="4"/>
      <c r="V9" s="4"/>
      <c r="W9" s="4"/>
      <c r="X9" s="4"/>
    </row>
    <row r="10">
      <c r="A10" s="18">
        <v>6.0</v>
      </c>
      <c r="B10" s="15">
        <f>LARGE('Full Data'!H:H,A10)</f>
        <v>37854331.22</v>
      </c>
      <c r="C10" s="14">
        <f t="shared" si="1"/>
        <v>0.04160892352</v>
      </c>
      <c r="D10" s="17" t="str">
        <f t="array" ref="D10">INDEX('Full Data'!B:B,MATCH(LARGE('Full Data'!H:H,A10),'Full Data'!H:H,0))</f>
        <v>AQUILA LIFE EUROPEAN EQUITY INDEX FD-1</v>
      </c>
      <c r="E10" s="6" t="s">
        <v>50</v>
      </c>
      <c r="F10" s="15">
        <f t="shared" si="2"/>
        <v>3785433.122</v>
      </c>
      <c r="G10" s="14">
        <f t="shared" si="3"/>
        <v>0.004160892352</v>
      </c>
      <c r="H10" s="4"/>
      <c r="I10" s="4"/>
      <c r="J10" s="4"/>
      <c r="K10" s="4"/>
      <c r="L10" s="4"/>
      <c r="M10" s="4"/>
      <c r="N10" s="4"/>
      <c r="O10" s="4"/>
      <c r="P10" s="4"/>
      <c r="Q10" s="4"/>
      <c r="R10" s="4"/>
      <c r="S10" s="4"/>
      <c r="T10" s="4"/>
      <c r="U10" s="4"/>
      <c r="V10" s="4"/>
      <c r="W10" s="4"/>
      <c r="X10" s="4"/>
    </row>
    <row r="11">
      <c r="A11" s="18">
        <v>7.0</v>
      </c>
      <c r="B11" s="15">
        <f>LARGE('Full Data'!H:H,A11)</f>
        <v>33249503.19</v>
      </c>
      <c r="C11" s="14">
        <f t="shared" si="1"/>
        <v>0.03654736435</v>
      </c>
      <c r="D11" s="17" t="str">
        <f t="array" ref="D11">INDEX('Full Data'!B:B,MATCH(LARGE('Full Data'!H:H,A11),'Full Data'!H:H,0))</f>
        <v>NORTH AMERICA EQUITY INDEX(S)</v>
      </c>
      <c r="E11" s="6" t="s">
        <v>50</v>
      </c>
      <c r="F11" s="15">
        <f t="shared" si="2"/>
        <v>3324950.319</v>
      </c>
      <c r="G11" s="14">
        <f t="shared" si="3"/>
        <v>0.003654736435</v>
      </c>
      <c r="H11" s="4"/>
      <c r="I11" s="4"/>
      <c r="J11" s="4"/>
      <c r="K11" s="4"/>
      <c r="L11" s="4"/>
      <c r="M11" s="4"/>
      <c r="N11" s="4"/>
      <c r="O11" s="4"/>
      <c r="P11" s="4"/>
      <c r="Q11" s="4"/>
      <c r="R11" s="4"/>
      <c r="S11" s="4"/>
      <c r="T11" s="4"/>
      <c r="U11" s="4"/>
      <c r="V11" s="4"/>
      <c r="W11" s="4"/>
      <c r="X11" s="4"/>
    </row>
    <row r="12">
      <c r="A12" s="18">
        <v>8.0</v>
      </c>
      <c r="B12" s="15">
        <f>LARGE('Full Data'!H:H,A12)</f>
        <v>25644895.58</v>
      </c>
      <c r="C12" s="14">
        <f t="shared" si="1"/>
        <v>0.02818849163</v>
      </c>
      <c r="D12" s="17" t="str">
        <f t="array" ref="D12">INDEX('Full Data'!B:B,MATCH(LARGE('Full Data'!H:H,A12),'Full Data'!H:H,0))</f>
        <v>LEGAL AND GENERAL JAPAN EQUITY INDEX</v>
      </c>
      <c r="E12" s="6" t="s">
        <v>50</v>
      </c>
      <c r="F12" s="15">
        <f t="shared" si="2"/>
        <v>2564489.558</v>
      </c>
      <c r="G12" s="14">
        <f t="shared" si="3"/>
        <v>0.002818849163</v>
      </c>
      <c r="H12" s="4"/>
      <c r="I12" s="4"/>
      <c r="J12" s="4"/>
      <c r="K12" s="4"/>
      <c r="L12" s="4"/>
      <c r="M12" s="4"/>
      <c r="N12" s="4"/>
      <c r="O12" s="4"/>
      <c r="P12" s="4"/>
      <c r="Q12" s="4"/>
      <c r="R12" s="4"/>
      <c r="S12" s="4"/>
      <c r="T12" s="4"/>
      <c r="U12" s="4"/>
      <c r="V12" s="4"/>
      <c r="W12" s="4"/>
      <c r="X12" s="4"/>
    </row>
    <row r="13">
      <c r="A13" s="18">
        <v>9.0</v>
      </c>
      <c r="B13" s="15">
        <f>LARGE('Full Data'!H:H,A13)</f>
        <v>24134998.1</v>
      </c>
      <c r="C13" s="14">
        <f t="shared" si="1"/>
        <v>0.02652883455</v>
      </c>
      <c r="D13" s="17" t="str">
        <f t="array" ref="D13">INDEX('Full Data'!B:B,MATCH(LARGE('Full Data'!H:H,A13),'Full Data'!H:H,0))</f>
        <v>LEGAL &amp; GENERAL AP OVER 5YR I-L GILT IDX</v>
      </c>
      <c r="E13" s="4"/>
      <c r="F13" s="15">
        <f t="shared" si="2"/>
        <v>0</v>
      </c>
      <c r="G13" s="14">
        <f t="shared" si="3"/>
        <v>0</v>
      </c>
      <c r="H13" s="4"/>
      <c r="I13" s="4"/>
      <c r="J13" s="4"/>
      <c r="K13" s="4"/>
      <c r="L13" s="4"/>
      <c r="M13" s="4"/>
      <c r="N13" s="4"/>
      <c r="O13" s="4"/>
      <c r="P13" s="4"/>
      <c r="Q13" s="4"/>
      <c r="R13" s="4"/>
      <c r="S13" s="4"/>
      <c r="T13" s="4"/>
      <c r="U13" s="4"/>
      <c r="V13" s="4"/>
      <c r="W13" s="4"/>
      <c r="X13" s="4"/>
    </row>
    <row r="14">
      <c r="A14" s="18">
        <v>10.0</v>
      </c>
      <c r="B14" s="15">
        <f>LARGE('Full Data'!H:H,A14)</f>
        <v>23507048.43</v>
      </c>
      <c r="C14" s="14">
        <f t="shared" si="1"/>
        <v>0.02583860152</v>
      </c>
      <c r="D14" s="17" t="str">
        <f t="array" ref="D14">INDEX('Full Data'!B:B,MATCH(LARGE('Full Data'!H:H,A14),'Full Data'!H:H,0))</f>
        <v>L&amp;G N - UK EQUITY INDEX</v>
      </c>
      <c r="E14" s="6" t="s">
        <v>50</v>
      </c>
      <c r="F14" s="15">
        <f t="shared" si="2"/>
        <v>2350704.843</v>
      </c>
      <c r="G14" s="14">
        <f t="shared" si="3"/>
        <v>0.002583860152</v>
      </c>
      <c r="H14" s="4"/>
      <c r="I14" s="4"/>
      <c r="J14" s="4"/>
      <c r="K14" s="4"/>
      <c r="L14" s="4"/>
      <c r="M14" s="4"/>
      <c r="N14" s="4"/>
      <c r="O14" s="4"/>
      <c r="P14" s="4"/>
      <c r="Q14" s="4"/>
      <c r="R14" s="4"/>
      <c r="S14" s="4"/>
      <c r="T14" s="4"/>
      <c r="U14" s="4"/>
      <c r="V14" s="4"/>
      <c r="W14" s="4"/>
      <c r="X14" s="4"/>
    </row>
    <row r="15">
      <c r="A15" s="18">
        <v>11.0</v>
      </c>
      <c r="B15" s="15">
        <f>LARGE('Full Data'!H:H,A15)</f>
        <v>17649158.29</v>
      </c>
      <c r="C15" s="14">
        <f t="shared" si="1"/>
        <v>0.01939969493</v>
      </c>
      <c r="D15" s="17" t="str">
        <f t="array" ref="D15">INDEX('Full Data'!B:B,MATCH(LARGE('Full Data'!H:H,A15),'Full Data'!H:H,0))</f>
        <v>PANTHEON USA FUND VII LIMITED</v>
      </c>
      <c r="E15" s="4"/>
      <c r="F15" s="15">
        <f t="shared" si="2"/>
        <v>0</v>
      </c>
      <c r="G15" s="14">
        <f t="shared" si="3"/>
        <v>0</v>
      </c>
      <c r="H15" s="4"/>
      <c r="I15" s="4"/>
      <c r="J15" s="4"/>
      <c r="K15" s="4"/>
      <c r="L15" s="4"/>
      <c r="M15" s="4"/>
      <c r="N15" s="4"/>
      <c r="O15" s="4"/>
      <c r="P15" s="4"/>
      <c r="Q15" s="4"/>
      <c r="R15" s="4"/>
      <c r="S15" s="4"/>
      <c r="T15" s="4"/>
      <c r="U15" s="4"/>
      <c r="V15" s="4"/>
      <c r="W15" s="4"/>
      <c r="X15" s="4"/>
    </row>
    <row r="16">
      <c r="A16" s="18">
        <v>12.0</v>
      </c>
      <c r="B16" s="15">
        <f>LARGE('Full Data'!H:H,A16)</f>
        <v>17513021.67</v>
      </c>
      <c r="C16" s="14">
        <f t="shared" si="1"/>
        <v>0.01925005556</v>
      </c>
      <c r="D16" s="17" t="str">
        <f t="array" ref="D16">INDEX('Full Data'!B:B,MATCH(LARGE('Full Data'!H:H,A16),'Full Data'!H:H,0))</f>
        <v>AQUILA LIFE PAC RIM EQTY IDX FUND SER 1</v>
      </c>
      <c r="E16" s="6" t="s">
        <v>50</v>
      </c>
      <c r="F16" s="15">
        <f t="shared" si="2"/>
        <v>1751302.167</v>
      </c>
      <c r="G16" s="14">
        <f t="shared" si="3"/>
        <v>0.001925005556</v>
      </c>
      <c r="H16" s="4"/>
      <c r="I16" s="4"/>
      <c r="J16" s="4"/>
      <c r="K16" s="4"/>
      <c r="L16" s="4"/>
      <c r="M16" s="4"/>
      <c r="N16" s="4"/>
      <c r="O16" s="4"/>
      <c r="P16" s="4"/>
      <c r="Q16" s="4"/>
      <c r="R16" s="4"/>
      <c r="S16" s="4"/>
      <c r="T16" s="4"/>
      <c r="U16" s="4"/>
      <c r="V16" s="4"/>
      <c r="W16" s="4"/>
      <c r="X16" s="4"/>
    </row>
    <row r="17">
      <c r="A17" s="18">
        <v>13.0</v>
      </c>
      <c r="B17" s="15">
        <f>LARGE('Full Data'!H:H,A17)</f>
        <v>17130346.19</v>
      </c>
      <c r="C17" s="14">
        <f t="shared" si="1"/>
        <v>0.01882942431</v>
      </c>
      <c r="D17" s="17" t="str">
        <f t="array" ref="D17">INDEX('Full Data'!B:B,MATCH(LARGE('Full Data'!H:H,A17),'Full Data'!H:H,0))</f>
        <v>LEGAL &amp; GENERAL ASIA PACIFIC EX JAPAN   DEV EQUITY INDEX</v>
      </c>
      <c r="E17" s="6" t="s">
        <v>50</v>
      </c>
      <c r="F17" s="15">
        <f t="shared" si="2"/>
        <v>1713034.619</v>
      </c>
      <c r="G17" s="14">
        <f t="shared" si="3"/>
        <v>0.001882942431</v>
      </c>
      <c r="H17" s="4"/>
      <c r="I17" s="4"/>
      <c r="J17" s="4"/>
      <c r="K17" s="4"/>
      <c r="L17" s="4"/>
      <c r="M17" s="4"/>
      <c r="N17" s="4"/>
      <c r="O17" s="4"/>
      <c r="P17" s="4"/>
      <c r="Q17" s="4"/>
      <c r="R17" s="4"/>
      <c r="S17" s="4"/>
      <c r="T17" s="4"/>
      <c r="U17" s="4"/>
      <c r="V17" s="4"/>
      <c r="W17" s="4"/>
      <c r="X17" s="4"/>
    </row>
    <row r="18">
      <c r="A18" s="18">
        <v>14.0</v>
      </c>
      <c r="B18" s="15">
        <f>LARGE('Full Data'!H:H,A18)</f>
        <v>15166766.55</v>
      </c>
      <c r="C18" s="14">
        <f t="shared" si="1"/>
        <v>0.01667108648</v>
      </c>
      <c r="D18" s="17" t="str">
        <f t="array" ref="D18">INDEX('Full Data'!B:B,MATCH(LARGE('Full Data'!H:H,A18),'Full Data'!H:H,0))</f>
        <v>AQUILA LIFE CANADIA EQTY FUND SERIES 1</v>
      </c>
      <c r="E18" s="6" t="s">
        <v>50</v>
      </c>
      <c r="F18" s="15">
        <f t="shared" si="2"/>
        <v>1516676.655</v>
      </c>
      <c r="G18" s="14">
        <f t="shared" si="3"/>
        <v>0.001667108648</v>
      </c>
      <c r="H18" s="4"/>
      <c r="I18" s="4"/>
      <c r="J18" s="4"/>
      <c r="K18" s="4"/>
      <c r="L18" s="4"/>
      <c r="M18" s="4"/>
      <c r="N18" s="4"/>
      <c r="O18" s="4"/>
      <c r="P18" s="4"/>
      <c r="Q18" s="4"/>
      <c r="R18" s="4"/>
      <c r="S18" s="4"/>
      <c r="T18" s="4"/>
      <c r="U18" s="4"/>
      <c r="V18" s="4"/>
      <c r="W18" s="4"/>
      <c r="X18" s="4"/>
    </row>
    <row r="19">
      <c r="A19" s="18">
        <v>15.0</v>
      </c>
      <c r="B19" s="15">
        <f>LARGE('Full Data'!H:H,A19)</f>
        <v>13572879.47</v>
      </c>
      <c r="C19" s="14">
        <f t="shared" si="1"/>
        <v>0.01491910927</v>
      </c>
      <c r="D19" s="17" t="str">
        <f t="array" ref="D19">INDEX('Full Data'!B:B,MATCH(LARGE('Full Data'!H:H,A19),'Full Data'!H:H,0))</f>
        <v>PANTHEON EUROPE FUND VI</v>
      </c>
      <c r="E19" s="4"/>
      <c r="F19" s="15">
        <f t="shared" si="2"/>
        <v>0</v>
      </c>
      <c r="G19" s="14">
        <f t="shared" si="3"/>
        <v>0</v>
      </c>
      <c r="H19" s="4"/>
      <c r="I19" s="4"/>
      <c r="J19" s="4"/>
      <c r="K19" s="4"/>
      <c r="L19" s="4"/>
      <c r="M19" s="4"/>
      <c r="N19" s="4"/>
      <c r="O19" s="4"/>
      <c r="P19" s="4"/>
      <c r="Q19" s="4"/>
      <c r="R19" s="4"/>
      <c r="S19" s="4"/>
      <c r="T19" s="4"/>
      <c r="U19" s="4"/>
      <c r="V19" s="4"/>
      <c r="W19" s="4"/>
      <c r="X19" s="4"/>
    </row>
    <row r="20">
      <c r="A20" s="4"/>
      <c r="B20" s="4"/>
      <c r="C20" s="4"/>
      <c r="D20" s="4"/>
      <c r="E20" s="23" t="s">
        <v>52</v>
      </c>
      <c r="F20" s="15">
        <f t="shared" ref="F20:G20" si="4">SUM(F5:F19)</f>
        <v>66463955.94</v>
      </c>
      <c r="G20" s="14">
        <f t="shared" si="4"/>
        <v>0.07305620177</v>
      </c>
      <c r="H20" s="4"/>
      <c r="I20" s="4"/>
      <c r="J20" s="4"/>
      <c r="K20" s="4"/>
      <c r="L20" s="4"/>
      <c r="M20" s="4"/>
      <c r="N20" s="4"/>
      <c r="O20" s="4"/>
      <c r="P20" s="4"/>
      <c r="Q20" s="4"/>
      <c r="R20" s="4"/>
      <c r="S20" s="4"/>
      <c r="T20" s="4"/>
      <c r="U20" s="4"/>
      <c r="V20" s="4"/>
      <c r="W20" s="4"/>
      <c r="X20" s="4"/>
    </row>
    <row r="21">
      <c r="A21" s="4"/>
      <c r="B21" s="4"/>
      <c r="C21" s="4"/>
      <c r="D21" s="4"/>
      <c r="E21" s="4" t="s">
        <v>54</v>
      </c>
      <c r="F21" s="15">
        <f>'Fossil Fuel direct investments'!B3</f>
        <v>0</v>
      </c>
      <c r="G21" s="14">
        <f>'Fossil Fuel direct investments'!B4</f>
        <v>0</v>
      </c>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t="s">
        <v>55</v>
      </c>
      <c r="F23" s="15">
        <f t="shared" ref="F23:G23" si="5">F20+F21</f>
        <v>66463955.94</v>
      </c>
      <c r="G23" s="14">
        <f t="shared" si="5"/>
        <v>0.07305620177</v>
      </c>
      <c r="H23" s="4"/>
      <c r="I23" s="4"/>
      <c r="J23" s="4"/>
      <c r="K23" s="4"/>
      <c r="L23" s="4"/>
      <c r="M23" s="4"/>
      <c r="N23" s="4"/>
      <c r="O23" s="4"/>
      <c r="P23" s="4"/>
      <c r="Q23" s="4"/>
      <c r="R23" s="4"/>
      <c r="S23" s="4"/>
      <c r="T23" s="4"/>
      <c r="U23" s="4"/>
      <c r="V23" s="4"/>
      <c r="W23" s="4"/>
      <c r="X23" s="4"/>
    </row>
    <row r="24">
      <c r="A24" s="4"/>
      <c r="B24" s="4"/>
      <c r="C24" s="4"/>
      <c r="D24" s="4"/>
      <c r="E24" s="4" t="s">
        <v>20</v>
      </c>
      <c r="F24" s="10">
        <f>'Fossil Fuel direct investments'!B2</f>
        <v>909764733.7</v>
      </c>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drawing r:id="rId1"/>
</worksheet>
</file>