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<sst xmlns="http://schemas.openxmlformats.org/spreadsheetml/2006/main" count="322" uniqueCount="152">
  <si>
    <t>Name</t>
  </si>
  <si>
    <t xml:space="preserve">Name of Local Authority Pension Fund </t>
  </si>
  <si>
    <t>To access the full data open the sheet "Full Data" from the menu at the bottom.</t>
  </si>
  <si>
    <t xml:space="preserve">Description of Holding </t>
  </si>
  <si>
    <t>Sub-category / classification</t>
  </si>
  <si>
    <t>Oil/gas companies</t>
  </si>
  <si>
    <t xml:space="preserve">"Fossil Fuel direct investments" lists the fossil fuel companies the fund is most heavily invested in </t>
  </si>
  <si>
    <t xml:space="preserve">and "Pooled funds &amp; Total Fossil Fuels" gives a summary of the fossil fuel investments in relation </t>
  </si>
  <si>
    <t>Coal companies</t>
  </si>
  <si>
    <t>Verification</t>
  </si>
  <si>
    <t>to the total holdings.</t>
  </si>
  <si>
    <t>Fossil Fuel Amounts</t>
  </si>
  <si>
    <t>NOTE:</t>
  </si>
  <si>
    <t>All Amounts</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</si>
  <si>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</si>
  <si>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</si>
  <si>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</si>
  <si>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</si>
  <si>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Annual Report 2014</t>
  </si>
  <si>
    <t>downloadable from http://gofossilfree.org/uk/pensions/</t>
  </si>
  <si>
    <t>Data sheets for other local authorities and contact details if you can’t find what</t>
  </si>
  <si>
    <t>http://www.northumberland.gov.uk/default.aspx?page=4820</t>
  </si>
  <si>
    <t>you are looking for can be accessed from</t>
  </si>
  <si>
    <t>http://gofossilfree.org/uk/pensions/</t>
  </si>
  <si>
    <t xml:space="preserve">Northumberland County Council Pension Fund </t>
  </si>
  <si>
    <t>AKZO NOBEL EUR 2 ORD</t>
  </si>
  <si>
    <t>BASIC MATERIALS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</si>
  <si>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</si>
  <si>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</si>
  <si>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</si>
  <si>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</si>
  <si>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</si>
  <si>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</si>
  <si>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</si>
  <si>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</si>
  <si>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</si>
  <si>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</si>
  <si>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</si>
  <si>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</si>
  <si>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</si>
  <si>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</si>
  <si>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</si>
  <si>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</si>
  <si>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</si>
  <si>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</si>
  <si>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</si>
  <si>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</si>
  <si>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</si>
  <si>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</si>
  <si>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Legal and General UK Equity index</t>
  </si>
  <si>
    <t>yes</t>
  </si>
  <si>
    <t>Global Leaders Fund - M&amp;G Investment Management</t>
  </si>
  <si>
    <t>BlackRock</t>
  </si>
  <si>
    <t>Total estimated fossil fuels in largest pooled funds</t>
  </si>
  <si>
    <t>Total direct fossil fuels</t>
  </si>
  <si>
    <t>Total fossil fuels</t>
  </si>
  <si>
    <t>GLENCORE XSTRATA PLC USD 0.01 COM STK</t>
  </si>
  <si>
    <t>RIO TINTO PLC 10p ORD</t>
  </si>
  <si>
    <t>SOLVAY SA EUR 0 ORD</t>
  </si>
  <si>
    <t>AMER SPORTS OYJ EUR 0 ORD</t>
  </si>
  <si>
    <t>CONSUMER GOODS</t>
  </si>
  <si>
    <t>BRIDGESTONE CORP JPY ORD</t>
  </si>
  <si>
    <t>CBS CORP-CLASS B NON VOTING USD 0.001 COM STK</t>
  </si>
  <si>
    <t>GROUPON INC USD 0.0001 COM STK</t>
  </si>
  <si>
    <t>HARLEY-DAVIDSON INC USD 0.01 COM STK</t>
  </si>
  <si>
    <t>LEAPFROG ENTERPRISES INC USD 0.0001 COM STK</t>
  </si>
  <si>
    <t>MADISON SQUARE GARDEN CO-A USD 0.01 COM STK</t>
  </si>
  <si>
    <t>MGM RESORTS INTERNATIONAL USD 0.01 COM STK</t>
  </si>
  <si>
    <t>NEWS CORP - CLASS B USD COM STK</t>
  </si>
  <si>
    <t>NGK SPARK PLUG CO LTD JPY ORD</t>
  </si>
  <si>
    <t>RENAULT SA EUR 3.81 ORD</t>
  </si>
  <si>
    <t>SAMSONITE INTERNATIONAL SA USD 0.01 COM STK</t>
  </si>
  <si>
    <t>SEGA SAMMY HOLDINGS INC JPY ORD</t>
  </si>
  <si>
    <t>TWENTY-FIRST CENTURY FOX - B USD 0.01 COM STK</t>
  </si>
  <si>
    <t>CVS CAREMARK CORP USD 0.01 COM STK</t>
  </si>
  <si>
    <t>CONSUMER SERVICES</t>
  </si>
  <si>
    <t>INGREDION INC USD 0.01 COM STK</t>
  </si>
  <si>
    <t>METRO AG EUR 0 ORD</t>
  </si>
  <si>
    <t>SUPERVALU INC USD 0.01 COM STK</t>
  </si>
  <si>
    <t>TREASURY WINE ESTATES LTD AUD ORD</t>
  </si>
  <si>
    <t>VIVENDI EUR 5.5 ORD</t>
  </si>
  <si>
    <t>AIA GROUP LTD USD 0 COM STK</t>
  </si>
  <si>
    <t>FINANCIALS</t>
  </si>
  <si>
    <t>BANCA MONTE DEI PASCHI SIENA EUR 0 ORD</t>
  </si>
  <si>
    <t>BANK OF YOKOHAMA LTD/THE JPY ORD</t>
  </si>
  <si>
    <t>BANKINTER SA EUR 0.3 ORD</t>
  </si>
  <si>
    <t>BRASIL INSURANCE PARTICIPACO BRL 0 ORD</t>
  </si>
  <si>
    <t>CITIGROUP INC USD 0.01 COM STK</t>
  </si>
  <si>
    <t>INTESA SANPAOLO EUR 0.52 ORD</t>
  </si>
  <si>
    <t>LLOYDS BANKING GROUP PLC 10p ORD</t>
  </si>
  <si>
    <t>METLIFE INC USD 0.01 COM STK</t>
  </si>
  <si>
    <t>MORGAN STANLEY USD 0.01 COM STK</t>
  </si>
  <si>
    <t>ROYAL BANK OF SCOTLAND GROUP 100p ORD</t>
  </si>
  <si>
    <t>SBERBANK-SPONSORED ADR USD ADR</t>
  </si>
  <si>
    <t>SLM CORP USD 0.2 COM STK</t>
  </si>
  <si>
    <t>STATE BANK OF INDIA INR 10 ORD</t>
  </si>
  <si>
    <t>UNICREDIT SPA EUR 0 ORD</t>
  </si>
  <si>
    <t>AMGEN INC USD 0.0001 COM STK</t>
  </si>
  <si>
    <t>HEALTH CARE</t>
  </si>
  <si>
    <t>H LUNDBECK A/S DKK 5 ORD</t>
  </si>
  <si>
    <t>HAEMONETICS CORP/MASS USD 0.01 COM STK</t>
  </si>
  <si>
    <t>MALLINCKRODT PLC USD 0.2 COM STK</t>
  </si>
  <si>
    <t>MEDTRONIC INC USD 0.1 COM STK</t>
  </si>
  <si>
    <t>NOVARTIS AG-REG CHF 0.5 ORD</t>
  </si>
  <si>
    <t>ROCHE HOLDING AG-GENUSSCHEIN CHF 0 ORD</t>
  </si>
  <si>
    <t>BODYCOTE PLC 17.273p ORD</t>
  </si>
  <si>
    <t>INDUSTRIALS</t>
  </si>
  <si>
    <t>CON-WAY INC USD 0.625 COM STK</t>
  </si>
  <si>
    <t>DEERE &amp; CO USD 1 COM STK</t>
  </si>
  <si>
    <t>FORTUNE BRANDS HOME &amp; SECURI USD 0.01 COM STK</t>
  </si>
  <si>
    <t>0</t>
  </si>
  <si>
    <t>ITT CORP USD 1 COM STK</t>
  </si>
  <si>
    <t>JOY GLOBAL INC USD 1 COM STK</t>
  </si>
  <si>
    <t>NIDEC CORP JPY ORD</t>
  </si>
  <si>
    <t>PARKER HANNIFIN CORP USD 0.5 COM STK</t>
  </si>
  <si>
    <t>SNAP-ON INC USD 1 COM STK</t>
  </si>
  <si>
    <t>UTI WORLDWIDE INC USD 0 COM STK</t>
  </si>
  <si>
    <t>XYLEM INC USD COM STK</t>
  </si>
  <si>
    <t>ANADARKO PETROLEUM CORP USD 0.1 COM STK</t>
  </si>
  <si>
    <t>OIL &amp; GAS</t>
  </si>
  <si>
    <t>CHINA PETROLEUM &amp; CHEMICAL-H CNY 1 ORD</t>
  </si>
  <si>
    <t>Sinopec</t>
  </si>
  <si>
    <t>HALLIBURTON CO USD 2.5 COM STK</t>
  </si>
  <si>
    <t>PETROFAC LTD USD 0.02 COM STK</t>
  </si>
  <si>
    <t>ROCKHOPPER EXPLORATION PLC 1p ORD</t>
  </si>
  <si>
    <t>TALISMAN ENERGY INC CAD 0 ORD</t>
  </si>
  <si>
    <t>BUYEUR</t>
  </si>
  <si>
    <t>Other (inc Managed Funds)</t>
  </si>
  <si>
    <t>BUYGBP</t>
  </si>
  <si>
    <t>Cash - AUD</t>
  </si>
  <si>
    <t>Cash - CAD</t>
  </si>
  <si>
    <t>Cash - EUR</t>
  </si>
  <si>
    <t>Cash - GBP</t>
  </si>
  <si>
    <t>Cash - JPY</t>
  </si>
  <si>
    <t>Cash - SEK</t>
  </si>
  <si>
    <t>Cash - USD</t>
  </si>
  <si>
    <t>SELLJPY</t>
  </si>
  <si>
    <t>BARCO N.V. EUR 0 ORD</t>
  </si>
  <si>
    <t>TECHNOLOGY</t>
  </si>
  <si>
    <t>EBAY INC USD 0.001 COM STK</t>
  </si>
  <si>
    <t>EMC CORP/MA USD 0.01 COM STK</t>
  </si>
  <si>
    <t>FUJIFILM HOLDINGS CORP JPY ORD</t>
  </si>
  <si>
    <t>HITACHI LTD JPY ORD</t>
  </si>
  <si>
    <t>JABIL CIRCUIT INC USD 0.001 COM STK</t>
  </si>
  <si>
    <t>KONAMI CORP JPY ORD</t>
  </si>
  <si>
    <t>MICROSOFT CORP USD 0.00000625 COM STK</t>
  </si>
  <si>
    <t>MOTOROLA SOLUTIONS INC USD 0.01 COM STK</t>
  </si>
  <si>
    <t>NOMURA RESEARCH INSTITUTE LT JPY ORD</t>
  </si>
  <si>
    <t>NVIDIA CORP USD 0.001 COM STK</t>
  </si>
  <si>
    <t>ROCKET FUEL INC USD 0.001 COM STK</t>
  </si>
  <si>
    <t>SAMSUNG ELECTRONICS-PREF KRW PREFERENCE</t>
  </si>
  <si>
    <t>TESSERA TECHNOLOGIES INC USD 0.001 COM STK</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</si>
</sst>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font>
    <font>
      <b/>
    </font>
    <font/>
    <font>
      <b/>
      <sz val="10.0"/>
    </font>
    <font>
      <u/>
      <sz val="10.0"/>
      <color rgb="FF0000FF"/>
    </font>
    <font>
      <u/>
      <color rgb="FF0000FF"/>
    </font>
    <font>
      <sz val="11.0"/>
    </font>
    <font>
      <sz val="10.0"/>
      <color rgb="FF0000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0">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4" numFmtId="0" xfId="0" applyAlignment="1" applyFont="1">
      <alignment horizontal="left" vertical="bottom"/>
    </xf>
    <xf borderId="0" fillId="0" fontId="4" numFmtId="4" xfId="0" applyAlignment="1" applyFont="1" applyNumberFormat="1">
      <alignment horizontal="center" vertical="bottom"/>
    </xf>
    <xf borderId="0" fillId="0" fontId="1" numFmtId="0" xfId="0" applyAlignment="1" applyFont="1">
      <alignment vertical="bottom"/>
    </xf>
    <xf borderId="0" fillId="0" fontId="4" numFmtId="0" xfId="0" applyAlignment="1" applyFont="1">
      <alignment horizontal="left" vertical="bottom"/>
    </xf>
    <xf borderId="0" fillId="0" fontId="2" numFmtId="0" xfId="0" applyFont="1"/>
    <xf borderId="0" fillId="0" fontId="1" numFmtId="0" xfId="0" applyAlignment="1" applyFont="1">
      <alignment horizontal="left" vertical="bottom"/>
    </xf>
    <xf borderId="0" fillId="0" fontId="5" numFmtId="0" xfId="0" applyAlignment="1" applyFont="1">
      <alignment vertical="bottom"/>
    </xf>
    <xf borderId="0" fillId="0" fontId="6" numFmtId="0" xfId="0" applyAlignment="1" applyFont="1">
      <alignment/>
    </xf>
    <xf borderId="0" fillId="0" fontId="1" numFmtId="3" xfId="0" applyAlignment="1" applyFont="1" applyNumberFormat="1">
      <alignment horizontal="right" vertical="bottom"/>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vertical="bottom"/>
    </xf>
    <xf borderId="0" fillId="0" fontId="3" numFmtId="49" xfId="0" applyAlignment="1" applyFont="1" applyNumberFormat="1">
      <alignment/>
    </xf>
    <xf borderId="0" fillId="2" fontId="7" numFmtId="4" xfId="0" applyAlignment="1" applyFill="1" applyFont="1" applyNumberFormat="1">
      <alignment vertical="bottom"/>
    </xf>
    <xf borderId="0" fillId="0" fontId="1" numFmtId="0" xfId="0" applyAlignment="1" applyFont="1">
      <alignment vertical="bottom" wrapText="1"/>
    </xf>
    <xf borderId="0" fillId="0" fontId="1" numFmtId="4" xfId="0" applyAlignment="1" applyBorder="1" applyFont="1" applyNumberFormat="1">
      <alignment horizontal="center" vertical="bottom"/>
    </xf>
    <xf borderId="0" fillId="0" fontId="1" numFmtId="0" xfId="0" applyAlignment="1" applyFont="1">
      <alignment horizontal="left" vertical="bottom"/>
    </xf>
    <xf borderId="0" fillId="0" fontId="1" numFmtId="4" xfId="0" applyAlignment="1" applyBorder="1" applyFont="1" applyNumberFormat="1">
      <alignment horizontal="center" vertical="bottom"/>
    </xf>
    <xf borderId="0" fillId="2" fontId="7" numFmtId="0" xfId="0" applyAlignment="1" applyFont="1">
      <alignment vertical="bottom"/>
    </xf>
    <xf borderId="0" fillId="0" fontId="1" numFmtId="4" xfId="0" applyAlignment="1" applyFont="1" applyNumberFormat="1">
      <alignment horizontal="center" vertical="bottom"/>
    </xf>
    <xf borderId="0" fillId="2" fontId="7" numFmtId="0" xfId="0" applyAlignment="1" applyFont="1">
      <alignment vertical="bottom"/>
    </xf>
    <xf borderId="0" fillId="0" fontId="3" numFmtId="4" xfId="0" applyAlignment="1" applyFont="1" applyNumberFormat="1">
      <alignment/>
    </xf>
    <xf borderId="0" fillId="0" fontId="1" numFmtId="0" xfId="0" applyAlignment="1" applyFont="1">
      <alignment horizontal="center" vertical="bottom"/>
    </xf>
    <xf borderId="0" fillId="2" fontId="8" numFmtId="0" xfId="0" applyAlignment="1" applyFont="1">
      <alignment horizontal="left" vertical="bottom"/>
    </xf>
    <xf borderId="0" fillId="2" fontId="8" numFmtId="0" xfId="0" applyAlignment="1" applyFont="1">
      <alignment horizontal="center" vertical="bottom"/>
    </xf>
    <xf borderId="0" fillId="2" fontId="8" numFmtId="0" xfId="0" applyAlignment="1" applyFont="1">
      <alignment horizontal="left" vertical="bottom"/>
    </xf>
    <xf borderId="0" fillId="2" fontId="8" numFmtId="4" xfId="0" applyAlignment="1" applyFont="1" applyNumberFormat="1">
      <alignment horizontal="center" vertical="bottom"/>
    </xf>
    <xf borderId="0" fillId="2" fontId="1" numFmtId="0" xfId="0" applyAlignment="1" applyFont="1">
      <alignment horizontal="left" vertical="bottom"/>
    </xf>
    <xf borderId="0" fillId="2" fontId="1" numFmtId="4" xfId="0" applyAlignment="1" applyFont="1" applyNumberFormat="1">
      <alignment horizontal="center" vertical="bottom"/>
    </xf>
    <xf borderId="0" fillId="2" fontId="1"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northumberland.gov.uk/default.aspx?page=482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2</v>
      </c>
    </row>
    <row r="2">
      <c r="A2" s="3" t="s">
        <v>6</v>
      </c>
    </row>
    <row r="3">
      <c r="A3" s="3" t="s">
        <v>7</v>
      </c>
    </row>
    <row r="4">
      <c r="A4" s="3" t="s">
        <v>10</v>
      </c>
    </row>
    <row r="5">
      <c r="A5" s="3" t="s">
        <v>12</v>
      </c>
    </row>
    <row r="6">
      <c r="A6" s="3" t="s">
        <v>14</v>
      </c>
    </row>
    <row r="7">
      <c r="A7" s="3" t="s">
        <v>15</v>
      </c>
    </row>
    <row r="8">
      <c r="A8" s="3" t="s">
        <v>16</v>
      </c>
    </row>
    <row r="9">
      <c r="A9" s="3" t="s">
        <v>17</v>
      </c>
    </row>
    <row r="10">
      <c r="A10" s="3" t="s">
        <v>19</v>
      </c>
    </row>
    <row r="11">
      <c r="A11" s="3" t="s">
        <v>20</v>
      </c>
    </row>
    <row r="12">
      <c r="A12" s="3" t="s">
        <v>22</v>
      </c>
    </row>
    <row r="13">
      <c r="A13" s="11" t="s">
        <v>23</v>
      </c>
    </row>
    <row r="15">
      <c r="A15" s="3" t="s">
        <v>28</v>
      </c>
    </row>
    <row r="16">
      <c r="A16" s="3" t="s">
        <v>29</v>
      </c>
    </row>
    <row r="17">
      <c r="A17" s="3" t="s">
        <v>30</v>
      </c>
    </row>
    <row r="18">
      <c r="A18" s="3" t="s">
        <v>31</v>
      </c>
    </row>
    <row r="19">
      <c r="A19" s="3" t="s">
        <v>32</v>
      </c>
    </row>
    <row r="20">
      <c r="A20" s="3" t="s">
        <v>33</v>
      </c>
    </row>
    <row r="21">
      <c r="A21" s="3" t="s">
        <v>34</v>
      </c>
    </row>
    <row r="22">
      <c r="A22" s="3" t="s">
        <v>35</v>
      </c>
    </row>
    <row r="23">
      <c r="A23" s="3" t="s">
        <v>36</v>
      </c>
    </row>
    <row r="24">
      <c r="A24" s="3"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 customWidth="1" min="2" max="2" width="68.43"/>
    <col customWidth="1" min="3" max="3" width="25.29"/>
    <col customWidth="1" min="4" max="8" width="24.14"/>
    <col customWidth="1" min="9" max="9" width="26.43"/>
    <col customWidth="1" min="10" max="10" width="23.71"/>
    <col customWidth="1" min="11" max="11" width="20.86"/>
  </cols>
  <sheetData>
    <row r="1" ht="24.0" customHeight="1">
      <c r="A1" s="2" t="s">
        <v>1</v>
      </c>
      <c r="B1" s="4" t="s">
        <v>3</v>
      </c>
      <c r="C1" s="4" t="s">
        <v>4</v>
      </c>
      <c r="D1" s="5" t="s">
        <v>5</v>
      </c>
      <c r="E1" s="5" t="s">
        <v>8</v>
      </c>
      <c r="F1" s="5" t="s">
        <v>9</v>
      </c>
      <c r="G1" s="5" t="s">
        <v>11</v>
      </c>
      <c r="H1" s="5" t="s">
        <v>13</v>
      </c>
      <c r="I1" s="7"/>
      <c r="J1" s="5"/>
      <c r="K1" s="8"/>
      <c r="L1" s="8"/>
      <c r="M1" s="8"/>
      <c r="N1" s="8"/>
      <c r="O1" s="8"/>
      <c r="P1" s="8"/>
      <c r="Q1" s="8"/>
      <c r="R1" s="8"/>
      <c r="S1" s="8"/>
      <c r="T1" s="8"/>
      <c r="U1" s="8"/>
      <c r="V1" s="8"/>
      <c r="W1" s="8"/>
      <c r="X1" s="8"/>
      <c r="Y1" s="8"/>
      <c r="Z1" s="8"/>
      <c r="AA1" s="8"/>
      <c r="AB1" s="8"/>
      <c r="AC1" s="8"/>
      <c r="AD1" s="8"/>
    </row>
    <row r="2" ht="24.0" customHeight="1">
      <c r="A2" s="3" t="s">
        <v>24</v>
      </c>
      <c r="B2" s="9" t="s">
        <v>25</v>
      </c>
      <c r="C2" s="9" t="s">
        <v>26</v>
      </c>
      <c r="D2" s="23" t="str">
        <f t="shared" ref="D2:D5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3" t="str">
        <f t="shared" ref="E2:E50"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88" si="3">IF(OR(NOT(D2="0"),NOT(E2="0")),B2,D2)</f>
        <v>0</v>
      </c>
      <c r="G2" s="23" t="str">
        <f t="shared" ref="G2:G88" si="4">IF(F2="0",F2,H2)</f>
        <v>0</v>
      </c>
      <c r="H2" s="25">
        <v>223971.0</v>
      </c>
      <c r="I2" s="26"/>
      <c r="J2" s="27"/>
    </row>
    <row r="3">
      <c r="A3" s="3" t="s">
        <v>24</v>
      </c>
      <c r="B3" s="9" t="s">
        <v>56</v>
      </c>
      <c r="C3" s="9" t="s">
        <v>26</v>
      </c>
      <c r="D3" s="23" t="str">
        <f t="shared" si="1"/>
        <v>0</v>
      </c>
      <c r="E3" s="23" t="str">
        <f t="shared" si="2"/>
        <v>Glencore Xstrata</v>
      </c>
      <c r="F3" s="28" t="str">
        <f t="shared" si="3"/>
        <v>GLENCORE XSTRATA PLC USD 0.01 COM STK</v>
      </c>
      <c r="G3" s="23">
        <f t="shared" si="4"/>
        <v>3095078</v>
      </c>
      <c r="H3" s="29">
        <v>3095078.0</v>
      </c>
      <c r="I3" s="26"/>
      <c r="J3" s="29"/>
    </row>
    <row r="4">
      <c r="A4" s="3" t="s">
        <v>24</v>
      </c>
      <c r="B4" s="9" t="s">
        <v>57</v>
      </c>
      <c r="C4" s="9" t="s">
        <v>26</v>
      </c>
      <c r="D4" s="23" t="str">
        <f t="shared" si="1"/>
        <v>0</v>
      </c>
      <c r="E4" s="23" t="str">
        <f t="shared" si="2"/>
        <v>Rio Tinto</v>
      </c>
      <c r="F4" s="28" t="str">
        <f t="shared" si="3"/>
        <v>RIO TINTO PLC 10p ORD</v>
      </c>
      <c r="G4" s="23">
        <f t="shared" si="4"/>
        <v>334066</v>
      </c>
      <c r="H4" s="29">
        <v>334066.0</v>
      </c>
      <c r="I4" s="26"/>
      <c r="J4" s="29"/>
    </row>
    <row r="5">
      <c r="A5" s="3" t="s">
        <v>24</v>
      </c>
      <c r="B5" s="9" t="s">
        <v>58</v>
      </c>
      <c r="C5" s="9" t="s">
        <v>26</v>
      </c>
      <c r="D5" s="23" t="str">
        <f t="shared" si="1"/>
        <v>0</v>
      </c>
      <c r="E5" s="23" t="str">
        <f t="shared" si="2"/>
        <v>0</v>
      </c>
      <c r="F5" s="23" t="str">
        <f t="shared" si="3"/>
        <v>0</v>
      </c>
      <c r="G5" s="23" t="str">
        <f t="shared" si="4"/>
        <v>0</v>
      </c>
      <c r="H5" s="29">
        <v>89600.0</v>
      </c>
      <c r="I5" s="26"/>
      <c r="J5" s="29"/>
    </row>
    <row r="6">
      <c r="A6" s="3" t="s">
        <v>24</v>
      </c>
      <c r="B6" s="9" t="s">
        <v>59</v>
      </c>
      <c r="C6" s="9" t="s">
        <v>60</v>
      </c>
      <c r="D6" s="23" t="str">
        <f t="shared" si="1"/>
        <v>0</v>
      </c>
      <c r="E6" s="23" t="str">
        <f t="shared" si="2"/>
        <v>0</v>
      </c>
      <c r="F6" s="23" t="str">
        <f t="shared" si="3"/>
        <v>0</v>
      </c>
      <c r="G6" s="23" t="str">
        <f t="shared" si="4"/>
        <v>0</v>
      </c>
      <c r="H6" s="29">
        <v>1120741.0</v>
      </c>
      <c r="I6" s="26"/>
      <c r="J6" s="29"/>
    </row>
    <row r="7">
      <c r="A7" s="3" t="s">
        <v>24</v>
      </c>
      <c r="B7" s="9" t="s">
        <v>61</v>
      </c>
      <c r="C7" s="9" t="s">
        <v>60</v>
      </c>
      <c r="D7" s="23" t="str">
        <f t="shared" si="1"/>
        <v>0</v>
      </c>
      <c r="E7" s="23" t="str">
        <f t="shared" si="2"/>
        <v>0</v>
      </c>
      <c r="F7" s="23" t="str">
        <f t="shared" si="3"/>
        <v>0</v>
      </c>
      <c r="G7" s="23" t="str">
        <f t="shared" si="4"/>
        <v>0</v>
      </c>
      <c r="H7" s="29">
        <v>550300.0</v>
      </c>
      <c r="I7" s="26"/>
      <c r="J7" s="29"/>
    </row>
    <row r="8">
      <c r="A8" s="3" t="s">
        <v>24</v>
      </c>
      <c r="B8" s="9" t="s">
        <v>62</v>
      </c>
      <c r="C8" s="9" t="s">
        <v>60</v>
      </c>
      <c r="D8" s="23" t="str">
        <f t="shared" si="1"/>
        <v>0</v>
      </c>
      <c r="E8" s="23" t="str">
        <f t="shared" si="2"/>
        <v>0</v>
      </c>
      <c r="F8" s="23" t="str">
        <f t="shared" si="3"/>
        <v>0</v>
      </c>
      <c r="G8" s="23" t="str">
        <f t="shared" si="4"/>
        <v>0</v>
      </c>
      <c r="H8" s="29">
        <v>267564.0</v>
      </c>
      <c r="I8" s="26"/>
      <c r="J8" s="29"/>
    </row>
    <row r="9">
      <c r="A9" s="3" t="s">
        <v>24</v>
      </c>
      <c r="B9" s="9" t="s">
        <v>63</v>
      </c>
      <c r="C9" s="9" t="s">
        <v>60</v>
      </c>
      <c r="D9" s="23" t="str">
        <f t="shared" si="1"/>
        <v>0</v>
      </c>
      <c r="E9" s="23" t="str">
        <f t="shared" si="2"/>
        <v>0</v>
      </c>
      <c r="F9" s="23" t="str">
        <f t="shared" si="3"/>
        <v>0</v>
      </c>
      <c r="G9" s="23" t="str">
        <f t="shared" si="4"/>
        <v>0</v>
      </c>
      <c r="H9" s="29">
        <v>2343398.0</v>
      </c>
      <c r="I9" s="26"/>
      <c r="J9" s="29"/>
    </row>
    <row r="10">
      <c r="A10" s="3" t="s">
        <v>24</v>
      </c>
      <c r="B10" s="9" t="s">
        <v>64</v>
      </c>
      <c r="C10" s="9" t="s">
        <v>60</v>
      </c>
      <c r="D10" s="23" t="str">
        <f t="shared" si="1"/>
        <v>0</v>
      </c>
      <c r="E10" s="23" t="str">
        <f t="shared" si="2"/>
        <v>0</v>
      </c>
      <c r="F10" s="23" t="str">
        <f t="shared" si="3"/>
        <v>0</v>
      </c>
      <c r="G10" s="23" t="str">
        <f t="shared" si="4"/>
        <v>0</v>
      </c>
      <c r="H10" s="29">
        <v>389971.0</v>
      </c>
      <c r="I10" s="26"/>
      <c r="J10" s="29"/>
    </row>
    <row r="11">
      <c r="A11" s="3" t="s">
        <v>24</v>
      </c>
      <c r="B11" s="9" t="s">
        <v>65</v>
      </c>
      <c r="C11" s="9" t="s">
        <v>60</v>
      </c>
      <c r="D11" s="23" t="str">
        <f t="shared" si="1"/>
        <v>0</v>
      </c>
      <c r="E11" s="23" t="str">
        <f t="shared" si="2"/>
        <v>0</v>
      </c>
      <c r="F11" s="23" t="str">
        <f t="shared" si="3"/>
        <v>0</v>
      </c>
      <c r="G11" s="23" t="str">
        <f t="shared" si="4"/>
        <v>0</v>
      </c>
      <c r="H11" s="29">
        <v>796284.0</v>
      </c>
      <c r="I11" s="26"/>
      <c r="J11" s="29"/>
    </row>
    <row r="12">
      <c r="A12" s="3" t="s">
        <v>24</v>
      </c>
      <c r="B12" s="9" t="s">
        <v>66</v>
      </c>
      <c r="C12" s="9" t="s">
        <v>60</v>
      </c>
      <c r="D12" s="23" t="str">
        <f t="shared" si="1"/>
        <v>0</v>
      </c>
      <c r="E12" s="23" t="str">
        <f t="shared" si="2"/>
        <v>0</v>
      </c>
      <c r="F12" s="23" t="str">
        <f t="shared" si="3"/>
        <v>0</v>
      </c>
      <c r="G12" s="23" t="str">
        <f t="shared" si="4"/>
        <v>0</v>
      </c>
      <c r="H12" s="29">
        <v>134270.0</v>
      </c>
      <c r="I12" s="26"/>
      <c r="J12" s="29"/>
    </row>
    <row r="13">
      <c r="A13" s="3" t="s">
        <v>24</v>
      </c>
      <c r="B13" s="9" t="s">
        <v>67</v>
      </c>
      <c r="C13" s="9" t="s">
        <v>60</v>
      </c>
      <c r="D13" s="23" t="str">
        <f t="shared" si="1"/>
        <v>0</v>
      </c>
      <c r="E13" s="23" t="str">
        <f t="shared" si="2"/>
        <v>0</v>
      </c>
      <c r="F13" s="23" t="str">
        <f t="shared" si="3"/>
        <v>0</v>
      </c>
      <c r="G13" s="23" t="str">
        <f t="shared" si="4"/>
        <v>0</v>
      </c>
      <c r="H13" s="29">
        <v>956099.0</v>
      </c>
      <c r="I13" s="26"/>
      <c r="J13" s="29"/>
    </row>
    <row r="14">
      <c r="A14" s="3" t="s">
        <v>24</v>
      </c>
      <c r="B14" s="9" t="s">
        <v>68</v>
      </c>
      <c r="C14" s="9" t="s">
        <v>60</v>
      </c>
      <c r="D14" s="23" t="str">
        <f t="shared" si="1"/>
        <v>0</v>
      </c>
      <c r="E14" s="23" t="str">
        <f t="shared" si="2"/>
        <v>0</v>
      </c>
      <c r="F14" s="23" t="str">
        <f t="shared" si="3"/>
        <v>0</v>
      </c>
      <c r="G14" s="23" t="str">
        <f t="shared" si="4"/>
        <v>0</v>
      </c>
      <c r="H14" s="29">
        <v>742938.0</v>
      </c>
      <c r="I14" s="26"/>
      <c r="J14" s="29"/>
    </row>
    <row r="15">
      <c r="A15" s="3" t="s">
        <v>24</v>
      </c>
      <c r="B15" s="9" t="s">
        <v>69</v>
      </c>
      <c r="C15" s="9" t="s">
        <v>60</v>
      </c>
      <c r="D15" s="23" t="str">
        <f t="shared" si="1"/>
        <v>0</v>
      </c>
      <c r="E15" s="23" t="str">
        <f t="shared" si="2"/>
        <v>0</v>
      </c>
      <c r="F15" s="23" t="str">
        <f t="shared" si="3"/>
        <v>0</v>
      </c>
      <c r="G15" s="23" t="str">
        <f t="shared" si="4"/>
        <v>0</v>
      </c>
      <c r="H15" s="29">
        <v>1189000.0</v>
      </c>
      <c r="I15" s="26"/>
      <c r="J15" s="29"/>
    </row>
    <row r="16">
      <c r="A16" s="3" t="s">
        <v>24</v>
      </c>
      <c r="B16" s="9" t="s">
        <v>70</v>
      </c>
      <c r="C16" s="9" t="s">
        <v>60</v>
      </c>
      <c r="D16" s="23" t="str">
        <f t="shared" si="1"/>
        <v>0</v>
      </c>
      <c r="E16" s="23" t="str">
        <f t="shared" si="2"/>
        <v>0</v>
      </c>
      <c r="F16" s="23" t="str">
        <f t="shared" si="3"/>
        <v>0</v>
      </c>
      <c r="G16" s="23" t="str">
        <f t="shared" si="4"/>
        <v>0</v>
      </c>
      <c r="H16" s="29">
        <v>298357.0</v>
      </c>
      <c r="I16" s="26"/>
      <c r="J16" s="29"/>
    </row>
    <row r="17">
      <c r="A17" s="3" t="s">
        <v>24</v>
      </c>
      <c r="B17" s="9" t="s">
        <v>71</v>
      </c>
      <c r="C17" s="9" t="s">
        <v>60</v>
      </c>
      <c r="D17" s="23" t="str">
        <f t="shared" si="1"/>
        <v>0</v>
      </c>
      <c r="E17" s="23" t="str">
        <f t="shared" si="2"/>
        <v>0</v>
      </c>
      <c r="F17" s="23" t="str">
        <f t="shared" si="3"/>
        <v>0</v>
      </c>
      <c r="G17" s="23" t="str">
        <f t="shared" si="4"/>
        <v>0</v>
      </c>
      <c r="H17" s="29">
        <v>6716854.0</v>
      </c>
      <c r="I17" s="26"/>
      <c r="J17" s="29"/>
    </row>
    <row r="18">
      <c r="A18" s="3" t="s">
        <v>24</v>
      </c>
      <c r="B18" s="9" t="s">
        <v>72</v>
      </c>
      <c r="C18" s="9" t="s">
        <v>60</v>
      </c>
      <c r="D18" s="23" t="str">
        <f t="shared" si="1"/>
        <v>0</v>
      </c>
      <c r="E18" s="23" t="str">
        <f t="shared" si="2"/>
        <v>0</v>
      </c>
      <c r="F18" s="23" t="str">
        <f t="shared" si="3"/>
        <v>0</v>
      </c>
      <c r="G18" s="23" t="str">
        <f t="shared" si="4"/>
        <v>0</v>
      </c>
      <c r="H18" s="29">
        <v>397600.0</v>
      </c>
      <c r="I18" s="26"/>
      <c r="J18" s="29"/>
    </row>
    <row r="19">
      <c r="A19" s="3" t="s">
        <v>24</v>
      </c>
      <c r="B19" s="9" t="s">
        <v>73</v>
      </c>
      <c r="C19" s="9" t="s">
        <v>60</v>
      </c>
      <c r="D19" s="23" t="str">
        <f t="shared" si="1"/>
        <v>0</v>
      </c>
      <c r="E19" s="23" t="str">
        <f t="shared" si="2"/>
        <v>0</v>
      </c>
      <c r="F19" s="23" t="str">
        <f t="shared" si="3"/>
        <v>0</v>
      </c>
      <c r="G19" s="23" t="str">
        <f t="shared" si="4"/>
        <v>0</v>
      </c>
      <c r="H19" s="29">
        <v>462809.0</v>
      </c>
      <c r="I19" s="26"/>
      <c r="J19" s="29"/>
    </row>
    <row r="20">
      <c r="A20" s="3" t="s">
        <v>24</v>
      </c>
      <c r="B20" s="9" t="s">
        <v>74</v>
      </c>
      <c r="C20" s="9" t="s">
        <v>75</v>
      </c>
      <c r="D20" s="23" t="str">
        <f t="shared" si="1"/>
        <v>0</v>
      </c>
      <c r="E20" s="23" t="str">
        <f t="shared" si="2"/>
        <v>0</v>
      </c>
      <c r="F20" s="23" t="str">
        <f t="shared" si="3"/>
        <v>0</v>
      </c>
      <c r="G20" s="23" t="str">
        <f t="shared" si="4"/>
        <v>0</v>
      </c>
      <c r="H20" s="29">
        <v>275734.0</v>
      </c>
      <c r="I20" s="26"/>
      <c r="J20" s="29"/>
    </row>
    <row r="21">
      <c r="A21" s="3" t="s">
        <v>24</v>
      </c>
      <c r="B21" s="9" t="s">
        <v>76</v>
      </c>
      <c r="C21" s="9" t="s">
        <v>75</v>
      </c>
      <c r="D21" s="23" t="str">
        <f t="shared" si="1"/>
        <v>0</v>
      </c>
      <c r="E21" s="23" t="str">
        <f t="shared" si="2"/>
        <v>0</v>
      </c>
      <c r="F21" s="23" t="str">
        <f t="shared" si="3"/>
        <v>0</v>
      </c>
      <c r="G21" s="23" t="str">
        <f t="shared" si="4"/>
        <v>0</v>
      </c>
      <c r="H21" s="29">
        <v>145405.0</v>
      </c>
      <c r="I21" s="26"/>
      <c r="J21" s="29"/>
    </row>
    <row r="22">
      <c r="A22" s="3" t="s">
        <v>24</v>
      </c>
      <c r="B22" s="9" t="s">
        <v>77</v>
      </c>
      <c r="C22" s="9" t="s">
        <v>75</v>
      </c>
      <c r="D22" s="23" t="str">
        <f t="shared" si="1"/>
        <v>0</v>
      </c>
      <c r="E22" s="23" t="str">
        <f t="shared" si="2"/>
        <v>0</v>
      </c>
      <c r="F22" s="23" t="str">
        <f t="shared" si="3"/>
        <v>0</v>
      </c>
      <c r="G22" s="23" t="str">
        <f t="shared" si="4"/>
        <v>0</v>
      </c>
      <c r="H22" s="29">
        <v>468369.0</v>
      </c>
      <c r="I22" s="26"/>
      <c r="J22" s="29"/>
    </row>
    <row r="23">
      <c r="A23" s="3" t="s">
        <v>24</v>
      </c>
      <c r="B23" s="9" t="s">
        <v>78</v>
      </c>
      <c r="C23" s="9" t="s">
        <v>75</v>
      </c>
      <c r="D23" s="23" t="str">
        <f t="shared" si="1"/>
        <v>0</v>
      </c>
      <c r="E23" s="23" t="str">
        <f t="shared" si="2"/>
        <v>0</v>
      </c>
      <c r="F23" s="23" t="str">
        <f t="shared" si="3"/>
        <v>0</v>
      </c>
      <c r="G23" s="23" t="str">
        <f t="shared" si="4"/>
        <v>0</v>
      </c>
      <c r="H23" s="29">
        <v>1284238.0</v>
      </c>
      <c r="I23" s="26"/>
      <c r="J23" s="29"/>
    </row>
    <row r="24">
      <c r="A24" s="3" t="s">
        <v>24</v>
      </c>
      <c r="B24" s="9" t="s">
        <v>79</v>
      </c>
      <c r="C24" s="9" t="s">
        <v>75</v>
      </c>
      <c r="D24" s="23" t="str">
        <f t="shared" si="1"/>
        <v>0</v>
      </c>
      <c r="E24" s="23" t="str">
        <f t="shared" si="2"/>
        <v>0</v>
      </c>
      <c r="F24" s="23" t="str">
        <f t="shared" si="3"/>
        <v>0</v>
      </c>
      <c r="G24" s="23" t="str">
        <f t="shared" si="4"/>
        <v>0</v>
      </c>
      <c r="H24" s="29">
        <v>3498404.0</v>
      </c>
      <c r="I24" s="26"/>
      <c r="J24" s="29"/>
    </row>
    <row r="25">
      <c r="A25" s="3" t="s">
        <v>24</v>
      </c>
      <c r="B25" s="9" t="s">
        <v>80</v>
      </c>
      <c r="C25" s="9" t="s">
        <v>75</v>
      </c>
      <c r="D25" s="23" t="str">
        <f t="shared" si="1"/>
        <v>0</v>
      </c>
      <c r="E25" s="23" t="str">
        <f t="shared" si="2"/>
        <v>0</v>
      </c>
      <c r="F25" s="23" t="str">
        <f t="shared" si="3"/>
        <v>0</v>
      </c>
      <c r="G25" s="23" t="str">
        <f t="shared" si="4"/>
        <v>0</v>
      </c>
      <c r="H25" s="29">
        <v>897476.0</v>
      </c>
      <c r="I25" s="26"/>
      <c r="J25" s="29"/>
    </row>
    <row r="26">
      <c r="A26" s="3" t="s">
        <v>24</v>
      </c>
      <c r="B26" s="9" t="s">
        <v>81</v>
      </c>
      <c r="C26" s="9" t="s">
        <v>82</v>
      </c>
      <c r="D26" s="23" t="str">
        <f t="shared" si="1"/>
        <v>0</v>
      </c>
      <c r="E26" s="23" t="str">
        <f t="shared" si="2"/>
        <v>0</v>
      </c>
      <c r="F26" s="23" t="str">
        <f t="shared" si="3"/>
        <v>0</v>
      </c>
      <c r="G26" s="23" t="str">
        <f t="shared" si="4"/>
        <v>0</v>
      </c>
      <c r="H26" s="29">
        <v>5508635.0</v>
      </c>
      <c r="I26" s="26"/>
      <c r="J26" s="29"/>
    </row>
    <row r="27">
      <c r="A27" s="3" t="s">
        <v>24</v>
      </c>
      <c r="B27" s="9" t="s">
        <v>83</v>
      </c>
      <c r="C27" s="9" t="s">
        <v>82</v>
      </c>
      <c r="D27" s="23" t="str">
        <f t="shared" si="1"/>
        <v>0</v>
      </c>
      <c r="E27" s="23" t="str">
        <f t="shared" si="2"/>
        <v>0</v>
      </c>
      <c r="F27" s="23" t="str">
        <f t="shared" si="3"/>
        <v>0</v>
      </c>
      <c r="G27" s="23" t="str">
        <f t="shared" si="4"/>
        <v>0</v>
      </c>
      <c r="H27" s="29">
        <v>4.1947286E7</v>
      </c>
      <c r="I27" s="26"/>
      <c r="J27" s="29"/>
    </row>
    <row r="28">
      <c r="A28" s="3" t="s">
        <v>24</v>
      </c>
      <c r="B28" s="9" t="s">
        <v>84</v>
      </c>
      <c r="C28" s="9" t="s">
        <v>82</v>
      </c>
      <c r="D28" s="23" t="str">
        <f t="shared" si="1"/>
        <v>0</v>
      </c>
      <c r="E28" s="23" t="str">
        <f t="shared" si="2"/>
        <v>0</v>
      </c>
      <c r="F28" s="23" t="str">
        <f t="shared" si="3"/>
        <v>0</v>
      </c>
      <c r="G28" s="23" t="str">
        <f t="shared" si="4"/>
        <v>0</v>
      </c>
      <c r="H28" s="29">
        <v>3779000.0</v>
      </c>
      <c r="I28" s="26"/>
      <c r="J28" s="29"/>
    </row>
    <row r="29">
      <c r="A29" s="3" t="s">
        <v>24</v>
      </c>
      <c r="B29" s="9" t="s">
        <v>85</v>
      </c>
      <c r="C29" s="9" t="s">
        <v>82</v>
      </c>
      <c r="D29" s="23" t="str">
        <f t="shared" si="1"/>
        <v>0</v>
      </c>
      <c r="E29" s="23" t="str">
        <f t="shared" si="2"/>
        <v>0</v>
      </c>
      <c r="F29" s="23" t="str">
        <f t="shared" si="3"/>
        <v>0</v>
      </c>
      <c r="G29" s="23" t="str">
        <f t="shared" si="4"/>
        <v>0</v>
      </c>
      <c r="H29" s="29">
        <v>1862602.0</v>
      </c>
      <c r="I29" s="26"/>
      <c r="J29" s="29"/>
    </row>
    <row r="30">
      <c r="A30" s="3" t="s">
        <v>24</v>
      </c>
      <c r="B30" s="9" t="s">
        <v>86</v>
      </c>
      <c r="C30" s="9" t="s">
        <v>82</v>
      </c>
      <c r="D30" s="23" t="str">
        <f t="shared" si="1"/>
        <v>0</v>
      </c>
      <c r="E30" s="23" t="str">
        <f t="shared" si="2"/>
        <v>0</v>
      </c>
      <c r="F30" s="23" t="str">
        <f t="shared" si="3"/>
        <v>0</v>
      </c>
      <c r="G30" s="23" t="str">
        <f t="shared" si="4"/>
        <v>0</v>
      </c>
      <c r="H30" s="29">
        <v>1074546.0</v>
      </c>
      <c r="I30" s="26"/>
      <c r="J30" s="29"/>
    </row>
    <row r="31">
      <c r="A31" s="3" t="s">
        <v>24</v>
      </c>
      <c r="B31" s="9" t="s">
        <v>87</v>
      </c>
      <c r="C31" s="9" t="s">
        <v>82</v>
      </c>
      <c r="D31" s="23" t="str">
        <f t="shared" si="1"/>
        <v>0</v>
      </c>
      <c r="E31" s="23" t="str">
        <f t="shared" si="2"/>
        <v>0</v>
      </c>
      <c r="F31" s="23" t="str">
        <f t="shared" si="3"/>
        <v>0</v>
      </c>
      <c r="G31" s="23" t="str">
        <f t="shared" si="4"/>
        <v>0</v>
      </c>
      <c r="H31" s="29">
        <v>153522.0</v>
      </c>
      <c r="I31" s="26"/>
      <c r="J31" s="29"/>
    </row>
    <row r="32">
      <c r="A32" s="3" t="s">
        <v>24</v>
      </c>
      <c r="B32" s="9" t="s">
        <v>88</v>
      </c>
      <c r="C32" s="9" t="s">
        <v>82</v>
      </c>
      <c r="D32" s="23" t="str">
        <f t="shared" si="1"/>
        <v>0</v>
      </c>
      <c r="E32" s="23" t="str">
        <f t="shared" si="2"/>
        <v>0</v>
      </c>
      <c r="F32" s="23" t="str">
        <f t="shared" si="3"/>
        <v>0</v>
      </c>
      <c r="G32" s="23" t="str">
        <f t="shared" si="4"/>
        <v>0</v>
      </c>
      <c r="H32" s="29">
        <v>7734271.0</v>
      </c>
      <c r="I32" s="26"/>
      <c r="J32" s="29"/>
    </row>
    <row r="33">
      <c r="A33" s="3" t="s">
        <v>24</v>
      </c>
      <c r="B33" s="9" t="s">
        <v>89</v>
      </c>
      <c r="C33" s="9" t="s">
        <v>82</v>
      </c>
      <c r="D33" s="23" t="str">
        <f t="shared" si="1"/>
        <v>0</v>
      </c>
      <c r="E33" s="23" t="str">
        <f t="shared" si="2"/>
        <v>0</v>
      </c>
      <c r="F33" s="23" t="str">
        <f t="shared" si="3"/>
        <v>0</v>
      </c>
      <c r="G33" s="23" t="str">
        <f t="shared" si="4"/>
        <v>0</v>
      </c>
      <c r="H33" s="29">
        <v>1.1490028E7</v>
      </c>
      <c r="I33" s="26"/>
      <c r="J33" s="29"/>
    </row>
    <row r="34">
      <c r="A34" s="3" t="s">
        <v>24</v>
      </c>
      <c r="B34" s="9" t="s">
        <v>90</v>
      </c>
      <c r="C34" s="9" t="s">
        <v>82</v>
      </c>
      <c r="D34" s="23" t="str">
        <f t="shared" si="1"/>
        <v>0</v>
      </c>
      <c r="E34" s="23" t="str">
        <f t="shared" si="2"/>
        <v>0</v>
      </c>
      <c r="F34" s="23" t="str">
        <f t="shared" si="3"/>
        <v>0</v>
      </c>
      <c r="G34" s="23" t="str">
        <f t="shared" si="4"/>
        <v>0</v>
      </c>
      <c r="H34" s="29">
        <v>535631.0</v>
      </c>
      <c r="I34" s="26"/>
      <c r="J34" s="29"/>
    </row>
    <row r="35">
      <c r="A35" s="3" t="s">
        <v>24</v>
      </c>
      <c r="B35" s="9" t="s">
        <v>91</v>
      </c>
      <c r="C35" s="9" t="s">
        <v>82</v>
      </c>
      <c r="D35" s="23" t="str">
        <f t="shared" si="1"/>
        <v>0</v>
      </c>
      <c r="E35" s="23" t="str">
        <f t="shared" si="2"/>
        <v>0</v>
      </c>
      <c r="F35" s="23" t="str">
        <f t="shared" si="3"/>
        <v>0</v>
      </c>
      <c r="G35" s="23" t="str">
        <f t="shared" si="4"/>
        <v>0</v>
      </c>
      <c r="H35" s="29">
        <v>839014.0</v>
      </c>
      <c r="I35" s="26"/>
      <c r="J35" s="29"/>
    </row>
    <row r="36">
      <c r="A36" s="3" t="s">
        <v>24</v>
      </c>
      <c r="B36" s="9" t="s">
        <v>92</v>
      </c>
      <c r="C36" s="9" t="s">
        <v>82</v>
      </c>
      <c r="D36" s="23" t="str">
        <f t="shared" si="1"/>
        <v>0</v>
      </c>
      <c r="E36" s="23" t="str">
        <f t="shared" si="2"/>
        <v>0</v>
      </c>
      <c r="F36" s="23" t="str">
        <f t="shared" si="3"/>
        <v>0</v>
      </c>
      <c r="G36" s="23" t="str">
        <f t="shared" si="4"/>
        <v>0</v>
      </c>
      <c r="H36" s="29">
        <v>4428311.0</v>
      </c>
      <c r="I36" s="26"/>
      <c r="J36" s="29"/>
    </row>
    <row r="37">
      <c r="A37" s="3" t="s">
        <v>24</v>
      </c>
      <c r="B37" s="9" t="s">
        <v>93</v>
      </c>
      <c r="C37" s="9" t="s">
        <v>82</v>
      </c>
      <c r="D37" s="23" t="str">
        <f t="shared" si="1"/>
        <v>0</v>
      </c>
      <c r="E37" s="23" t="str">
        <f t="shared" si="2"/>
        <v>0</v>
      </c>
      <c r="F37" s="23" t="str">
        <f t="shared" si="3"/>
        <v>0</v>
      </c>
      <c r="G37" s="23" t="str">
        <f t="shared" si="4"/>
        <v>0</v>
      </c>
      <c r="H37" s="29">
        <v>1637667.0</v>
      </c>
      <c r="I37" s="26"/>
      <c r="J37" s="29"/>
    </row>
    <row r="38">
      <c r="A38" s="3" t="s">
        <v>24</v>
      </c>
      <c r="B38" s="9" t="s">
        <v>94</v>
      </c>
      <c r="C38" s="9" t="s">
        <v>82</v>
      </c>
      <c r="D38" s="23" t="str">
        <f t="shared" si="1"/>
        <v>0</v>
      </c>
      <c r="E38" s="23" t="str">
        <f t="shared" si="2"/>
        <v>0</v>
      </c>
      <c r="F38" s="23" t="str">
        <f t="shared" si="3"/>
        <v>0</v>
      </c>
      <c r="G38" s="23" t="str">
        <f t="shared" si="4"/>
        <v>0</v>
      </c>
      <c r="H38" s="29">
        <v>684170.0</v>
      </c>
      <c r="I38" s="26"/>
      <c r="J38" s="29"/>
    </row>
    <row r="39">
      <c r="A39" s="3" t="s">
        <v>24</v>
      </c>
      <c r="B39" s="9" t="s">
        <v>95</v>
      </c>
      <c r="C39" s="9" t="s">
        <v>82</v>
      </c>
      <c r="D39" s="23" t="str">
        <f t="shared" si="1"/>
        <v>0</v>
      </c>
      <c r="E39" s="23" t="str">
        <f t="shared" si="2"/>
        <v>0</v>
      </c>
      <c r="F39" s="23" t="str">
        <f t="shared" si="3"/>
        <v>0</v>
      </c>
      <c r="G39" s="23" t="str">
        <f t="shared" si="4"/>
        <v>0</v>
      </c>
      <c r="H39" s="29">
        <v>459057.0</v>
      </c>
      <c r="I39" s="26"/>
      <c r="J39" s="29"/>
    </row>
    <row r="40">
      <c r="A40" s="3" t="s">
        <v>24</v>
      </c>
      <c r="B40" s="9" t="s">
        <v>96</v>
      </c>
      <c r="C40" s="9" t="s">
        <v>82</v>
      </c>
      <c r="D40" s="23" t="str">
        <f t="shared" si="1"/>
        <v>0</v>
      </c>
      <c r="E40" s="23" t="str">
        <f t="shared" si="2"/>
        <v>0</v>
      </c>
      <c r="F40" s="23" t="str">
        <f t="shared" si="3"/>
        <v>0</v>
      </c>
      <c r="G40" s="23" t="str">
        <f t="shared" si="4"/>
        <v>0</v>
      </c>
      <c r="H40" s="29">
        <v>3207792.0</v>
      </c>
      <c r="I40" s="26"/>
      <c r="J40" s="29"/>
    </row>
    <row r="41">
      <c r="A41" s="3" t="s">
        <v>24</v>
      </c>
      <c r="B41" s="9" t="s">
        <v>97</v>
      </c>
      <c r="C41" s="9" t="s">
        <v>98</v>
      </c>
      <c r="D41" s="23" t="str">
        <f t="shared" si="1"/>
        <v>0</v>
      </c>
      <c r="E41" s="23" t="str">
        <f t="shared" si="2"/>
        <v>0</v>
      </c>
      <c r="F41" s="23" t="str">
        <f t="shared" si="3"/>
        <v>0</v>
      </c>
      <c r="G41" s="23" t="str">
        <f t="shared" si="4"/>
        <v>0</v>
      </c>
      <c r="H41" s="29">
        <v>216814.0</v>
      </c>
      <c r="I41" s="26"/>
      <c r="J41" s="29"/>
    </row>
    <row r="42">
      <c r="A42" s="3" t="s">
        <v>24</v>
      </c>
      <c r="B42" s="9" t="s">
        <v>99</v>
      </c>
      <c r="C42" s="9" t="s">
        <v>98</v>
      </c>
      <c r="D42" s="23" t="str">
        <f t="shared" si="1"/>
        <v>0</v>
      </c>
      <c r="E42" s="23" t="str">
        <f t="shared" si="2"/>
        <v>0</v>
      </c>
      <c r="F42" s="23" t="str">
        <f t="shared" si="3"/>
        <v>0</v>
      </c>
      <c r="G42" s="23" t="str">
        <f t="shared" si="4"/>
        <v>0</v>
      </c>
      <c r="H42" s="29">
        <v>786036.0</v>
      </c>
      <c r="I42" s="26"/>
      <c r="J42" s="29"/>
    </row>
    <row r="43">
      <c r="A43" s="3" t="s">
        <v>24</v>
      </c>
      <c r="B43" s="9" t="s">
        <v>100</v>
      </c>
      <c r="C43" s="9" t="s">
        <v>98</v>
      </c>
      <c r="D43" s="23" t="str">
        <f t="shared" si="1"/>
        <v>0</v>
      </c>
      <c r="E43" s="23" t="str">
        <f t="shared" si="2"/>
        <v>0</v>
      </c>
      <c r="F43" s="23" t="str">
        <f t="shared" si="3"/>
        <v>0</v>
      </c>
      <c r="G43" s="23" t="str">
        <f t="shared" si="4"/>
        <v>0</v>
      </c>
      <c r="H43" s="29">
        <v>582084.0</v>
      </c>
      <c r="I43" s="26"/>
      <c r="J43" s="29"/>
    </row>
    <row r="44">
      <c r="A44" s="3" t="s">
        <v>24</v>
      </c>
      <c r="B44" s="9" t="s">
        <v>101</v>
      </c>
      <c r="C44" s="9" t="s">
        <v>98</v>
      </c>
      <c r="D44" s="23" t="str">
        <f t="shared" si="1"/>
        <v>0</v>
      </c>
      <c r="E44" s="23" t="str">
        <f t="shared" si="2"/>
        <v>0</v>
      </c>
      <c r="F44" s="23" t="str">
        <f t="shared" si="3"/>
        <v>0</v>
      </c>
      <c r="G44" s="23" t="str">
        <f t="shared" si="4"/>
        <v>0</v>
      </c>
      <c r="H44" s="29">
        <v>312549.0</v>
      </c>
      <c r="I44" s="26"/>
      <c r="J44" s="29"/>
    </row>
    <row r="45">
      <c r="A45" s="3" t="s">
        <v>24</v>
      </c>
      <c r="B45" s="9" t="s">
        <v>102</v>
      </c>
      <c r="C45" s="9" t="s">
        <v>98</v>
      </c>
      <c r="D45" s="23" t="str">
        <f t="shared" si="1"/>
        <v>0</v>
      </c>
      <c r="E45" s="23" t="str">
        <f t="shared" si="2"/>
        <v>0</v>
      </c>
      <c r="F45" s="23" t="str">
        <f t="shared" si="3"/>
        <v>0</v>
      </c>
      <c r="G45" s="23" t="str">
        <f t="shared" si="4"/>
        <v>0</v>
      </c>
      <c r="H45" s="29">
        <v>438019.0</v>
      </c>
      <c r="I45" s="26"/>
      <c r="J45" s="29"/>
    </row>
    <row r="46">
      <c r="A46" s="3" t="s">
        <v>24</v>
      </c>
      <c r="B46" s="9" t="s">
        <v>103</v>
      </c>
      <c r="C46" s="9" t="s">
        <v>98</v>
      </c>
      <c r="D46" s="23" t="str">
        <f t="shared" si="1"/>
        <v>0</v>
      </c>
      <c r="E46" s="23" t="str">
        <f t="shared" si="2"/>
        <v>0</v>
      </c>
      <c r="F46" s="23" t="str">
        <f t="shared" si="3"/>
        <v>0</v>
      </c>
      <c r="G46" s="23" t="str">
        <f t="shared" si="4"/>
        <v>0</v>
      </c>
      <c r="H46" s="29">
        <v>277916.0</v>
      </c>
      <c r="I46" s="26"/>
      <c r="J46" s="29"/>
    </row>
    <row r="47">
      <c r="A47" s="3" t="s">
        <v>24</v>
      </c>
      <c r="B47" s="9" t="s">
        <v>104</v>
      </c>
      <c r="C47" s="9" t="s">
        <v>98</v>
      </c>
      <c r="D47" s="23" t="str">
        <f t="shared" si="1"/>
        <v>0</v>
      </c>
      <c r="E47" s="23" t="str">
        <f t="shared" si="2"/>
        <v>0</v>
      </c>
      <c r="F47" s="23" t="str">
        <f t="shared" si="3"/>
        <v>0</v>
      </c>
      <c r="G47" s="23" t="str">
        <f t="shared" si="4"/>
        <v>0</v>
      </c>
      <c r="H47" s="29">
        <v>100296.0</v>
      </c>
      <c r="I47" s="26"/>
      <c r="J47" s="29"/>
    </row>
    <row r="48">
      <c r="A48" s="3" t="s">
        <v>24</v>
      </c>
      <c r="B48" s="9" t="s">
        <v>105</v>
      </c>
      <c r="C48" s="9" t="s">
        <v>106</v>
      </c>
      <c r="D48" s="23" t="str">
        <f t="shared" si="1"/>
        <v>0</v>
      </c>
      <c r="E48" s="23" t="str">
        <f t="shared" si="2"/>
        <v>0</v>
      </c>
      <c r="F48" s="23" t="str">
        <f t="shared" si="3"/>
        <v>0</v>
      </c>
      <c r="G48" s="23" t="str">
        <f t="shared" si="4"/>
        <v>0</v>
      </c>
      <c r="H48" s="29">
        <v>2094862.0</v>
      </c>
      <c r="I48" s="26"/>
      <c r="J48" s="29"/>
    </row>
    <row r="49">
      <c r="A49" s="3" t="s">
        <v>24</v>
      </c>
      <c r="B49" s="9" t="s">
        <v>107</v>
      </c>
      <c r="C49" s="9" t="s">
        <v>106</v>
      </c>
      <c r="D49" s="23" t="str">
        <f t="shared" si="1"/>
        <v>0</v>
      </c>
      <c r="E49" s="23" t="str">
        <f t="shared" si="2"/>
        <v>0</v>
      </c>
      <c r="F49" s="23" t="str">
        <f t="shared" si="3"/>
        <v>0</v>
      </c>
      <c r="G49" s="23" t="str">
        <f t="shared" si="4"/>
        <v>0</v>
      </c>
      <c r="H49" s="29">
        <v>474192.0</v>
      </c>
      <c r="I49" s="26"/>
      <c r="J49" s="29"/>
    </row>
    <row r="50">
      <c r="A50" s="3" t="s">
        <v>24</v>
      </c>
      <c r="B50" s="9" t="s">
        <v>108</v>
      </c>
      <c r="C50" s="9" t="s">
        <v>106</v>
      </c>
      <c r="D50" s="23" t="str">
        <f t="shared" si="1"/>
        <v>0</v>
      </c>
      <c r="E50" s="23" t="str">
        <f t="shared" si="2"/>
        <v>0</v>
      </c>
      <c r="F50" s="23" t="str">
        <f t="shared" si="3"/>
        <v>0</v>
      </c>
      <c r="G50" s="23" t="str">
        <f t="shared" si="4"/>
        <v>0</v>
      </c>
      <c r="H50" s="29">
        <v>265000.0</v>
      </c>
      <c r="I50" s="26"/>
      <c r="J50" s="29"/>
    </row>
    <row r="51">
      <c r="A51" s="3" t="s">
        <v>24</v>
      </c>
      <c r="B51" s="9" t="s">
        <v>109</v>
      </c>
      <c r="C51" s="9" t="s">
        <v>106</v>
      </c>
      <c r="D51" s="23" t="str">
        <f t="shared" si="1"/>
        <v>0</v>
      </c>
      <c r="E51" s="30" t="s">
        <v>110</v>
      </c>
      <c r="F51" s="23" t="str">
        <f t="shared" si="3"/>
        <v>0</v>
      </c>
      <c r="G51" s="23" t="str">
        <f t="shared" si="4"/>
        <v>0</v>
      </c>
      <c r="H51" s="29">
        <v>389443.0</v>
      </c>
      <c r="I51" s="26"/>
      <c r="J51" s="29"/>
    </row>
    <row r="52">
      <c r="A52" s="3" t="s">
        <v>24</v>
      </c>
      <c r="B52" s="9" t="s">
        <v>111</v>
      </c>
      <c r="C52" s="9" t="s">
        <v>106</v>
      </c>
      <c r="D52" s="23" t="str">
        <f t="shared" si="1"/>
        <v>0</v>
      </c>
      <c r="E52" s="23" t="str">
        <f t="shared" ref="E52:E88" si="5">IF(ISNUMBER(SEARCH("Coal India",B52)),"Coal India",IF(ISNUMBER(SEARCH("China Shenhua",B52)),"China Shenhua",IF(ISNUMBER(SEARCH("Adani",B52)),"Adani",IF(ISNUMBER(SEARCH("Shanxi Coking",B52)),"Shanxi Coking",IF(ISNUMBER(SEARCH("Anglo American",B52)),"Anglo American",IF(ISNUMBER(SEARCH("BHP Billiton",B52)),"BHP Billiton",IF(ISNUMBER(SEARCH("Yitai Coal",B52)),"Yitai Coal",IF(ISNUMBER(SEARCH("Datang Intl",B52)),"Datang Intl",IF(ISNUMBER(SEARCH("China Coal",B52)),"China Coal",IF(ISNUMBER(SEARCH("Peabody Energy",B52)),"Peabody Energy",IF(ISNUMBER(SEARCH("Glencore Xstrata",B52)),"Glencore Xstrata",IF(ISNUMBER(SEARCH("Datong Coal",B52)),"Datong Coal",IF(ISNUMBER(SEARCH("Yanzhou Coal",B52)),"Yanzhou Coal",IF(ISNUMBER(SEARCH("DEH",B52)),"DEH",IF(ISNUMBER(SEARCH("Exxaro",B52)),"Exxaro",IF(ISNUMBER(SEARCH("Yangquan Coal",B52)),"Yangquan Coal",IF(ISNUMBER(SEARCH("Mechel",B52)),"Mechel",IF(ISNUMBER(SEARCH("Arch Coal",B52)),"Arch Coal",IF(ISNUMBER(SEARCH("Alpha Natural Resources",B52)),"Alpha Natural Resources",IF(ISNUMBER(SEARCH("EVRAZ",B52)),"EVRAZ", IF(ISNUMBER(SEARCH("Mitsubishi",B52)),"Mitsubishi",
if(and(or(B52="Vale", ISNUMBER(SEARCH("Vale ",B52))),NOT(ISNUMBER(SEARCH("?Vale",B52)))), "Vale",IF(ISNUMBER(SEARCH("Raspadskaya",B52)),"Raspadskaya",IF(ISNUMBER(SEARCH("Rio Tinto",B52)),"Rio Tinto",IF(ISNUMBER(SEARCH("Asia Resource",B52)),"Asia Resource",IF(ISNUMBER(SEARCH("Rusal",B52)),"Rusal",IF(ISNUMBER(SEARCH("Neyveli Lignite",B52)),"Neyveli Lignite",IF(ISNUMBER(SEARCH("Pingdingshan",B52)),"Pingdingshan",IF(ISNUMBER(SEARCH("Cloud Peak",B52)),"Cloud Peak",IF(ISNUMBER(SEARCH("Sasol",B52)),"Sasol",IF(ISNUMBER(SEARCH("Tata Steel",B52)),"Tata Steel",IF(AND(ISNUMBER(SEARCH("AGL",B52)),NOT(ISNUMBER(SEARCH("?AGL",B52)))),"AGL", IF(ISNUMBER(SEARCH("Teck",B52)),"Teck",IF(ISNUMBER(SEARCH("Severstal",B52)),"Severstal",IF(ISNUMBER(SEARCH("Coalspur",B52)),"Coalspur",IF(ISNUMBER(SEARCH("Kuzbass Fuel ",B52)),"Kuzbass Fuel ",IF(ISNUMBER(SEARCH("Polyus Gold",B52)),"Polyus Gold",IF(ISNUMBER(SEARCH("Energy Ventures",B52)),"Energy Ventures",IF(ISNUMBER(SEARCH("Whitehaven Coal",B52)),"Whitehaven Coal",IF(ISNUMBER(SEARCH("Banpu",B52)),"Banpu",IF(ISNUMBER(SEARCH("Bayan",B52)),"Bayan",IF(AND(ISNUMBER(SEARCH("RWE",B52)),NOT(ISNUMBER(SEARCH("ERWE",B52)))),"RWE",IF(ISNUMBER(SEARCH("Consol Energy",B52)),"Consol Energy",IF(ISNUMBER(SEARCH("WHSP",B52)),"WHSP",IF(ISNUMBER(SEARCH("Westmoreland",B52)),"Westmoreland",IF(ISNUMBER(SEARCH("Resource Generation",B52)),"Resource Generation",IF(ISNUMBER(SEARCH("Churchill Mining",B52)),"Churchill Mining",IF(ISNUMBER(SEARCH("NTPC",B52)),"NTPC",IF(ISNUMBER(SEARCH("Adaro",B52)),"Adaro",IF(ISNUMBER(SEARCH("Nacco",B52)),"Nacco",  IF(ISNUMBER(SEARCH("Idemitsu Kosan",B52)),"Idemitsu Kosan",IF(ISNUMBER(SEARCH("ARLP",B52)),"ARLP",IF(ISNUMBER(SEARCH("Huolinhe Opencut",B52)),"Huolinhe Opencut",IF(ISNUMBER(SEARCH("Golden Energy",B52)),"Golden Energy",IF(ISNUMBER(SEARCH("Mitsui &amp; Co",B52)),"Mitsui &amp; Co",
IF(AND(ISNUMBER(SEARCH("CoAL",B52)),NOT(ISNUMBER(SEARCH("?CoAL",B52)))),"CoAL",IF(ISNUMBER(SEARCH("NLMK",B52)),"NLMK",IF(ISNUMBER(SEARCH("Tata Power",B52)),"Tata Power",IF(ISNUMBER(SEARCH("MMK OJSC",B52)),"MMK OJSC",IF(ISNUMBER(SEARCH("Wesfarmers",B52)),"Wesfarmers",IF(ISNUMBER(SEARCH("Kazakhmys",B52)),"Kazakhmys",IF(ISNUMBER(SEARCH("New World Resources",B52)),"New World Resources",IF(ISNUMBER(SEARCH("MMC",B52)),"MMC",IF(ISNUMBER(SEARCH("Itochu",B52)),"Itochu",IF(ISNUMBER(SEARCH("Cockatoo",B52)),"Cockatoo",IF(ISNUMBER(SEARCH("Shanxi Meijin Energy",B52)),"Shanxi Meijin Energy",IF(ISNUMBER(SEARCH("Jizhong Energy",B52)),"Jizhong Energy",IF(ISNUMBER(SEARCH("Bandanna",B52)),"Bandanna",IF(ISNUMBER(SEARCH("Polo Resources",B52)),"Polo Resources",IF(ISNUMBER(SEARCH("Allete",B52)),"Allete",IF(ISNUMBER(SEARCH("CLP Holdings",B52)),"CLP Holdings", IF(AND(ISNUMBER(SEARCH("Aspire",B52)),NOT(ISNUMBER(SEARCH("Aspire D",B52)))),"Aspire", IF(ISNUMBER(SEARCH("Marubeni",B52)),"Marubeni",IF(ISNUMBER(SEARCH("China Resources",B52)),"China Resources",IF(ISNUMBER(SEARCH("Walter Energy",B52)),"Walter Energy",IF(ISNUMBER(SEARCH("Coal Energy",B52)),"Coal Energy",IF(ISNUMBER(SEARCH("Indika",B52)),"Indika",IF(ISNUMBER(SEARCH("Arcelor Mittal",B52)),"Arcelor Mittal",IF(ISNUMBER(SEARCH("FirstEnergy",B52)),"FirstEnergy",IF(ISNUMBER(SEARCH("Black Hills",B52)),"Black Hills",IF(ISNUMBER(SEARCH("Wescoal",B52)),"Wescoal",IF(ISNUMBER(SEARCH("Grupo Mexico",B52)),"Grupo Mexico",IF(and(or(B52="ARM", ISNUMBER(SEARCH("ARM ",B52))),NOT(ISNUMBER(SEARCH("?ARM",B52)))), "ARM",IF(ISNUMBER(SEARCH("Shanxi Coal",B52)),"Shanxi Coal",IF(ISNUMBER(SEARCH("Capital Power",B52)),"Capital Power",IF(ISNUMBER(SEARCH("PTT",B52)),"PTT",IF(ISNUMBER(SEARCH("Shanxi Lanhua Sci-Tech",B52)),"Shanxi Lanhua Sci-Tech",IF(ISNUMBER(SEARCH("Fortune",B52)),"Fortune",IF(ISNUMBER(SEARCH("Cardero",B52)),"Cardero",IF(ISNUMBER(SEARCH("Zhengzhou  Coal",B52)),"Zhengzhou Coal",IF(ISNUMBER(SEARCH("SAIL",B52)),"SAIL",IF(ISNUMBER(SEARCH("JSPL",B52)),"JSPL",IF(ISNUMBER(SEARCH("Shougang Fushan",B52)),"Shougang Fushan",IF(ISNUMBER(SEARCH("Jingyuan",B52)),"Jingyuan",IF(ISNUMBER(SEARCH("Stanmore",B52)),"Stanmore",IF(ISNUMBER(SEARCH("Prophecy Coal",B52)),"Prophecy Coal",IF(ISNUMBER(SEARCH("Cliffs Natural Resources",B52)),"Cliffs Natural Resources",IF(ISNUMBER(SEARCH("James River",B52)),"James River",IF(ISNUMBER(SEARCH("CESC",B52)),"CESC",IF(ISNUMBER(SEARCH("Alcoa",B52)),"Alcoa","0"))))))))))))))))))))))))))))))))))))))))))))))))))))))))))))))))))))))))))))))))))))))))))))))))))))
</f>
        <v>0</v>
      </c>
      <c r="F52" s="23" t="str">
        <f t="shared" si="3"/>
        <v>0</v>
      </c>
      <c r="G52" s="23" t="str">
        <f t="shared" si="4"/>
        <v>0</v>
      </c>
      <c r="H52" s="29">
        <v>538364.0</v>
      </c>
      <c r="I52" s="26"/>
      <c r="J52" s="29"/>
    </row>
    <row r="53">
      <c r="A53" s="3" t="s">
        <v>24</v>
      </c>
      <c r="B53" s="9" t="s">
        <v>112</v>
      </c>
      <c r="C53" s="9" t="s">
        <v>106</v>
      </c>
      <c r="D53" s="23" t="str">
        <f t="shared" si="1"/>
        <v>0</v>
      </c>
      <c r="E53" s="23" t="str">
        <f t="shared" si="5"/>
        <v>0</v>
      </c>
      <c r="F53" s="23" t="str">
        <f t="shared" si="3"/>
        <v>0</v>
      </c>
      <c r="G53" s="23" t="str">
        <f t="shared" si="4"/>
        <v>0</v>
      </c>
      <c r="H53" s="29">
        <v>351064.0</v>
      </c>
      <c r="I53" s="26"/>
      <c r="J53" s="29"/>
    </row>
    <row r="54">
      <c r="A54" s="3" t="s">
        <v>24</v>
      </c>
      <c r="B54" s="9" t="s">
        <v>113</v>
      </c>
      <c r="C54" s="9" t="s">
        <v>106</v>
      </c>
      <c r="D54" s="23" t="str">
        <f t="shared" si="1"/>
        <v>0</v>
      </c>
      <c r="E54" s="23" t="str">
        <f t="shared" si="5"/>
        <v>0</v>
      </c>
      <c r="F54" s="23" t="str">
        <f t="shared" si="3"/>
        <v>0</v>
      </c>
      <c r="G54" s="23" t="str">
        <f t="shared" si="4"/>
        <v>0</v>
      </c>
      <c r="H54" s="29">
        <v>486200.0</v>
      </c>
      <c r="I54" s="26"/>
      <c r="J54" s="29"/>
    </row>
    <row r="55">
      <c r="A55" s="3" t="s">
        <v>24</v>
      </c>
      <c r="B55" s="9" t="s">
        <v>114</v>
      </c>
      <c r="C55" s="9" t="s">
        <v>106</v>
      </c>
      <c r="D55" s="23" t="str">
        <f t="shared" si="1"/>
        <v>0</v>
      </c>
      <c r="E55" s="23" t="str">
        <f t="shared" si="5"/>
        <v>0</v>
      </c>
      <c r="F55" s="23" t="str">
        <f t="shared" si="3"/>
        <v>0</v>
      </c>
      <c r="G55" s="23" t="str">
        <f t="shared" si="4"/>
        <v>0</v>
      </c>
      <c r="H55" s="29">
        <v>154510.0</v>
      </c>
      <c r="I55" s="26"/>
      <c r="J55" s="29"/>
    </row>
    <row r="56">
      <c r="A56" s="3" t="s">
        <v>24</v>
      </c>
      <c r="B56" s="9" t="s">
        <v>115</v>
      </c>
      <c r="C56" s="9" t="s">
        <v>106</v>
      </c>
      <c r="D56" s="23" t="str">
        <f t="shared" si="1"/>
        <v>0</v>
      </c>
      <c r="E56" s="23" t="str">
        <f t="shared" si="5"/>
        <v>0</v>
      </c>
      <c r="F56" s="23" t="str">
        <f t="shared" si="3"/>
        <v>0</v>
      </c>
      <c r="G56" s="23" t="str">
        <f t="shared" si="4"/>
        <v>0</v>
      </c>
      <c r="H56" s="29">
        <v>211148.0</v>
      </c>
      <c r="I56" s="26"/>
      <c r="J56" s="29"/>
    </row>
    <row r="57">
      <c r="A57" s="3" t="s">
        <v>24</v>
      </c>
      <c r="B57" s="9" t="s">
        <v>116</v>
      </c>
      <c r="C57" s="9" t="s">
        <v>106</v>
      </c>
      <c r="D57" s="23" t="str">
        <f t="shared" si="1"/>
        <v>0</v>
      </c>
      <c r="E57" s="23" t="str">
        <f t="shared" si="5"/>
        <v>0</v>
      </c>
      <c r="F57" s="23" t="str">
        <f t="shared" si="3"/>
        <v>0</v>
      </c>
      <c r="G57" s="23" t="str">
        <f t="shared" si="4"/>
        <v>0</v>
      </c>
      <c r="H57" s="29">
        <v>713071.0</v>
      </c>
      <c r="I57" s="26"/>
      <c r="J57" s="29"/>
    </row>
    <row r="58">
      <c r="A58" s="3" t="s">
        <v>24</v>
      </c>
      <c r="B58" s="9" t="s">
        <v>117</v>
      </c>
      <c r="C58" s="9" t="s">
        <v>106</v>
      </c>
      <c r="D58" s="23" t="str">
        <f t="shared" si="1"/>
        <v>0</v>
      </c>
      <c r="E58" s="23" t="str">
        <f t="shared" si="5"/>
        <v>0</v>
      </c>
      <c r="F58" s="23" t="str">
        <f t="shared" si="3"/>
        <v>0</v>
      </c>
      <c r="G58" s="23" t="str">
        <f t="shared" si="4"/>
        <v>0</v>
      </c>
      <c r="H58" s="29">
        <v>553944.0</v>
      </c>
      <c r="I58" s="26"/>
      <c r="J58" s="29"/>
    </row>
    <row r="59">
      <c r="A59" s="3" t="s">
        <v>24</v>
      </c>
      <c r="B59" s="9" t="s">
        <v>118</v>
      </c>
      <c r="C59" s="9" t="s">
        <v>119</v>
      </c>
      <c r="D59" s="23" t="str">
        <f t="shared" si="1"/>
        <v>Anadarko Petroleum </v>
      </c>
      <c r="E59" s="23" t="str">
        <f t="shared" si="5"/>
        <v>0</v>
      </c>
      <c r="F59" s="28" t="str">
        <f t="shared" si="3"/>
        <v>ANADARKO PETROLEUM CORP USD 0.1 COM STK</v>
      </c>
      <c r="G59" s="23">
        <f t="shared" si="4"/>
        <v>313905</v>
      </c>
      <c r="H59" s="29">
        <v>313905.0</v>
      </c>
      <c r="I59" s="26"/>
      <c r="J59" s="29"/>
    </row>
    <row r="60">
      <c r="A60" s="3" t="s">
        <v>24</v>
      </c>
      <c r="B60" s="9" t="s">
        <v>120</v>
      </c>
      <c r="C60" s="9" t="s">
        <v>119</v>
      </c>
      <c r="D60" s="31" t="s">
        <v>121</v>
      </c>
      <c r="E60" s="23" t="str">
        <f t="shared" si="5"/>
        <v>0</v>
      </c>
      <c r="F60" s="28" t="str">
        <f t="shared" si="3"/>
        <v>CHINA PETROLEUM &amp; CHEMICAL-H CNY 1 ORD</v>
      </c>
      <c r="G60" s="23">
        <f t="shared" si="4"/>
        <v>14606158</v>
      </c>
      <c r="H60" s="29">
        <v>1.4606158E7</v>
      </c>
      <c r="I60" s="26"/>
      <c r="J60" s="29"/>
    </row>
    <row r="61">
      <c r="A61" s="3" t="s">
        <v>24</v>
      </c>
      <c r="B61" s="9" t="s">
        <v>122</v>
      </c>
      <c r="C61" s="9" t="s">
        <v>119</v>
      </c>
      <c r="D61" s="23" t="str">
        <f t="shared" ref="D61:D88" si="6">if(and(or(B61="bp", ISNUMBER(SEARCH("BP ",B61))),NOT(ISNUMBER(SEARCH("?BP",B61)))), "BP", IF(AND(ISNUMBER(SEARCH("Shell",B61)),NOT(ISNUMBER(SEARCH("Shell Sek",B61)))),"Shell", IF(ISNUMBER(SEARCH("Gazprom",B61)),"Gazprom",IF(ISNUMBER(SEARCH("Rosneft",B61)),"Rosneft",IF(ISNUMBER(SEARCH("Exxon",B61)),"Exxon",IF(ISNUMBER(SEARCH("Lukoil",B61)),"Lukoil",IF(ISNUMBER(SEARCH("Petrochina",B61)),"Petrochina",IF(ISNUMBER(SEARCH("Lukoil",B61)),"Lukoil",IF(ISNUMBER(SEARCH("Petrobras",B61)),"Petrobras",IF(ISNUMBER(SEARCH("Chevron",B61)),"Chevron",IF(ISNUMBER(SEARCH("Novatek",B61)),"Novatek", 
IF(AND(ISNUMBER(SEARCH("Total",B61)),NOT(OR(ISNUMBER(SEARCH("Total Re",B61)),ISNUMBER(SEARCH("Total Sys",B61))))),"Total",IF(ISNUMBER(SEARCH("ConocoPhillips",B61)),"ConocoPhillips", IF(ISNUMBER(SEARCH("Tatneft",B61)),"Tatneft", IF(ISNUMBER(SEARCH("ONGC",B61)),"ONGC", 
IF(AND(ISNUMBER(SEARCH("ENI",B61)),NOT(ISNUMBER(SEARCH("?ENI",B61)))),"ENI", IF(ISNUMBER(SEARCH("Statoil ",B61)),"Statoil ", IF(ISNUMBER(SEARCH("Sinopec",B61)),"Sinopec", IF(ISNUMBER(SEARCH("CNOOC ",B61)),"CNOOC ", IF(ISNUMBER(SEARCH("Occidental",B61)),"Occidental", IF(ISNUMBER(SEARCH("BG Group",B61)),"BG Group",IF(ISNUMBER(SEARCH("Canadian Natural Resources ",B61)),"Canadian Natural Resources ",IF(ISNUMBER(SEARCH("Anadarko Petroleum ",B61)),"Anadarko Petroleum ",IF(ISNUMBER(SEARCH("Apache ",B61)),"Apache ",IF(ISNUMBER(SEARCH("Chesapeake Energy ",B61)),"Chesapeake Energy ",IF(ISNUMBER(SEARCH("Inpex ",B61)),"Inpex ",IF(ISNUMBER(SEARCH("Bashneft",B61)),"Bashneft",IF(ISNUMBER(SEARCH("Devon Energy ",B61)),"Devon Energy ",IF(ISNUMBER(SEARCH("BHP Billiton",B61)),"BHP Billiton",IF(ISNUMBER(SEARCH("Repsol",B61)),"Repsol",IF(ISNUMBER(SEARCH("Ecopetrol",B61)),"Ecopetrol",IF(ISNUMBER(SEARCH("EOG Resources",B61)),"EOG Resources",IF(ISNUMBER(SEARCH("Suncor Energy ",B61)),"Suncor Energy ",IF(ISNUMBER(SEARCH("Marathon Oil ",B61)),"Marathon Oil ",IF(ISNUMBER(SEARCH("Hess ",B61)),"Hess ",IF(ISNUMBER(SEARCH("Imperial Oil ",B61)),"Imperial Oil ",IF(ISNUMBER(SEARCH("Encana ",B61)),"Encana ",IF(ISNUMBER(SEARCH("Noble Energy",B61)),"Noble Energy",IF(ISNUMBER(SEARCH("BASF",B61)),"BASF",IF(ISNUMBER(SEARCH("EQT ",B61)),"EQT ",IF(AND(ISNUMBER(SEARCH("Range Resources",B61)),NOT(ISNUMBER(SEARCH("?Range Resources",B61)))),"Range Resources",IF(ISNUMBER(SEARCH("Continental Resources",B61)),"Continental Resources",IF(ISNUMBER(SEARCH("OMV",B61)),"OMV",IF(ISNUMBER(SEARCH("Antero Resources",B61)),"Antero Resources",IF(ISNUMBER(SEARCH("KazMunaiGas EP",B61)),"KazMunaiGas EP",IF(ISNUMBER(SEARCH("YPF ",B61)),"YPF ",IF(ISNUMBER(SEARCH("Southwestern Energy ",B61)),"Southwestern Energy ",IF(ISNUMBER(SEARCH("Cenovus Energy ",B61)),"Cenovus Energy ",IF(ISNUMBER(SEARCH("Linn Energy",B61)),"Linn Energy",IF(ISNUMBER(SEARCH("Woodside Petroleum",B61)),"Woodside Petroleum",IF(ISNUMBER(SEARCH("Husky Energy ",B61)),"Husky Energy ", IF(ISNUMBER(SEARCH("PTT ",B61)),"PTT ",IF(ISNUMBER(SEARCH("Consol Energy ",B61)),"Consol Energy ",IF(ISNUMBER(SEARCH("Pioneer Natural Resources ",B61)),"Pioneer Natural Resources ",IF(ISNUMBER(SEARCH("Cabot Oil &amp; Gas ",B61)),"Cabot Oil &amp; Gas ",IF(ISNUMBER(SEARCH("WPX Energy",B61)),"WPX Energy",IF(ISNUMBER(SEARCH("SK Innovation ",B61)),"SK Innovation ",IF(ISNUMBER(SEARCH("Whiting Petroleum ",B61)),"Whiting Petroleum ",IF(ISNUMBER(SEARCH("Murphy Oil ",B61)),"Murphy Oil ",IF(ISNUMBER(SEARCH("QEP Resources ",B61)),"QEP Resources ",IF(ISNUMBER(SEARCH("Newfield Exploration ",B61)),"Newfield Exploration ",IF(ISNUMBER(SEARCH("Dragon Oil",B61)),"Dragon Oil",IF(ISNUMBER(SEARCH("Sasol ",B61)),"Sasol ",IF(ISNUMBER(SEARCH("Ultra Petroleum ",B61)),"Ultra Petroleum ",IF(ISNUMBER(SEARCH("Santos",B61)),"Santos",IF(ISNUMBER(SEARCH("Concho Resources ",B61)),"Concho Resources ",IF(ISNUMBER(SEARCH("Denbury Resources ",B61)),"Denbury Resources ",IF(ISNUMBER(SEARCH("Freeport-McMoRan",B61)),"Freeport-McMoRan",IF(ISNUMBER(SEARCH("Maersk Group",B61)),"Maersk Group",IF(ISNUMBER(SEARCH("MEG Energy ",B61)),"MEG Energy ",IF(ISNUMBER(SEARCH("SandRidge Energy",B61)),"SandRidge Energy",IF(ISNUMBER(SEARCH("Crescent Point Energy ",B61)),"Crescent Point Energy ",IF(ISNUMBER(SEARCH("GDF SUEZ",B61)),"GDF SUEZ",IF(ISNUMBER(SEARCH("Pacific Rubiales Energy ",B61)),"Pacific Rubiales Energy ",IF(ISNUMBER(SEARCH("SM Energy ",B61)),"SM Energy ",IF(ISNUMBER(SEARCH("JX Holdings ",B61)),"JX Holdings ",IF(ISNUMBER(SEARCH("Cimarex Energy ",B61)),"Cimarex Energy ",IF(ISNUMBER(SEARCH("Mitsui &amp; Co ",B61)),"Mitsui &amp; Co ",IF(ISNUMBER(SEARCH("Penn West Petroleum ",B61)),"Penn West Petroleum ",IF(ISNUMBER(SEARCH("Polish Oil &amp; Gas",B61)),"Polish Oil &amp; Gas",IF(OR(B61="MOL", ISNUMBER(SEARCH("MOL ",B61))),"MOL",IF(ISNUMBER(SEARCH("Energen ",B61)),"Energen ",IF(ISNUMBER(SEARCH("TAQA",B61)),"TAQA",IF(ISNUMBER(SEARCH("Oil Search",B61)),"Oil Search",IF(ISNUMBER(SEARCH("Oil India",B61)),"Oil India",IF(ISNUMBER(SEARCH("ARC Resources ",B61)),"ARC Resources ",IF(ISNUMBER(SEARCH("Genel Energy ",B61)),"Genel Energy ",IF(ISNUMBER(SEARCH("Canadian Oil Sands ",B61)),"Canadian Oil Sands ",IF(ISNUMBER(SEARCH("Energy XXI",B61)),"Energy XXI",IF(ISNUMBER(SEARCH("PDC Energy",B61)),"PDC Energy",IF(ISNUMBER(SEARCH("Oasis Petroleum ",B61)),"Oasis Petroleum ",IF(ISNUMBER(SEARCH("Tourmaline Oil ",B61)),"Tourmaline Oil ",IF(ISNUMBER(SEARCH("Rosetta Resources",B61)),"Rosetta Resources",IF(ISNUMBER(SEARCH("RWE ",B61)),"RWE ",IF(ISNUMBER(SEARCH("National Fuel Gas",B61)),"National Fuel Gas",IF(ISNUMBER(SEARCH("Peyto E&amp;D ",B61)),"Peyto E&amp;D ",IF(ISNUMBER(SEARCH("Xcite Energy ",B61)),"Xcite Energy ",IF(ISNUMBER(SEARCH("Tullow Oil",B61)),"Tullow Oil",IF(ISNUMBER(SEARCH("Energi Mega Persada ",B61)),"Energi Mega Persada ",IF(ISNUMBER(SEARCH("Breitburn Energy Partners",B61)),"Breitburn Energy Partners",IF(ISNUMBER(SEARCH("Enerplus ",B61)),"Enerplus ","0")))))))))))))))))))))))))))))))))))))))))))))))))))))))))))))))))))))))))))))))))))))))))))))))))))))</f>
        <v>0</v>
      </c>
      <c r="E61" s="23" t="str">
        <f t="shared" si="5"/>
        <v>0</v>
      </c>
      <c r="F61" s="23" t="str">
        <f t="shared" si="3"/>
        <v>0</v>
      </c>
      <c r="G61" s="23" t="str">
        <f t="shared" si="4"/>
        <v>0</v>
      </c>
      <c r="H61" s="29">
        <v>392434.0</v>
      </c>
      <c r="I61" s="26"/>
      <c r="J61" s="29"/>
    </row>
    <row r="62">
      <c r="A62" s="3" t="s">
        <v>24</v>
      </c>
      <c r="B62" s="9" t="s">
        <v>123</v>
      </c>
      <c r="C62" s="9" t="s">
        <v>119</v>
      </c>
      <c r="D62" s="23" t="str">
        <f t="shared" si="6"/>
        <v>0</v>
      </c>
      <c r="E62" s="23" t="str">
        <f t="shared" si="5"/>
        <v>0</v>
      </c>
      <c r="F62" s="23" t="str">
        <f t="shared" si="3"/>
        <v>0</v>
      </c>
      <c r="G62" s="23" t="str">
        <f t="shared" si="4"/>
        <v>0</v>
      </c>
      <c r="H62" s="29">
        <v>914458.0</v>
      </c>
      <c r="I62" s="26"/>
      <c r="J62" s="29"/>
    </row>
    <row r="63">
      <c r="A63" s="3" t="s">
        <v>24</v>
      </c>
      <c r="B63" s="9" t="s">
        <v>124</v>
      </c>
      <c r="C63" s="9" t="s">
        <v>119</v>
      </c>
      <c r="D63" s="23" t="str">
        <f t="shared" si="6"/>
        <v>0</v>
      </c>
      <c r="E63" s="23" t="str">
        <f t="shared" si="5"/>
        <v>0</v>
      </c>
      <c r="F63" s="23" t="str">
        <f t="shared" si="3"/>
        <v>0</v>
      </c>
      <c r="G63" s="23" t="str">
        <f t="shared" si="4"/>
        <v>0</v>
      </c>
      <c r="H63" s="29">
        <v>3197703.0</v>
      </c>
      <c r="I63" s="26"/>
      <c r="J63" s="29"/>
    </row>
    <row r="64">
      <c r="A64" s="3" t="s">
        <v>24</v>
      </c>
      <c r="B64" s="9" t="s">
        <v>125</v>
      </c>
      <c r="C64" s="9" t="s">
        <v>119</v>
      </c>
      <c r="D64" s="23" t="str">
        <f t="shared" si="6"/>
        <v>0</v>
      </c>
      <c r="E64" s="23" t="str">
        <f t="shared" si="5"/>
        <v>0</v>
      </c>
      <c r="F64" s="23" t="str">
        <f t="shared" si="3"/>
        <v>0</v>
      </c>
      <c r="G64" s="23" t="str">
        <f t="shared" si="4"/>
        <v>0</v>
      </c>
      <c r="H64" s="29">
        <v>1203760.0</v>
      </c>
      <c r="I64" s="26"/>
      <c r="J64" s="29"/>
    </row>
    <row r="65">
      <c r="A65" s="3" t="s">
        <v>24</v>
      </c>
      <c r="B65" s="9" t="s">
        <v>126</v>
      </c>
      <c r="C65" s="9" t="s">
        <v>127</v>
      </c>
      <c r="D65" s="23" t="str">
        <f t="shared" si="6"/>
        <v>0</v>
      </c>
      <c r="E65" s="23" t="str">
        <f t="shared" si="5"/>
        <v>0</v>
      </c>
      <c r="F65" s="23" t="str">
        <f t="shared" si="3"/>
        <v>0</v>
      </c>
      <c r="G65" s="23" t="str">
        <f t="shared" si="4"/>
        <v>0</v>
      </c>
      <c r="H65" s="29">
        <v>2828481.13</v>
      </c>
      <c r="I65" s="26"/>
      <c r="J65" s="29"/>
    </row>
    <row r="66">
      <c r="A66" s="3" t="s">
        <v>24</v>
      </c>
      <c r="B66" s="9" t="s">
        <v>128</v>
      </c>
      <c r="C66" s="9" t="s">
        <v>127</v>
      </c>
      <c r="D66" s="23" t="str">
        <f t="shared" si="6"/>
        <v>0</v>
      </c>
      <c r="E66" s="23" t="str">
        <f t="shared" si="5"/>
        <v>0</v>
      </c>
      <c r="F66" s="23" t="str">
        <f t="shared" si="3"/>
        <v>0</v>
      </c>
      <c r="G66" s="23" t="str">
        <f t="shared" si="4"/>
        <v>0</v>
      </c>
      <c r="H66" s="32">
        <v>0.0</v>
      </c>
      <c r="I66" s="26"/>
      <c r="J66" s="32"/>
    </row>
    <row r="67">
      <c r="A67" s="3" t="s">
        <v>24</v>
      </c>
      <c r="B67" s="33" t="s">
        <v>129</v>
      </c>
      <c r="C67" s="33" t="s">
        <v>127</v>
      </c>
      <c r="D67" s="23" t="str">
        <f t="shared" si="6"/>
        <v>0</v>
      </c>
      <c r="E67" s="23" t="str">
        <f t="shared" si="5"/>
        <v>0</v>
      </c>
      <c r="F67" s="23" t="str">
        <f t="shared" si="3"/>
        <v>0</v>
      </c>
      <c r="G67" s="23" t="str">
        <f t="shared" si="4"/>
        <v>0</v>
      </c>
      <c r="H67" s="34">
        <v>35.8</v>
      </c>
      <c r="I67" s="35"/>
      <c r="J67" s="34"/>
      <c r="K67" s="3"/>
    </row>
    <row r="68">
      <c r="A68" s="3" t="s">
        <v>24</v>
      </c>
      <c r="B68" s="33" t="s">
        <v>130</v>
      </c>
      <c r="C68" s="33" t="s">
        <v>127</v>
      </c>
      <c r="D68" s="23" t="str">
        <f t="shared" si="6"/>
        <v>0</v>
      </c>
      <c r="E68" s="23" t="str">
        <f t="shared" si="5"/>
        <v>0</v>
      </c>
      <c r="F68" s="23" t="str">
        <f t="shared" si="3"/>
        <v>0</v>
      </c>
      <c r="G68" s="23" t="str">
        <f t="shared" si="4"/>
        <v>0</v>
      </c>
      <c r="H68" s="36">
        <v>650810.92</v>
      </c>
      <c r="I68" s="35"/>
      <c r="J68" s="36"/>
    </row>
    <row r="69">
      <c r="A69" s="3" t="s">
        <v>24</v>
      </c>
      <c r="B69" s="33" t="s">
        <v>131</v>
      </c>
      <c r="C69" s="33" t="s">
        <v>127</v>
      </c>
      <c r="D69" s="23" t="str">
        <f t="shared" si="6"/>
        <v>0</v>
      </c>
      <c r="E69" s="23" t="str">
        <f t="shared" si="5"/>
        <v>0</v>
      </c>
      <c r="F69" s="23" t="str">
        <f t="shared" si="3"/>
        <v>0</v>
      </c>
      <c r="G69" s="23" t="str">
        <f t="shared" si="4"/>
        <v>0</v>
      </c>
      <c r="H69" s="36">
        <v>-2261.4</v>
      </c>
      <c r="I69" s="35"/>
      <c r="J69" s="36"/>
    </row>
    <row r="70">
      <c r="A70" s="3" t="s">
        <v>24</v>
      </c>
      <c r="B70" s="37" t="s">
        <v>132</v>
      </c>
      <c r="C70" s="37" t="s">
        <v>127</v>
      </c>
      <c r="D70" s="23" t="str">
        <f t="shared" si="6"/>
        <v>0</v>
      </c>
      <c r="E70" s="23" t="str">
        <f t="shared" si="5"/>
        <v>0</v>
      </c>
      <c r="F70" s="23" t="str">
        <f t="shared" si="3"/>
        <v>0</v>
      </c>
      <c r="G70" s="23" t="str">
        <f t="shared" si="4"/>
        <v>0</v>
      </c>
      <c r="H70" s="29">
        <v>176246.72</v>
      </c>
      <c r="I70" s="26"/>
      <c r="J70" s="29"/>
    </row>
    <row r="71">
      <c r="A71" s="3" t="s">
        <v>24</v>
      </c>
      <c r="B71" s="37" t="s">
        <v>133</v>
      </c>
      <c r="C71" s="37" t="s">
        <v>127</v>
      </c>
      <c r="D71" s="23" t="str">
        <f t="shared" si="6"/>
        <v>0</v>
      </c>
      <c r="E71" s="23" t="str">
        <f t="shared" si="5"/>
        <v>0</v>
      </c>
      <c r="F71" s="23" t="str">
        <f t="shared" si="3"/>
        <v>0</v>
      </c>
      <c r="G71" s="23" t="str">
        <f t="shared" si="4"/>
        <v>0</v>
      </c>
      <c r="H71" s="38">
        <v>3.48793677E8</v>
      </c>
      <c r="I71" s="39"/>
      <c r="J71" s="38"/>
    </row>
    <row r="72">
      <c r="A72" s="3" t="s">
        <v>24</v>
      </c>
      <c r="B72" s="37" t="s">
        <v>134</v>
      </c>
      <c r="C72" s="37" t="s">
        <v>127</v>
      </c>
      <c r="D72" s="23" t="str">
        <f t="shared" si="6"/>
        <v>0</v>
      </c>
      <c r="E72" s="23" t="str">
        <f t="shared" si="5"/>
        <v>0</v>
      </c>
      <c r="F72" s="23" t="str">
        <f t="shared" si="3"/>
        <v>0</v>
      </c>
      <c r="G72" s="23" t="str">
        <f t="shared" si="4"/>
        <v>0</v>
      </c>
      <c r="H72" s="38">
        <v>7.570648774E7</v>
      </c>
      <c r="I72" s="39"/>
      <c r="J72" s="38"/>
    </row>
    <row r="73">
      <c r="A73" s="3" t="s">
        <v>24</v>
      </c>
      <c r="B73" s="37" t="s">
        <v>135</v>
      </c>
      <c r="C73" s="37" t="s">
        <v>127</v>
      </c>
      <c r="D73" s="23" t="str">
        <f t="shared" si="6"/>
        <v>0</v>
      </c>
      <c r="E73" s="23" t="str">
        <f t="shared" si="5"/>
        <v>0</v>
      </c>
      <c r="F73" s="23" t="str">
        <f t="shared" si="3"/>
        <v>0</v>
      </c>
      <c r="G73" s="23" t="str">
        <f t="shared" si="4"/>
        <v>0</v>
      </c>
      <c r="H73" s="38">
        <v>2.332400477E7</v>
      </c>
      <c r="I73" s="39"/>
      <c r="J73" s="38"/>
    </row>
    <row r="74">
      <c r="A74" s="3" t="s">
        <v>24</v>
      </c>
      <c r="B74" s="9" t="s">
        <v>136</v>
      </c>
      <c r="C74" s="9" t="s">
        <v>127</v>
      </c>
      <c r="D74" s="23" t="str">
        <f t="shared" si="6"/>
        <v>0</v>
      </c>
      <c r="E74" s="23" t="str">
        <f t="shared" si="5"/>
        <v>0</v>
      </c>
      <c r="F74" s="23" t="str">
        <f t="shared" si="3"/>
        <v>0</v>
      </c>
      <c r="G74" s="23" t="str">
        <f t="shared" si="4"/>
        <v>0</v>
      </c>
      <c r="H74" s="29">
        <v>-3.98965511E8</v>
      </c>
      <c r="I74" s="26"/>
      <c r="J74" s="29"/>
    </row>
    <row r="75">
      <c r="A75" s="3" t="s">
        <v>24</v>
      </c>
      <c r="B75" s="9" t="s">
        <v>137</v>
      </c>
      <c r="C75" s="9" t="s">
        <v>138</v>
      </c>
      <c r="D75" s="23" t="str">
        <f t="shared" si="6"/>
        <v>0</v>
      </c>
      <c r="E75" s="23" t="str">
        <f t="shared" si="5"/>
        <v>0</v>
      </c>
      <c r="F75" s="23" t="str">
        <f t="shared" si="3"/>
        <v>0</v>
      </c>
      <c r="G75" s="23" t="str">
        <f t="shared" si="4"/>
        <v>0</v>
      </c>
      <c r="H75" s="29">
        <v>207288.0</v>
      </c>
      <c r="I75" s="26"/>
      <c r="J75" s="29"/>
    </row>
    <row r="76">
      <c r="A76" s="3" t="s">
        <v>24</v>
      </c>
      <c r="B76" s="9" t="s">
        <v>139</v>
      </c>
      <c r="C76" s="9" t="s">
        <v>138</v>
      </c>
      <c r="D76" s="23" t="str">
        <f t="shared" si="6"/>
        <v>0</v>
      </c>
      <c r="E76" s="23" t="str">
        <f t="shared" si="5"/>
        <v>0</v>
      </c>
      <c r="F76" s="23" t="str">
        <f t="shared" si="3"/>
        <v>0</v>
      </c>
      <c r="G76" s="23" t="str">
        <f t="shared" si="4"/>
        <v>0</v>
      </c>
      <c r="H76" s="29">
        <v>291908.0</v>
      </c>
      <c r="I76" s="26"/>
      <c r="J76" s="29"/>
    </row>
    <row r="77">
      <c r="A77" s="3" t="s">
        <v>24</v>
      </c>
      <c r="B77" s="9" t="s">
        <v>140</v>
      </c>
      <c r="C77" s="9" t="s">
        <v>138</v>
      </c>
      <c r="D77" s="23" t="str">
        <f t="shared" si="6"/>
        <v>0</v>
      </c>
      <c r="E77" s="23" t="str">
        <f t="shared" si="5"/>
        <v>0</v>
      </c>
      <c r="F77" s="23" t="str">
        <f t="shared" si="3"/>
        <v>0</v>
      </c>
      <c r="G77" s="23" t="str">
        <f t="shared" si="4"/>
        <v>0</v>
      </c>
      <c r="H77" s="29">
        <v>803506.0</v>
      </c>
      <c r="I77" s="26"/>
      <c r="J77" s="29"/>
    </row>
    <row r="78">
      <c r="A78" s="3" t="s">
        <v>24</v>
      </c>
      <c r="B78" s="9" t="s">
        <v>141</v>
      </c>
      <c r="C78" s="9" t="s">
        <v>138</v>
      </c>
      <c r="D78" s="23" t="str">
        <f t="shared" si="6"/>
        <v>0</v>
      </c>
      <c r="E78" s="23" t="str">
        <f t="shared" si="5"/>
        <v>0</v>
      </c>
      <c r="F78" s="23" t="str">
        <f t="shared" si="3"/>
        <v>0</v>
      </c>
      <c r="G78" s="23" t="str">
        <f t="shared" si="4"/>
        <v>0</v>
      </c>
      <c r="H78" s="29">
        <v>1086100.0</v>
      </c>
      <c r="I78" s="26"/>
      <c r="J78" s="29"/>
    </row>
    <row r="79">
      <c r="A79" s="3" t="s">
        <v>24</v>
      </c>
      <c r="B79" s="9" t="s">
        <v>142</v>
      </c>
      <c r="C79" s="9" t="s">
        <v>138</v>
      </c>
      <c r="D79" s="23" t="str">
        <f t="shared" si="6"/>
        <v>0</v>
      </c>
      <c r="E79" s="23" t="str">
        <f t="shared" si="5"/>
        <v>0</v>
      </c>
      <c r="F79" s="23" t="str">
        <f t="shared" si="3"/>
        <v>0</v>
      </c>
      <c r="G79" s="23" t="str">
        <f t="shared" si="4"/>
        <v>0</v>
      </c>
      <c r="H79" s="29">
        <v>2824000.0</v>
      </c>
      <c r="I79" s="26"/>
      <c r="J79" s="29"/>
    </row>
    <row r="80">
      <c r="A80" s="3" t="s">
        <v>24</v>
      </c>
      <c r="B80" s="9" t="s">
        <v>143</v>
      </c>
      <c r="C80" s="9" t="s">
        <v>138</v>
      </c>
      <c r="D80" s="23" t="str">
        <f t="shared" si="6"/>
        <v>0</v>
      </c>
      <c r="E80" s="23" t="str">
        <f t="shared" si="5"/>
        <v>0</v>
      </c>
      <c r="F80" s="23" t="str">
        <f t="shared" si="3"/>
        <v>0</v>
      </c>
      <c r="G80" s="23" t="str">
        <f t="shared" si="4"/>
        <v>0</v>
      </c>
      <c r="H80" s="29">
        <v>444938.0</v>
      </c>
      <c r="I80" s="26"/>
      <c r="J80" s="29"/>
    </row>
    <row r="81">
      <c r="A81" s="3" t="s">
        <v>24</v>
      </c>
      <c r="B81" s="9" t="s">
        <v>144</v>
      </c>
      <c r="C81" s="9" t="s">
        <v>138</v>
      </c>
      <c r="D81" s="23" t="str">
        <f t="shared" si="6"/>
        <v>0</v>
      </c>
      <c r="E81" s="23" t="str">
        <f t="shared" si="5"/>
        <v>0</v>
      </c>
      <c r="F81" s="23" t="str">
        <f t="shared" si="3"/>
        <v>0</v>
      </c>
      <c r="G81" s="23" t="str">
        <f t="shared" si="4"/>
        <v>0</v>
      </c>
      <c r="H81" s="29">
        <v>368000.0</v>
      </c>
      <c r="I81" s="26"/>
      <c r="J81" s="29"/>
    </row>
    <row r="82">
      <c r="A82" s="3" t="s">
        <v>24</v>
      </c>
      <c r="B82" s="9" t="s">
        <v>145</v>
      </c>
      <c r="C82" s="9" t="s">
        <v>138</v>
      </c>
      <c r="D82" s="23" t="str">
        <f t="shared" si="6"/>
        <v>0</v>
      </c>
      <c r="E82" s="23" t="str">
        <f t="shared" si="5"/>
        <v>0</v>
      </c>
      <c r="F82" s="23" t="str">
        <f t="shared" si="3"/>
        <v>0</v>
      </c>
      <c r="G82" s="23" t="str">
        <f t="shared" si="4"/>
        <v>0</v>
      </c>
      <c r="H82" s="29">
        <v>672109.0</v>
      </c>
      <c r="I82" s="26"/>
      <c r="J82" s="29"/>
    </row>
    <row r="83">
      <c r="A83" s="3" t="s">
        <v>24</v>
      </c>
      <c r="B83" s="9" t="s">
        <v>146</v>
      </c>
      <c r="C83" s="9" t="s">
        <v>138</v>
      </c>
      <c r="D83" s="23" t="str">
        <f t="shared" si="6"/>
        <v>0</v>
      </c>
      <c r="E83" s="23" t="str">
        <f t="shared" si="5"/>
        <v>0</v>
      </c>
      <c r="F83" s="23" t="str">
        <f t="shared" si="3"/>
        <v>0</v>
      </c>
      <c r="G83" s="23" t="str">
        <f t="shared" si="4"/>
        <v>0</v>
      </c>
      <c r="H83" s="29">
        <v>277536.0</v>
      </c>
      <c r="I83" s="26"/>
      <c r="J83" s="29"/>
    </row>
    <row r="84">
      <c r="A84" s="3" t="s">
        <v>24</v>
      </c>
      <c r="B84" s="9" t="s">
        <v>147</v>
      </c>
      <c r="C84" s="9" t="s">
        <v>138</v>
      </c>
      <c r="D84" s="23" t="str">
        <f t="shared" si="6"/>
        <v>0</v>
      </c>
      <c r="E84" s="23" t="str">
        <f t="shared" si="5"/>
        <v>0</v>
      </c>
      <c r="F84" s="23" t="str">
        <f t="shared" si="3"/>
        <v>0</v>
      </c>
      <c r="G84" s="23" t="str">
        <f t="shared" si="4"/>
        <v>0</v>
      </c>
      <c r="H84" s="29">
        <v>792700.0</v>
      </c>
      <c r="I84" s="26"/>
      <c r="J84" s="29"/>
    </row>
    <row r="85">
      <c r="A85" s="3" t="s">
        <v>24</v>
      </c>
      <c r="B85" s="9" t="s">
        <v>148</v>
      </c>
      <c r="C85" s="9" t="s">
        <v>138</v>
      </c>
      <c r="D85" s="23" t="str">
        <f t="shared" si="6"/>
        <v>0</v>
      </c>
      <c r="E85" s="23" t="str">
        <f t="shared" si="5"/>
        <v>0</v>
      </c>
      <c r="F85" s="23" t="str">
        <f t="shared" si="3"/>
        <v>0</v>
      </c>
      <c r="G85" s="23" t="str">
        <f t="shared" si="4"/>
        <v>0</v>
      </c>
      <c r="H85" s="29">
        <v>1231611.0</v>
      </c>
      <c r="I85" s="26"/>
      <c r="J85" s="29"/>
    </row>
    <row r="86">
      <c r="A86" s="3" t="s">
        <v>24</v>
      </c>
      <c r="B86" s="9" t="s">
        <v>149</v>
      </c>
      <c r="C86" s="9" t="s">
        <v>138</v>
      </c>
      <c r="D86" s="23" t="str">
        <f t="shared" si="6"/>
        <v>0</v>
      </c>
      <c r="E86" s="23" t="str">
        <f t="shared" si="5"/>
        <v>0</v>
      </c>
      <c r="F86" s="23" t="str">
        <f t="shared" si="3"/>
        <v>0</v>
      </c>
      <c r="G86" s="23" t="str">
        <f t="shared" si="4"/>
        <v>0</v>
      </c>
      <c r="H86" s="29">
        <v>402884.0</v>
      </c>
      <c r="I86" s="26"/>
      <c r="J86" s="29"/>
    </row>
    <row r="87">
      <c r="A87" s="3" t="s">
        <v>24</v>
      </c>
      <c r="B87" s="9" t="s">
        <v>150</v>
      </c>
      <c r="C87" s="9" t="s">
        <v>138</v>
      </c>
      <c r="D87" s="23" t="str">
        <f t="shared" si="6"/>
        <v>0</v>
      </c>
      <c r="E87" s="23" t="str">
        <f t="shared" si="5"/>
        <v>0</v>
      </c>
      <c r="F87" s="23" t="str">
        <f t="shared" si="3"/>
        <v>0</v>
      </c>
      <c r="G87" s="23" t="str">
        <f t="shared" si="4"/>
        <v>0</v>
      </c>
      <c r="H87" s="29">
        <v>22293.0</v>
      </c>
      <c r="I87" s="26"/>
      <c r="J87" s="29"/>
    </row>
    <row r="88">
      <c r="A88" s="3" t="s">
        <v>24</v>
      </c>
      <c r="B88" s="9" t="s">
        <v>151</v>
      </c>
      <c r="C88" s="9" t="s">
        <v>138</v>
      </c>
      <c r="D88" s="23" t="str">
        <f t="shared" si="6"/>
        <v>0</v>
      </c>
      <c r="E88" s="23" t="str">
        <f t="shared" si="5"/>
        <v>0</v>
      </c>
      <c r="F88" s="23" t="str">
        <f t="shared" si="3"/>
        <v>0</v>
      </c>
      <c r="G88" s="23" t="str">
        <f t="shared" si="4"/>
        <v>0</v>
      </c>
      <c r="H88" s="29">
        <v>583707.0</v>
      </c>
      <c r="I88" s="26"/>
      <c r="J88"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Northumberland County Council Pension Fund </v>
      </c>
      <c r="C1" s="6"/>
      <c r="D1" s="6"/>
      <c r="E1" s="6"/>
      <c r="F1" s="6"/>
      <c r="G1" s="6" t="s">
        <v>18</v>
      </c>
      <c r="H1" s="6"/>
      <c r="I1" s="6"/>
      <c r="J1" s="10" t="s">
        <v>21</v>
      </c>
      <c r="K1" s="6"/>
      <c r="L1" s="6"/>
      <c r="M1" s="6"/>
      <c r="N1" s="6"/>
      <c r="O1" s="6"/>
      <c r="P1" s="6"/>
      <c r="Q1" s="6"/>
      <c r="R1" s="6"/>
      <c r="S1" s="6"/>
      <c r="T1" s="6"/>
      <c r="U1" s="6"/>
      <c r="V1" s="6"/>
      <c r="W1" s="6"/>
      <c r="X1" s="6"/>
      <c r="Y1" s="6"/>
      <c r="Z1" s="6"/>
    </row>
    <row r="2">
      <c r="A2" s="1" t="s">
        <v>27</v>
      </c>
      <c r="B2" s="12">
        <v>9.44221E8</v>
      </c>
      <c r="C2" s="6"/>
      <c r="D2" s="6"/>
      <c r="E2" s="6"/>
      <c r="F2" s="6"/>
      <c r="G2" s="12">
        <v>9.44221E8</v>
      </c>
      <c r="H2" s="6"/>
      <c r="I2" s="6"/>
      <c r="J2" s="6"/>
      <c r="K2" s="6"/>
      <c r="L2" s="6"/>
      <c r="M2" s="6"/>
      <c r="N2" s="6"/>
      <c r="O2" s="6"/>
      <c r="P2" s="6"/>
      <c r="Q2" s="6"/>
      <c r="R2" s="6"/>
      <c r="S2" s="6"/>
      <c r="T2" s="6"/>
      <c r="U2" s="6"/>
      <c r="V2" s="6"/>
      <c r="W2" s="6"/>
      <c r="X2" s="6"/>
      <c r="Y2" s="6"/>
      <c r="Z2" s="6"/>
    </row>
    <row r="3">
      <c r="A3" s="1" t="s">
        <v>38</v>
      </c>
      <c r="B3" s="13">
        <f>SUM('Full Data'!G2:G1000)</f>
        <v>18349207</v>
      </c>
      <c r="C3" s="6"/>
      <c r="D3" s="6"/>
      <c r="E3" s="6"/>
      <c r="F3" s="6"/>
      <c r="G3" s="6"/>
      <c r="H3" s="6"/>
      <c r="I3" s="6"/>
      <c r="J3" s="6"/>
      <c r="K3" s="6"/>
      <c r="L3" s="6"/>
      <c r="M3" s="6"/>
      <c r="N3" s="6"/>
      <c r="O3" s="6"/>
      <c r="P3" s="6"/>
      <c r="Q3" s="6"/>
      <c r="R3" s="6"/>
      <c r="S3" s="6"/>
      <c r="T3" s="6"/>
      <c r="U3" s="6"/>
      <c r="V3" s="6"/>
      <c r="W3" s="6"/>
      <c r="X3" s="6"/>
      <c r="Y3" s="6"/>
      <c r="Z3" s="6"/>
    </row>
    <row r="4">
      <c r="A4" s="1" t="s">
        <v>39</v>
      </c>
      <c r="B4" s="14">
        <f>B3/B2</f>
        <v>0.01943316978</v>
      </c>
      <c r="C4" s="6"/>
      <c r="D4" s="6"/>
      <c r="E4" s="6"/>
      <c r="F4" s="6"/>
      <c r="G4" s="6"/>
      <c r="H4" s="6"/>
      <c r="I4" s="6"/>
      <c r="J4" s="6"/>
      <c r="K4" s="6"/>
      <c r="L4" s="6"/>
      <c r="M4" s="6"/>
      <c r="N4" s="6"/>
      <c r="O4" s="6"/>
      <c r="P4" s="6"/>
      <c r="Q4" s="6"/>
      <c r="R4" s="6"/>
      <c r="S4" s="6"/>
      <c r="T4" s="6"/>
      <c r="U4" s="6"/>
      <c r="V4" s="6"/>
      <c r="W4" s="6"/>
      <c r="X4" s="6"/>
      <c r="Y4" s="6"/>
      <c r="Z4" s="6"/>
    </row>
    <row r="5">
      <c r="A5" s="1"/>
      <c r="B5" s="1"/>
      <c r="C5" s="6"/>
      <c r="D5" s="6"/>
      <c r="E5" s="6"/>
      <c r="F5" s="6"/>
      <c r="G5" s="6"/>
      <c r="H5" s="6"/>
      <c r="I5" s="6"/>
      <c r="J5" s="6"/>
      <c r="K5" s="6"/>
      <c r="L5" s="6"/>
      <c r="M5" s="6"/>
      <c r="N5" s="6"/>
      <c r="O5" s="6"/>
      <c r="P5" s="6"/>
      <c r="Q5" s="6"/>
      <c r="R5" s="6"/>
      <c r="S5" s="6"/>
      <c r="T5" s="6"/>
      <c r="U5" s="6"/>
      <c r="V5" s="6"/>
      <c r="W5" s="6"/>
      <c r="X5" s="6"/>
      <c r="Y5" s="6"/>
      <c r="Z5" s="6"/>
    </row>
    <row r="6">
      <c r="A6" s="1"/>
      <c r="B6" s="1"/>
      <c r="C6" s="6"/>
      <c r="D6" s="6"/>
      <c r="E6" s="6"/>
      <c r="F6" s="6"/>
      <c r="G6" s="6"/>
      <c r="H6" s="6"/>
      <c r="I6" s="6"/>
      <c r="J6" s="6"/>
      <c r="K6" s="6"/>
      <c r="L6" s="6"/>
      <c r="M6" s="6"/>
      <c r="N6" s="6"/>
      <c r="O6" s="6"/>
      <c r="P6" s="6"/>
      <c r="Q6" s="6"/>
      <c r="R6" s="6"/>
      <c r="S6" s="6"/>
      <c r="T6" s="6"/>
      <c r="U6" s="6"/>
      <c r="V6" s="6"/>
      <c r="W6" s="6"/>
      <c r="X6" s="6"/>
      <c r="Y6" s="6"/>
      <c r="Z6" s="6"/>
    </row>
    <row r="7">
      <c r="A7" s="1" t="s">
        <v>41</v>
      </c>
      <c r="B7" s="1"/>
      <c r="C7" s="6"/>
      <c r="D7" s="6"/>
      <c r="E7" s="6" t="s">
        <v>42</v>
      </c>
      <c r="F7" s="6"/>
      <c r="G7" s="6"/>
      <c r="H7" s="6"/>
      <c r="I7" s="6"/>
      <c r="J7" s="6"/>
      <c r="K7" s="6"/>
      <c r="L7" s="6"/>
      <c r="M7" s="6"/>
      <c r="N7" s="6"/>
      <c r="O7" s="6"/>
      <c r="P7" s="6"/>
      <c r="Q7" s="6"/>
      <c r="R7" s="6"/>
      <c r="S7" s="6"/>
      <c r="T7" s="6"/>
      <c r="U7" s="6"/>
      <c r="V7" s="6"/>
      <c r="W7" s="6"/>
      <c r="X7" s="6"/>
      <c r="Y7" s="6"/>
      <c r="Z7" s="6"/>
    </row>
    <row r="8">
      <c r="A8" s="1" t="s">
        <v>43</v>
      </c>
      <c r="B8" s="1"/>
      <c r="C8" s="6" t="s">
        <v>0</v>
      </c>
      <c r="D8" s="6"/>
      <c r="E8" s="6"/>
      <c r="F8" s="6"/>
      <c r="G8" s="6"/>
      <c r="H8" s="6"/>
      <c r="I8" s="6"/>
      <c r="J8" s="6"/>
      <c r="K8" s="6"/>
      <c r="L8" s="6"/>
      <c r="M8" s="6"/>
      <c r="N8" s="6"/>
      <c r="O8" s="6"/>
      <c r="P8" s="6"/>
      <c r="Q8" s="6"/>
      <c r="R8" s="6"/>
      <c r="S8" s="6"/>
      <c r="T8" s="6"/>
      <c r="U8" s="6"/>
      <c r="V8" s="6"/>
      <c r="W8" s="6"/>
      <c r="X8" s="6"/>
      <c r="Y8" s="6"/>
      <c r="Z8" s="6"/>
    </row>
    <row r="9">
      <c r="A9" s="16">
        <f>LARGE('Full Data'!G:G,1)</f>
        <v>14606158</v>
      </c>
      <c r="B9" s="14">
        <f t="shared" ref="B9:B18" si="1">A9/$B$2</f>
        <v>0.01546900355</v>
      </c>
      <c r="C9" s="17" t="str">
        <f t="array" ref="C9">INDEX('Full Data'!F:F,MATCH(LARGE('Full Data'!G:G,1),'Full Data'!G:G,0))</f>
        <v>CHINA PETROLEUM &amp; CHEMICAL-H CNY 1 ORD</v>
      </c>
      <c r="D9" s="6"/>
      <c r="E9" s="6"/>
      <c r="F9" s="6"/>
      <c r="G9" s="6"/>
      <c r="H9" s="6"/>
      <c r="I9" s="6"/>
      <c r="J9" s="6"/>
      <c r="K9" s="6"/>
      <c r="L9" s="6"/>
      <c r="M9" s="6"/>
      <c r="N9" s="6"/>
      <c r="O9" s="6"/>
      <c r="P9" s="6"/>
      <c r="Q9" s="6"/>
      <c r="R9" s="6"/>
      <c r="S9" s="6"/>
      <c r="T9" s="6"/>
      <c r="U9" s="6"/>
      <c r="V9" s="6"/>
      <c r="W9" s="6"/>
      <c r="X9" s="6"/>
      <c r="Y9" s="6"/>
      <c r="Z9" s="6"/>
    </row>
    <row r="10">
      <c r="A10" s="16">
        <f>LARGE('Full Data'!G:G,2)</f>
        <v>3095078</v>
      </c>
      <c r="B10" s="14">
        <f t="shared" si="1"/>
        <v>0.003277916928</v>
      </c>
      <c r="C10" s="17" t="str">
        <f t="array" ref="C10">INDEX('Full Data'!F:F,MATCH(LARGE('Full Data'!G:G,2),'Full Data'!G:G,0))</f>
        <v>GLENCORE XSTRATA PLC USD 0.01 COM STK</v>
      </c>
      <c r="D10" s="6"/>
      <c r="E10" s="6"/>
      <c r="F10" s="6"/>
      <c r="G10" s="6"/>
      <c r="H10" s="6"/>
      <c r="I10" s="6"/>
      <c r="J10" s="6"/>
      <c r="K10" s="6"/>
      <c r="L10" s="6"/>
      <c r="M10" s="6"/>
      <c r="N10" s="6"/>
      <c r="O10" s="6"/>
      <c r="P10" s="6"/>
      <c r="Q10" s="6"/>
      <c r="R10" s="6"/>
      <c r="S10" s="6"/>
      <c r="T10" s="6"/>
      <c r="U10" s="6"/>
      <c r="V10" s="6"/>
      <c r="W10" s="6"/>
      <c r="X10" s="6"/>
      <c r="Y10" s="6"/>
      <c r="Z10" s="6"/>
    </row>
    <row r="11">
      <c r="A11" s="16">
        <f>LARGE('Full Data'!G:G,3)</f>
        <v>334066</v>
      </c>
      <c r="B11" s="14">
        <f t="shared" si="1"/>
        <v>0.0003538006462</v>
      </c>
      <c r="C11" s="17" t="str">
        <f t="array" ref="C11">INDEX('Full Data'!F:F,MATCH(LARGE('Full Data'!G:G,3),'Full Data'!G:G,0))</f>
        <v>RIO TINTO PLC 10p ORD</v>
      </c>
      <c r="D11" s="6"/>
      <c r="E11" s="6"/>
      <c r="F11" s="6"/>
      <c r="G11" s="6"/>
      <c r="H11" s="6"/>
      <c r="I11" s="6"/>
      <c r="J11" s="6"/>
      <c r="K11" s="6"/>
      <c r="L11" s="6"/>
      <c r="M11" s="6"/>
      <c r="N11" s="6"/>
      <c r="O11" s="6"/>
      <c r="P11" s="6"/>
      <c r="Q11" s="6"/>
      <c r="R11" s="6"/>
      <c r="S11" s="6"/>
      <c r="T11" s="6"/>
      <c r="U11" s="6"/>
      <c r="V11" s="6"/>
      <c r="W11" s="6"/>
      <c r="X11" s="6"/>
      <c r="Y11" s="6"/>
      <c r="Z11" s="6"/>
    </row>
    <row r="12">
      <c r="A12" s="16">
        <f>LARGE('Full Data'!G:G,4)</f>
        <v>313905</v>
      </c>
      <c r="B12" s="14">
        <f t="shared" si="1"/>
        <v>0.0003324486534</v>
      </c>
      <c r="C12" s="17" t="str">
        <f t="array" ref="C12">INDEX('Full Data'!F:F,MATCH(LARGE('Full Data'!G:G,4),'Full Data'!G:G,0))</f>
        <v>ANADARKO PETROLEUM CORP USD 0.1 COM STK</v>
      </c>
      <c r="D12" s="6"/>
      <c r="E12" s="6"/>
      <c r="F12" s="6"/>
      <c r="G12" s="6"/>
      <c r="H12" s="6"/>
      <c r="I12" s="6"/>
      <c r="J12" s="6"/>
      <c r="K12" s="6"/>
      <c r="L12" s="6"/>
      <c r="M12" s="6"/>
      <c r="N12" s="6"/>
      <c r="O12" s="6"/>
      <c r="P12" s="6"/>
      <c r="Q12" s="6"/>
      <c r="R12" s="6"/>
      <c r="S12" s="6"/>
      <c r="T12" s="6"/>
      <c r="U12" s="6"/>
      <c r="V12" s="6"/>
      <c r="W12" s="6"/>
      <c r="X12" s="6"/>
      <c r="Y12" s="6"/>
      <c r="Z12" s="6"/>
    </row>
    <row r="13">
      <c r="A13" s="16" t="str">
        <f>LARGE('Full Data'!G:G,5)</f>
        <v>#NUM!</v>
      </c>
      <c r="B13" s="14" t="str">
        <f t="shared" si="1"/>
        <v>#NUM!</v>
      </c>
      <c r="C13" s="17" t="str">
        <f t="array" ref="C13">INDEX('Full Data'!F:F,MATCH(LARGE('Full Data'!G:G,5),'Full Data'!G:G,0))</f>
        <v>#NUM!</v>
      </c>
      <c r="D13" s="6"/>
      <c r="E13" s="6"/>
      <c r="F13" s="6"/>
      <c r="G13" s="6"/>
      <c r="H13" s="6"/>
      <c r="I13" s="6"/>
      <c r="J13" s="6"/>
      <c r="K13" s="6"/>
      <c r="L13" s="6"/>
      <c r="M13" s="6"/>
      <c r="N13" s="6"/>
      <c r="O13" s="6"/>
      <c r="P13" s="6"/>
      <c r="Q13" s="6"/>
      <c r="R13" s="6"/>
      <c r="S13" s="6"/>
      <c r="T13" s="6"/>
      <c r="U13" s="6"/>
      <c r="V13" s="6"/>
      <c r="W13" s="6"/>
      <c r="X13" s="6"/>
      <c r="Y13" s="6"/>
      <c r="Z13" s="6"/>
    </row>
    <row r="14">
      <c r="A14" s="16" t="str">
        <f>LARGE('Full Data'!G:G,6)</f>
        <v>#NUM!</v>
      </c>
      <c r="B14" s="14" t="str">
        <f t="shared" si="1"/>
        <v>#NUM!</v>
      </c>
      <c r="C14" s="17" t="str">
        <f t="array" ref="C14">INDEX('Full Data'!F:F,MATCH(LARGE('Full Data'!G:G,6),'Full Data'!G:G,0))</f>
        <v>#NUM!</v>
      </c>
      <c r="D14" s="6"/>
      <c r="E14" s="6"/>
      <c r="F14" s="6"/>
      <c r="G14" s="6"/>
      <c r="H14" s="6"/>
      <c r="I14" s="6"/>
      <c r="J14" s="6"/>
      <c r="K14" s="6"/>
      <c r="L14" s="6"/>
      <c r="M14" s="6"/>
      <c r="N14" s="6"/>
      <c r="O14" s="6"/>
      <c r="P14" s="6"/>
      <c r="Q14" s="6"/>
      <c r="R14" s="6"/>
      <c r="S14" s="6"/>
      <c r="T14" s="6"/>
      <c r="U14" s="6"/>
      <c r="V14" s="6"/>
      <c r="W14" s="6"/>
      <c r="X14" s="6"/>
      <c r="Y14" s="6"/>
      <c r="Z14" s="6"/>
    </row>
    <row r="15">
      <c r="A15" s="16" t="str">
        <f>LARGE('Full Data'!G:G,7)</f>
        <v>#NUM!</v>
      </c>
      <c r="B15" s="14" t="str">
        <f t="shared" si="1"/>
        <v>#NUM!</v>
      </c>
      <c r="C15" s="17" t="str">
        <f t="array" ref="C15">INDEX('Full Data'!F:F,MATCH(LARGE('Full Data'!G:G,7),'Full Data'!G:G,0))</f>
        <v>#NUM!</v>
      </c>
      <c r="D15" s="6"/>
      <c r="E15" s="6"/>
      <c r="F15" s="6"/>
      <c r="G15" s="6"/>
      <c r="H15" s="6"/>
      <c r="I15" s="6"/>
      <c r="J15" s="6"/>
      <c r="K15" s="6"/>
      <c r="L15" s="6"/>
      <c r="M15" s="6"/>
      <c r="N15" s="6"/>
      <c r="O15" s="6"/>
      <c r="P15" s="6"/>
      <c r="Q15" s="6"/>
      <c r="R15" s="6"/>
      <c r="S15" s="6"/>
      <c r="T15" s="6"/>
      <c r="U15" s="6"/>
      <c r="V15" s="6"/>
      <c r="W15" s="6"/>
      <c r="X15" s="6"/>
      <c r="Y15" s="6"/>
      <c r="Z15" s="6"/>
    </row>
    <row r="16">
      <c r="A16" s="16" t="str">
        <f>LARGE('Full Data'!G:G,8)</f>
        <v>#NUM!</v>
      </c>
      <c r="B16" s="14" t="str">
        <f t="shared" si="1"/>
        <v>#NUM!</v>
      </c>
      <c r="C16" s="17" t="str">
        <f t="array" ref="C16">INDEX('Full Data'!F:F,MATCH(LARGE('Full Data'!G:G,8),'Full Data'!G:G,0))</f>
        <v>#NUM!</v>
      </c>
      <c r="D16" s="6"/>
      <c r="E16" s="6"/>
      <c r="F16" s="6"/>
      <c r="G16" s="6"/>
      <c r="H16" s="6"/>
      <c r="I16" s="6"/>
      <c r="J16" s="6"/>
      <c r="K16" s="6"/>
      <c r="L16" s="6"/>
      <c r="M16" s="6"/>
      <c r="N16" s="6"/>
      <c r="O16" s="6"/>
      <c r="P16" s="6"/>
      <c r="Q16" s="6"/>
      <c r="R16" s="6"/>
      <c r="S16" s="6"/>
      <c r="T16" s="6"/>
      <c r="U16" s="6"/>
      <c r="V16" s="6"/>
      <c r="W16" s="6"/>
      <c r="X16" s="6"/>
      <c r="Y16" s="6"/>
      <c r="Z16" s="6"/>
    </row>
    <row r="17">
      <c r="A17" s="16" t="str">
        <f>LARGE('Full Data'!G:G,9)</f>
        <v>#NUM!</v>
      </c>
      <c r="B17" s="14" t="str">
        <f t="shared" si="1"/>
        <v>#NUM!</v>
      </c>
      <c r="C17" s="17" t="str">
        <f t="array" ref="C17">INDEX('Full Data'!F:F,MATCH(LARGE('Full Data'!G:G,9),'Full Data'!G:G,0))</f>
        <v>#NUM!</v>
      </c>
      <c r="D17" s="6"/>
      <c r="E17" s="6"/>
      <c r="F17" s="6"/>
      <c r="G17" s="6"/>
      <c r="H17" s="6"/>
      <c r="I17" s="6"/>
      <c r="J17" s="6"/>
      <c r="K17" s="6"/>
      <c r="L17" s="6"/>
      <c r="M17" s="6"/>
      <c r="N17" s="6"/>
      <c r="O17" s="6"/>
      <c r="P17" s="6"/>
      <c r="Q17" s="6"/>
      <c r="R17" s="6"/>
      <c r="S17" s="6"/>
      <c r="T17" s="6"/>
      <c r="U17" s="6"/>
      <c r="V17" s="6"/>
      <c r="W17" s="6"/>
      <c r="X17" s="6"/>
      <c r="Y17" s="6"/>
      <c r="Z17" s="6"/>
    </row>
    <row r="18">
      <c r="A18" s="16" t="str">
        <f>LARGE('Full Data'!G:G,10)</f>
        <v>#NUM!</v>
      </c>
      <c r="B18" s="14" t="str">
        <f t="shared" si="1"/>
        <v>#NUM!</v>
      </c>
      <c r="C18" s="17" t="str">
        <f t="array" ref="C18">INDEX('Full Data'!F:F,MATCH(LARGE('Full Data'!G:G,10),'Full Data'!G:G,0))</f>
        <v>#NUM!</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J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0.14"/>
    <col customWidth="1" min="5" max="5" width="29.86"/>
  </cols>
  <sheetData>
    <row r="1">
      <c r="A1" s="6" t="s">
        <v>40</v>
      </c>
      <c r="B1" s="15">
        <v>0.1</v>
      </c>
      <c r="C1" s="6"/>
      <c r="D1" s="6"/>
      <c r="E1" s="6"/>
      <c r="F1" s="6"/>
      <c r="G1" s="6"/>
      <c r="H1" s="6"/>
      <c r="I1" s="6"/>
      <c r="J1" s="6"/>
      <c r="K1" s="6"/>
      <c r="L1" s="6"/>
      <c r="M1" s="6"/>
      <c r="N1" s="6"/>
      <c r="O1" s="6"/>
      <c r="P1" s="6"/>
      <c r="Q1" s="6"/>
      <c r="R1" s="6"/>
      <c r="S1" s="6"/>
      <c r="T1" s="6"/>
      <c r="U1" s="6"/>
      <c r="V1" s="6"/>
      <c r="W1" s="6"/>
      <c r="X1" s="6"/>
    </row>
    <row r="2">
      <c r="A2" s="6"/>
      <c r="B2" s="6" t="s">
        <v>43</v>
      </c>
      <c r="C2" s="6" t="s">
        <v>44</v>
      </c>
      <c r="D2" s="6" t="s">
        <v>0</v>
      </c>
      <c r="E2" s="6" t="s">
        <v>45</v>
      </c>
      <c r="F2" s="6" t="s">
        <v>46</v>
      </c>
      <c r="G2" s="6" t="s">
        <v>47</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48</v>
      </c>
      <c r="B4" s="16">
        <f>'Fossil Fuel direct investments'!B2</f>
        <v>944221000</v>
      </c>
      <c r="C4" s="6"/>
      <c r="D4" s="17"/>
      <c r="E4" s="6"/>
      <c r="F4" s="6"/>
      <c r="G4" s="6"/>
      <c r="H4" s="6"/>
      <c r="I4" s="6"/>
      <c r="J4" s="6"/>
      <c r="K4" s="6"/>
      <c r="L4" s="6"/>
      <c r="M4" s="6"/>
      <c r="N4" s="6"/>
      <c r="O4" s="6"/>
      <c r="P4" s="6"/>
      <c r="Q4" s="6"/>
      <c r="R4" s="6"/>
      <c r="S4" s="6"/>
      <c r="T4" s="6"/>
      <c r="U4" s="6"/>
      <c r="V4" s="6"/>
      <c r="W4" s="6"/>
      <c r="X4" s="6"/>
    </row>
    <row r="5">
      <c r="A5" s="18">
        <v>1.0</v>
      </c>
      <c r="B5" s="16">
        <f>LARGE('Full Data'!H:H,A5)</f>
        <v>348793677</v>
      </c>
      <c r="C5" s="14">
        <f t="shared" ref="C5:C19" si="1">B5/$B$4</f>
        <v>0.3693983474</v>
      </c>
      <c r="D5" s="17" t="str">
        <f t="array" ref="D5">INDEX('Full Data'!B:B,MATCH(LARGE('Full Data'!H:H,A5),'Full Data'!H:H,0))</f>
        <v>Cash - JPY</v>
      </c>
      <c r="E5" s="6"/>
      <c r="F5" s="16">
        <f t="shared" ref="F5:F19" si="2">IF(E5="yes",B5*$B$1,0)</f>
        <v>0</v>
      </c>
      <c r="G5" s="14">
        <f t="shared" ref="G5:G19" si="3">F5/$B$4</f>
        <v>0</v>
      </c>
      <c r="H5" s="6"/>
      <c r="I5" s="6"/>
      <c r="J5" s="6"/>
      <c r="K5" s="6"/>
      <c r="L5" s="6"/>
      <c r="M5" s="6"/>
      <c r="N5" s="6"/>
      <c r="O5" s="6"/>
      <c r="P5" s="6"/>
      <c r="Q5" s="6"/>
      <c r="R5" s="6"/>
      <c r="S5" s="6"/>
      <c r="T5" s="6"/>
      <c r="U5" s="6"/>
      <c r="V5" s="6"/>
      <c r="W5" s="6"/>
      <c r="X5" s="6"/>
    </row>
    <row r="6">
      <c r="A6" s="18">
        <v>2.0</v>
      </c>
      <c r="B6" s="19">
        <v>3.252E8</v>
      </c>
      <c r="C6" s="14">
        <f t="shared" si="1"/>
        <v>0.3444108953</v>
      </c>
      <c r="D6" s="20" t="s">
        <v>49</v>
      </c>
      <c r="E6" s="21" t="s">
        <v>50</v>
      </c>
      <c r="F6" s="16">
        <f t="shared" si="2"/>
        <v>32520000</v>
      </c>
      <c r="G6" s="14">
        <f t="shared" si="3"/>
        <v>0.03444108953</v>
      </c>
      <c r="H6" s="6"/>
      <c r="I6" s="6"/>
      <c r="J6" s="6"/>
      <c r="K6" s="6"/>
      <c r="L6" s="6"/>
      <c r="M6" s="6"/>
      <c r="N6" s="6"/>
      <c r="O6" s="6"/>
      <c r="P6" s="6"/>
      <c r="Q6" s="6"/>
      <c r="R6" s="6"/>
      <c r="S6" s="6"/>
      <c r="T6" s="6"/>
      <c r="U6" s="6"/>
      <c r="V6" s="6"/>
      <c r="W6" s="6"/>
      <c r="X6" s="6"/>
    </row>
    <row r="7">
      <c r="A7" s="18">
        <v>3.0</v>
      </c>
      <c r="B7" s="16">
        <f>LARGE('Full Data'!H:H,A7)</f>
        <v>41947286</v>
      </c>
      <c r="C7" s="14">
        <f t="shared" si="1"/>
        <v>0.04442528391</v>
      </c>
      <c r="D7" s="17" t="str">
        <f t="array" ref="D7">INDEX('Full Data'!B:B,MATCH(LARGE('Full Data'!H:H,A7),'Full Data'!H:H,0))</f>
        <v>BANCA MONTE DEI PASCHI SIENA EUR 0 ORD</v>
      </c>
      <c r="E7" s="6"/>
      <c r="F7" s="16">
        <f t="shared" si="2"/>
        <v>0</v>
      </c>
      <c r="G7" s="14">
        <f t="shared" si="3"/>
        <v>0</v>
      </c>
      <c r="H7" s="6"/>
      <c r="I7" s="6"/>
      <c r="J7" s="6"/>
      <c r="K7" s="6"/>
      <c r="L7" s="6"/>
      <c r="M7" s="6"/>
      <c r="N7" s="6"/>
      <c r="O7" s="6"/>
      <c r="P7" s="6"/>
      <c r="Q7" s="6"/>
      <c r="R7" s="6"/>
      <c r="S7" s="6"/>
      <c r="T7" s="6"/>
      <c r="U7" s="6"/>
      <c r="V7" s="6"/>
      <c r="W7" s="6"/>
      <c r="X7" s="6"/>
    </row>
    <row r="8">
      <c r="A8" s="18">
        <v>4.0</v>
      </c>
      <c r="B8" s="19">
        <v>1.09E8</v>
      </c>
      <c r="C8" s="14">
        <f t="shared" si="1"/>
        <v>0.1154390762</v>
      </c>
      <c r="D8" s="22" t="s">
        <v>51</v>
      </c>
      <c r="E8" s="21" t="s">
        <v>50</v>
      </c>
      <c r="F8" s="16">
        <f t="shared" si="2"/>
        <v>10900000</v>
      </c>
      <c r="G8" s="14">
        <f t="shared" si="3"/>
        <v>0.01154390762</v>
      </c>
      <c r="H8" s="6"/>
      <c r="I8" s="6"/>
      <c r="J8" s="6"/>
      <c r="K8" s="6"/>
      <c r="L8" s="6"/>
      <c r="M8" s="6"/>
      <c r="N8" s="6"/>
      <c r="O8" s="6"/>
      <c r="P8" s="6"/>
      <c r="Q8" s="6"/>
      <c r="R8" s="6"/>
      <c r="S8" s="6"/>
      <c r="T8" s="6"/>
      <c r="U8" s="6"/>
      <c r="V8" s="6"/>
      <c r="W8" s="6"/>
      <c r="X8" s="6"/>
    </row>
    <row r="9">
      <c r="A9" s="18">
        <v>5.0</v>
      </c>
      <c r="B9" s="16">
        <f>LARGE('Full Data'!H:H,A9)</f>
        <v>14606158</v>
      </c>
      <c r="C9" s="14">
        <f t="shared" si="1"/>
        <v>0.01546900355</v>
      </c>
      <c r="D9" s="17" t="str">
        <f t="array" ref="D9">INDEX('Full Data'!B:B,MATCH(LARGE('Full Data'!H:H,A9),'Full Data'!H:H,0))</f>
        <v>CHINA PETROLEUM &amp; CHEMICAL-H CNY 1 ORD</v>
      </c>
      <c r="E9" s="6"/>
      <c r="F9" s="16">
        <f t="shared" si="2"/>
        <v>0</v>
      </c>
      <c r="G9" s="14">
        <f t="shared" si="3"/>
        <v>0</v>
      </c>
      <c r="H9" s="6"/>
      <c r="I9" s="6"/>
      <c r="J9" s="6"/>
      <c r="K9" s="6"/>
      <c r="L9" s="6"/>
      <c r="M9" s="6"/>
      <c r="N9" s="6"/>
      <c r="O9" s="6"/>
      <c r="P9" s="6"/>
      <c r="Q9" s="6"/>
      <c r="R9" s="6"/>
      <c r="S9" s="6"/>
      <c r="T9" s="6"/>
      <c r="U9" s="6"/>
      <c r="V9" s="6"/>
      <c r="W9" s="6"/>
      <c r="X9" s="6"/>
    </row>
    <row r="10">
      <c r="A10" s="18">
        <v>6.0</v>
      </c>
      <c r="B10" s="16">
        <f>LARGE('Full Data'!H:H,A10)</f>
        <v>11490028</v>
      </c>
      <c r="C10" s="14">
        <f t="shared" si="1"/>
        <v>0.01216879099</v>
      </c>
      <c r="D10" s="17" t="str">
        <f t="array" ref="D10">INDEX('Full Data'!B:B,MATCH(LARGE('Full Data'!H:H,A10),'Full Data'!H:H,0))</f>
        <v>LLOYDS BANKING GROUP PLC 10p ORD</v>
      </c>
      <c r="E10" s="6"/>
      <c r="F10" s="16">
        <f t="shared" si="2"/>
        <v>0</v>
      </c>
      <c r="G10" s="14">
        <f t="shared" si="3"/>
        <v>0</v>
      </c>
      <c r="H10" s="6"/>
      <c r="I10" s="6"/>
      <c r="J10" s="6"/>
      <c r="K10" s="6"/>
      <c r="L10" s="6"/>
      <c r="M10" s="6"/>
      <c r="N10" s="6"/>
      <c r="O10" s="6"/>
      <c r="P10" s="6"/>
      <c r="Q10" s="6"/>
      <c r="R10" s="6"/>
      <c r="S10" s="6"/>
      <c r="T10" s="6"/>
      <c r="U10" s="6"/>
      <c r="V10" s="6"/>
      <c r="W10" s="6"/>
      <c r="X10" s="6"/>
    </row>
    <row r="11">
      <c r="A11" s="18">
        <v>7.0</v>
      </c>
      <c r="B11" s="16">
        <f>LARGE('Full Data'!H:H,A11)</f>
        <v>7734271</v>
      </c>
      <c r="C11" s="14">
        <f t="shared" si="1"/>
        <v>0.008191166051</v>
      </c>
      <c r="D11" s="17" t="str">
        <f t="array" ref="D11">INDEX('Full Data'!B:B,MATCH(LARGE('Full Data'!H:H,A11),'Full Data'!H:H,0))</f>
        <v>INTESA SANPAOLO EUR 0.52 ORD</v>
      </c>
      <c r="E11" s="6"/>
      <c r="F11" s="16">
        <f t="shared" si="2"/>
        <v>0</v>
      </c>
      <c r="G11" s="14">
        <f t="shared" si="3"/>
        <v>0</v>
      </c>
      <c r="H11" s="6"/>
      <c r="I11" s="6"/>
      <c r="J11" s="6"/>
      <c r="K11" s="6"/>
      <c r="L11" s="6"/>
      <c r="M11" s="6"/>
      <c r="N11" s="6"/>
      <c r="O11" s="6"/>
      <c r="P11" s="6"/>
      <c r="Q11" s="6"/>
      <c r="R11" s="6"/>
      <c r="S11" s="6"/>
      <c r="T11" s="6"/>
      <c r="U11" s="6"/>
      <c r="V11" s="6"/>
      <c r="W11" s="6"/>
      <c r="X11" s="6"/>
    </row>
    <row r="12">
      <c r="A12" s="18">
        <v>8.0</v>
      </c>
      <c r="B12" s="16">
        <f>LARGE('Full Data'!H:H,A12)</f>
        <v>6716854</v>
      </c>
      <c r="C12" s="14">
        <f t="shared" si="1"/>
        <v>0.007113646064</v>
      </c>
      <c r="D12" s="17" t="str">
        <f t="array" ref="D12">INDEX('Full Data'!B:B,MATCH(LARGE('Full Data'!H:H,A12),'Full Data'!H:H,0))</f>
        <v>SAMSONITE INTERNATIONAL SA USD 0.01 COM STK</v>
      </c>
      <c r="E12" s="6"/>
      <c r="F12" s="16">
        <f t="shared" si="2"/>
        <v>0</v>
      </c>
      <c r="G12" s="14">
        <f t="shared" si="3"/>
        <v>0</v>
      </c>
      <c r="H12" s="6"/>
      <c r="I12" s="6"/>
      <c r="J12" s="6"/>
      <c r="K12" s="6"/>
      <c r="L12" s="6"/>
      <c r="M12" s="6"/>
      <c r="N12" s="6"/>
      <c r="O12" s="6"/>
      <c r="P12" s="6"/>
      <c r="Q12" s="6"/>
      <c r="R12" s="6"/>
      <c r="S12" s="6"/>
      <c r="T12" s="6"/>
      <c r="U12" s="6"/>
      <c r="V12" s="6"/>
      <c r="W12" s="6"/>
      <c r="X12" s="6"/>
    </row>
    <row r="13">
      <c r="A13" s="18">
        <v>9.0</v>
      </c>
      <c r="B13" s="16">
        <f>LARGE('Full Data'!H:H,A13)</f>
        <v>5508635</v>
      </c>
      <c r="C13" s="14">
        <f t="shared" si="1"/>
        <v>0.005834052621</v>
      </c>
      <c r="D13" s="17" t="str">
        <f t="array" ref="D13">INDEX('Full Data'!B:B,MATCH(LARGE('Full Data'!H:H,A13),'Full Data'!H:H,0))</f>
        <v>AIA GROUP LTD USD 0 COM STK</v>
      </c>
      <c r="E13" s="6"/>
      <c r="F13" s="16">
        <f t="shared" si="2"/>
        <v>0</v>
      </c>
      <c r="G13" s="14">
        <f t="shared" si="3"/>
        <v>0</v>
      </c>
      <c r="H13" s="6"/>
      <c r="I13" s="6"/>
      <c r="J13" s="6"/>
      <c r="K13" s="6"/>
      <c r="L13" s="6"/>
      <c r="M13" s="6"/>
      <c r="N13" s="6"/>
      <c r="O13" s="6"/>
      <c r="P13" s="6"/>
      <c r="Q13" s="6"/>
      <c r="R13" s="6"/>
      <c r="S13" s="6"/>
      <c r="T13" s="6"/>
      <c r="U13" s="6"/>
      <c r="V13" s="6"/>
      <c r="W13" s="6"/>
      <c r="X13" s="6"/>
    </row>
    <row r="14">
      <c r="A14" s="18">
        <v>10.0</v>
      </c>
      <c r="B14" s="16">
        <f>LARGE('Full Data'!H:H,A14)</f>
        <v>4428311</v>
      </c>
      <c r="C14" s="14">
        <f t="shared" si="1"/>
        <v>0.00468990946</v>
      </c>
      <c r="D14" s="17" t="str">
        <f t="array" ref="D14">INDEX('Full Data'!B:B,MATCH(LARGE('Full Data'!H:H,A14),'Full Data'!H:H,0))</f>
        <v>ROYAL BANK OF SCOTLAND GROUP 100p ORD</v>
      </c>
      <c r="E14" s="6"/>
      <c r="F14" s="16">
        <f t="shared" si="2"/>
        <v>0</v>
      </c>
      <c r="G14" s="14">
        <f t="shared" si="3"/>
        <v>0</v>
      </c>
      <c r="H14" s="6"/>
      <c r="I14" s="6"/>
      <c r="J14" s="6"/>
      <c r="K14" s="6"/>
      <c r="L14" s="6"/>
      <c r="M14" s="6"/>
      <c r="N14" s="6"/>
      <c r="O14" s="6"/>
      <c r="P14" s="6"/>
      <c r="Q14" s="6"/>
      <c r="R14" s="6"/>
      <c r="S14" s="6"/>
      <c r="T14" s="6"/>
      <c r="U14" s="6"/>
      <c r="V14" s="6"/>
      <c r="W14" s="6"/>
      <c r="X14" s="6"/>
    </row>
    <row r="15">
      <c r="A15" s="18">
        <v>11.0</v>
      </c>
      <c r="B15" s="16">
        <f>LARGE('Full Data'!H:H,A15)</f>
        <v>3779000</v>
      </c>
      <c r="C15" s="14">
        <f t="shared" si="1"/>
        <v>0.004002241001</v>
      </c>
      <c r="D15" s="17" t="str">
        <f t="array" ref="D15">INDEX('Full Data'!B:B,MATCH(LARGE('Full Data'!H:H,A15),'Full Data'!H:H,0))</f>
        <v>BANK OF YOKOHAMA LTD/THE JPY ORD</v>
      </c>
      <c r="E15" s="6"/>
      <c r="F15" s="16">
        <f t="shared" si="2"/>
        <v>0</v>
      </c>
      <c r="G15" s="14">
        <f t="shared" si="3"/>
        <v>0</v>
      </c>
      <c r="H15" s="6"/>
      <c r="I15" s="6"/>
      <c r="J15" s="6"/>
      <c r="K15" s="6"/>
      <c r="L15" s="6"/>
      <c r="M15" s="6"/>
      <c r="N15" s="6"/>
      <c r="O15" s="6"/>
      <c r="P15" s="6"/>
      <c r="Q15" s="6"/>
      <c r="R15" s="6"/>
      <c r="S15" s="6"/>
      <c r="T15" s="6"/>
      <c r="U15" s="6"/>
      <c r="V15" s="6"/>
      <c r="W15" s="6"/>
      <c r="X15" s="6"/>
    </row>
    <row r="16">
      <c r="A16" s="18">
        <v>12.0</v>
      </c>
      <c r="B16" s="16">
        <f>LARGE('Full Data'!H:H,A16)</f>
        <v>3498404</v>
      </c>
      <c r="C16" s="14">
        <f t="shared" si="1"/>
        <v>0.003705069046</v>
      </c>
      <c r="D16" s="17" t="str">
        <f t="array" ref="D16">INDEX('Full Data'!B:B,MATCH(LARGE('Full Data'!H:H,A16),'Full Data'!H:H,0))</f>
        <v>TREASURY WINE ESTATES LTD AUD ORD</v>
      </c>
      <c r="E16" s="6"/>
      <c r="F16" s="16">
        <f t="shared" si="2"/>
        <v>0</v>
      </c>
      <c r="G16" s="14">
        <f t="shared" si="3"/>
        <v>0</v>
      </c>
      <c r="H16" s="6"/>
      <c r="I16" s="6"/>
      <c r="J16" s="6"/>
      <c r="K16" s="6"/>
      <c r="L16" s="6"/>
      <c r="M16" s="6"/>
      <c r="N16" s="6"/>
      <c r="O16" s="6"/>
      <c r="P16" s="6"/>
      <c r="Q16" s="6"/>
      <c r="R16" s="6"/>
      <c r="S16" s="6"/>
      <c r="T16" s="6"/>
      <c r="U16" s="6"/>
      <c r="V16" s="6"/>
      <c r="W16" s="6"/>
      <c r="X16" s="6"/>
    </row>
    <row r="17">
      <c r="A17" s="18">
        <v>13.0</v>
      </c>
      <c r="B17" s="19">
        <v>2.12E7</v>
      </c>
      <c r="C17" s="14">
        <f t="shared" si="1"/>
        <v>0.02245237079</v>
      </c>
      <c r="D17" s="20" t="s">
        <v>52</v>
      </c>
      <c r="E17" s="21" t="s">
        <v>50</v>
      </c>
      <c r="F17" s="16">
        <f t="shared" si="2"/>
        <v>2120000</v>
      </c>
      <c r="G17" s="14">
        <f t="shared" si="3"/>
        <v>0.002245237079</v>
      </c>
      <c r="H17" s="6"/>
      <c r="I17" s="6"/>
      <c r="J17" s="6"/>
      <c r="K17" s="6"/>
      <c r="L17" s="6"/>
      <c r="M17" s="6"/>
      <c r="N17" s="6"/>
      <c r="O17" s="6"/>
      <c r="P17" s="6"/>
      <c r="Q17" s="6"/>
      <c r="R17" s="6"/>
      <c r="S17" s="6"/>
      <c r="T17" s="6"/>
      <c r="U17" s="6"/>
      <c r="V17" s="6"/>
      <c r="W17" s="6"/>
      <c r="X17" s="6"/>
    </row>
    <row r="18">
      <c r="A18" s="18">
        <v>14.0</v>
      </c>
      <c r="B18" s="16">
        <f>LARGE('Full Data'!H:H,A18)</f>
        <v>3197703</v>
      </c>
      <c r="C18" s="14">
        <f t="shared" si="1"/>
        <v>0.003386604407</v>
      </c>
      <c r="D18" s="17" t="str">
        <f t="array" ref="D18">INDEX('Full Data'!B:B,MATCH(LARGE('Full Data'!H:H,A18),'Full Data'!H:H,0))</f>
        <v>ROCKHOPPER EXPLORATION PLC 1p ORD</v>
      </c>
      <c r="E18" s="6"/>
      <c r="F18" s="16">
        <f t="shared" si="2"/>
        <v>0</v>
      </c>
      <c r="G18" s="14">
        <f t="shared" si="3"/>
        <v>0</v>
      </c>
      <c r="H18" s="6"/>
      <c r="I18" s="6"/>
      <c r="J18" s="6"/>
      <c r="K18" s="6"/>
      <c r="L18" s="6"/>
      <c r="M18" s="6"/>
      <c r="N18" s="6"/>
      <c r="O18" s="6"/>
      <c r="P18" s="6"/>
      <c r="Q18" s="6"/>
      <c r="R18" s="6"/>
      <c r="S18" s="6"/>
      <c r="T18" s="6"/>
      <c r="U18" s="6"/>
      <c r="V18" s="6"/>
      <c r="W18" s="6"/>
      <c r="X18" s="6"/>
    </row>
    <row r="19">
      <c r="A19" s="18">
        <v>15.0</v>
      </c>
      <c r="B19" s="16">
        <f>LARGE('Full Data'!H:H,A19)</f>
        <v>3095078</v>
      </c>
      <c r="C19" s="14">
        <f t="shared" si="1"/>
        <v>0.003277916928</v>
      </c>
      <c r="D19" s="17" t="str">
        <f t="array" ref="D19">INDEX('Full Data'!B:B,MATCH(LARGE('Full Data'!H:H,A19),'Full Data'!H:H,0))</f>
        <v>GLENCORE XSTRATA PLC USD 0.01 COM STK</v>
      </c>
      <c r="E19" s="6"/>
      <c r="F19" s="16">
        <f t="shared" si="2"/>
        <v>0</v>
      </c>
      <c r="G19" s="14">
        <f t="shared" si="3"/>
        <v>0</v>
      </c>
      <c r="H19" s="6"/>
      <c r="I19" s="6"/>
      <c r="J19" s="6"/>
      <c r="K19" s="6"/>
      <c r="L19" s="6"/>
      <c r="M19" s="6"/>
      <c r="N19" s="6"/>
      <c r="O19" s="6"/>
      <c r="P19" s="6"/>
      <c r="Q19" s="6"/>
      <c r="R19" s="6"/>
      <c r="S19" s="6"/>
      <c r="T19" s="6"/>
      <c r="U19" s="6"/>
      <c r="V19" s="6"/>
      <c r="W19" s="6"/>
      <c r="X19" s="6"/>
    </row>
    <row r="20">
      <c r="A20" s="6"/>
      <c r="B20" s="6"/>
      <c r="C20" s="6"/>
      <c r="D20" s="6"/>
      <c r="E20" s="24" t="s">
        <v>53</v>
      </c>
      <c r="F20" s="16">
        <f t="shared" ref="F20:G20" si="4">SUM(F5:F19)</f>
        <v>45540000</v>
      </c>
      <c r="G20" s="14">
        <f t="shared" si="4"/>
        <v>0.04823023424</v>
      </c>
      <c r="H20" s="6"/>
      <c r="I20" s="6"/>
      <c r="J20" s="6"/>
      <c r="K20" s="6"/>
      <c r="L20" s="6"/>
      <c r="M20" s="6"/>
      <c r="N20" s="6"/>
      <c r="O20" s="6"/>
      <c r="P20" s="6"/>
      <c r="Q20" s="6"/>
      <c r="R20" s="6"/>
      <c r="S20" s="6"/>
      <c r="T20" s="6"/>
      <c r="U20" s="6"/>
      <c r="V20" s="6"/>
      <c r="W20" s="6"/>
      <c r="X20" s="6"/>
    </row>
    <row r="21">
      <c r="A21" s="6"/>
      <c r="B21" s="6"/>
      <c r="C21" s="6"/>
      <c r="D21" s="6"/>
      <c r="E21" s="6" t="s">
        <v>54</v>
      </c>
      <c r="F21" s="16">
        <f>'Fossil Fuel direct investments'!B3</f>
        <v>18349207</v>
      </c>
      <c r="G21" s="14">
        <f>'Fossil Fuel direct investments'!B4</f>
        <v>0.01943316978</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55</v>
      </c>
      <c r="F23" s="16">
        <f t="shared" ref="F23:G23" si="5">F20+F21</f>
        <v>63889207</v>
      </c>
      <c r="G23" s="14">
        <f t="shared" si="5"/>
        <v>0.06766340401</v>
      </c>
      <c r="H23" s="6"/>
      <c r="I23" s="6"/>
      <c r="J23" s="6"/>
      <c r="K23" s="6"/>
      <c r="L23" s="6"/>
      <c r="M23" s="6"/>
      <c r="N23" s="6"/>
      <c r="O23" s="6"/>
      <c r="P23" s="6"/>
      <c r="Q23" s="6"/>
      <c r="R23" s="6"/>
      <c r="S23" s="6"/>
      <c r="T23" s="6"/>
      <c r="U23" s="6"/>
      <c r="V23" s="6"/>
      <c r="W23" s="6"/>
      <c r="X23" s="6"/>
    </row>
    <row r="24">
      <c r="A24" s="6"/>
      <c r="B24" s="6"/>
      <c r="C24" s="6"/>
      <c r="D24" s="6"/>
      <c r="E24" s="6" t="s">
        <v>27</v>
      </c>
      <c r="F24" s="13">
        <f>'Fossil Fuel direct investments'!B2</f>
        <v>944221000</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